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autoCompressPictures="0"/>
  <mc:AlternateContent xmlns:mc="http://schemas.openxmlformats.org/markup-compatibility/2006">
    <mc:Choice Requires="x15">
      <x15ac:absPath xmlns:x15ac="http://schemas.microsoft.com/office/spreadsheetml/2010/11/ac" url="D:\Github_Project\Wind-Farm-Project-Development\Wind-Farm-Project-Development\Economic_analysis_of_wind_farms\"/>
    </mc:Choice>
  </mc:AlternateContent>
  <xr:revisionPtr revIDLastSave="0" documentId="13_ncr:1_{6F44B10A-CDCA-4989-8A6A-8FDB392F62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rameters" sheetId="1" r:id="rId1"/>
    <sheet name="Kalkulation" sheetId="2" r:id="rId2"/>
    <sheet name="Daten" sheetId="4" r:id="rId3"/>
    <sheet name="Grafiken" sheetId="5" r:id="rId4"/>
  </sheets>
  <externalReferences>
    <externalReference r:id="rId5"/>
  </externalReferences>
  <definedNames>
    <definedName name="Auswahl">'[1]Session 5-7'!$B$39:$B$40</definedName>
    <definedName name="Options">Parameters!#REF!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8" i="1" l="1"/>
  <c r="J27" i="1"/>
  <c r="D10" i="2"/>
  <c r="D12" i="2"/>
  <c r="J20" i="1"/>
  <c r="D6" i="2"/>
  <c r="D18" i="2"/>
  <c r="D21" i="2"/>
  <c r="J21" i="1"/>
  <c r="J22" i="1"/>
  <c r="J24" i="1"/>
  <c r="J26" i="1"/>
  <c r="D60" i="2"/>
  <c r="E6" i="2"/>
  <c r="F6" i="2"/>
  <c r="G6" i="2"/>
  <c r="H6" i="2"/>
  <c r="I6" i="2"/>
  <c r="J6" i="2"/>
  <c r="K6" i="2"/>
  <c r="L6" i="2"/>
  <c r="F100" i="4"/>
  <c r="I97" i="4"/>
  <c r="I96" i="4"/>
  <c r="F97" i="4"/>
  <c r="F96" i="4"/>
  <c r="F93" i="4"/>
  <c r="F89" i="4"/>
  <c r="F88" i="4"/>
  <c r="F87" i="4"/>
  <c r="C32" i="4"/>
  <c r="C34" i="4"/>
  <c r="C35" i="4"/>
  <c r="C36" i="4"/>
  <c r="C37" i="4"/>
  <c r="C38" i="4"/>
  <c r="C39" i="4"/>
  <c r="C41" i="4"/>
  <c r="C42" i="4"/>
  <c r="C43" i="4"/>
  <c r="C44" i="4"/>
  <c r="C45" i="4"/>
  <c r="C46" i="4"/>
  <c r="C47" i="4"/>
  <c r="C48" i="4"/>
  <c r="C49" i="4"/>
  <c r="C50" i="4"/>
  <c r="C51" i="4"/>
  <c r="C53" i="4"/>
  <c r="C54" i="4"/>
  <c r="C63" i="4"/>
  <c r="B25" i="1"/>
  <c r="B34" i="1"/>
  <c r="B14" i="1"/>
  <c r="B69" i="1"/>
  <c r="B15" i="1"/>
  <c r="B9" i="1"/>
  <c r="C40" i="4"/>
  <c r="C86" i="4"/>
  <c r="C87" i="4"/>
  <c r="C88" i="4"/>
  <c r="C89" i="4"/>
  <c r="C93" i="4"/>
  <c r="C96" i="4"/>
  <c r="C97" i="4"/>
  <c r="C100" i="4"/>
  <c r="C103" i="4"/>
  <c r="B26" i="1"/>
  <c r="E18" i="2"/>
  <c r="E21" i="2"/>
  <c r="E88" i="2"/>
  <c r="F18" i="2"/>
  <c r="F21" i="2"/>
  <c r="F88" i="2"/>
  <c r="G18" i="2"/>
  <c r="G21" i="2"/>
  <c r="G88" i="2"/>
  <c r="H18" i="2"/>
  <c r="H21" i="2"/>
  <c r="H88" i="2"/>
  <c r="I18" i="2"/>
  <c r="I21" i="2"/>
  <c r="I88" i="2"/>
  <c r="J18" i="2"/>
  <c r="J21" i="2"/>
  <c r="J88" i="2"/>
  <c r="K18" i="2"/>
  <c r="K21" i="2"/>
  <c r="K88" i="2"/>
  <c r="L18" i="2"/>
  <c r="L21" i="2"/>
  <c r="L88" i="2"/>
  <c r="M6" i="2"/>
  <c r="M18" i="2"/>
  <c r="M21" i="2"/>
  <c r="M88" i="2"/>
  <c r="N6" i="2"/>
  <c r="N18" i="2"/>
  <c r="N21" i="2"/>
  <c r="N88" i="2"/>
  <c r="O6" i="2"/>
  <c r="O18" i="2"/>
  <c r="O21" i="2"/>
  <c r="O88" i="2"/>
  <c r="P6" i="2"/>
  <c r="P18" i="2"/>
  <c r="P21" i="2"/>
  <c r="P88" i="2"/>
  <c r="Q6" i="2"/>
  <c r="Q18" i="2"/>
  <c r="Q21" i="2"/>
  <c r="Q88" i="2"/>
  <c r="R6" i="2"/>
  <c r="R18" i="2"/>
  <c r="R21" i="2"/>
  <c r="R88" i="2"/>
  <c r="S6" i="2"/>
  <c r="S18" i="2"/>
  <c r="S21" i="2"/>
  <c r="S88" i="2"/>
  <c r="T6" i="2"/>
  <c r="T18" i="2"/>
  <c r="T21" i="2"/>
  <c r="T88" i="2"/>
  <c r="U6" i="2"/>
  <c r="U18" i="2"/>
  <c r="U21" i="2"/>
  <c r="U88" i="2"/>
  <c r="V6" i="2"/>
  <c r="V18" i="2"/>
  <c r="V21" i="2"/>
  <c r="V88" i="2"/>
  <c r="W6" i="2"/>
  <c r="W18" i="2"/>
  <c r="W21" i="2"/>
  <c r="W88" i="2"/>
  <c r="D88" i="2"/>
  <c r="D59" i="2"/>
  <c r="E59" i="2"/>
  <c r="F59" i="2"/>
  <c r="B180" i="5"/>
  <c r="B182" i="5"/>
  <c r="B70" i="1"/>
  <c r="B181" i="5"/>
  <c r="K43" i="1"/>
  <c r="L43" i="1"/>
  <c r="J43" i="1"/>
  <c r="B38" i="1"/>
  <c r="B44" i="1"/>
  <c r="E9" i="2"/>
  <c r="C27" i="4"/>
  <c r="C25" i="4"/>
  <c r="C26" i="4"/>
  <c r="C16" i="4"/>
  <c r="H12" i="4"/>
  <c r="H22" i="4"/>
  <c r="H23" i="4"/>
  <c r="D9" i="2"/>
  <c r="V9" i="2"/>
  <c r="T9" i="2"/>
  <c r="R9" i="2"/>
  <c r="P9" i="2"/>
  <c r="N9" i="2"/>
  <c r="L9" i="2"/>
  <c r="J9" i="2"/>
  <c r="H9" i="2"/>
  <c r="F9" i="2"/>
  <c r="W9" i="2"/>
  <c r="U9" i="2"/>
  <c r="S9" i="2"/>
  <c r="Q9" i="2"/>
  <c r="O9" i="2"/>
  <c r="M9" i="2"/>
  <c r="K9" i="2"/>
  <c r="I9" i="2"/>
  <c r="G9" i="2"/>
  <c r="C17" i="4"/>
  <c r="C18" i="4"/>
  <c r="C19" i="4"/>
  <c r="C20" i="4"/>
  <c r="D71" i="4"/>
  <c r="C67" i="4"/>
  <c r="D72" i="4"/>
  <c r="C76" i="4"/>
  <c r="C65" i="4"/>
  <c r="A56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C78" i="2"/>
  <c r="B39" i="1"/>
  <c r="O39" i="2"/>
  <c r="P39" i="2"/>
  <c r="Q39" i="2"/>
  <c r="S39" i="2"/>
  <c r="T39" i="2"/>
  <c r="U39" i="2"/>
  <c r="V39" i="2"/>
  <c r="W39" i="2"/>
  <c r="B46" i="1"/>
  <c r="G39" i="2"/>
  <c r="D72" i="2"/>
  <c r="D74" i="2"/>
  <c r="D75" i="2"/>
  <c r="F72" i="2"/>
  <c r="F74" i="2"/>
  <c r="F75" i="2"/>
  <c r="E65" i="2"/>
  <c r="E72" i="2"/>
  <c r="E74" i="2"/>
  <c r="E75" i="2"/>
  <c r="D65" i="2"/>
  <c r="F65" i="2"/>
  <c r="G7" i="1"/>
  <c r="B52" i="1"/>
  <c r="G72" i="2"/>
  <c r="G65" i="2"/>
  <c r="K66" i="2"/>
  <c r="M66" i="2"/>
  <c r="R66" i="2"/>
  <c r="G66" i="2"/>
  <c r="I66" i="2"/>
  <c r="H75" i="2"/>
  <c r="L75" i="2"/>
  <c r="P75" i="2"/>
  <c r="T75" i="2"/>
  <c r="J75" i="2"/>
  <c r="N75" i="2"/>
  <c r="V75" i="2"/>
  <c r="K75" i="2"/>
  <c r="S75" i="2"/>
  <c r="W75" i="2"/>
  <c r="I75" i="2"/>
  <c r="M75" i="2"/>
  <c r="Q75" i="2"/>
  <c r="U75" i="2"/>
  <c r="R75" i="2"/>
  <c r="O75" i="2"/>
  <c r="G75" i="2"/>
  <c r="T26" i="2"/>
  <c r="Z23" i="1"/>
  <c r="O26" i="2"/>
  <c r="U23" i="1"/>
  <c r="W26" i="2"/>
  <c r="AC23" i="1"/>
  <c r="S26" i="2"/>
  <c r="Y23" i="1"/>
  <c r="G26" i="2"/>
  <c r="M23" i="1"/>
  <c r="V26" i="2"/>
  <c r="AB23" i="1"/>
  <c r="Q26" i="2"/>
  <c r="W23" i="1"/>
  <c r="U26" i="2"/>
  <c r="AA23" i="1"/>
  <c r="P26" i="2"/>
  <c r="V23" i="1"/>
  <c r="Q66" i="2"/>
  <c r="V66" i="2"/>
  <c r="H66" i="2"/>
  <c r="W66" i="2"/>
  <c r="U66" i="2"/>
  <c r="O66" i="2"/>
  <c r="P66" i="2"/>
  <c r="L66" i="2"/>
  <c r="N66" i="2"/>
  <c r="S66" i="2"/>
  <c r="J66" i="2"/>
  <c r="T66" i="2"/>
  <c r="C17" i="2"/>
  <c r="K39" i="2"/>
  <c r="E39" i="2"/>
  <c r="D39" i="2"/>
  <c r="I39" i="2"/>
  <c r="M39" i="2"/>
  <c r="H39" i="2"/>
  <c r="L39" i="2"/>
  <c r="R39" i="2"/>
  <c r="N39" i="2"/>
  <c r="J39" i="2"/>
  <c r="F39" i="2"/>
  <c r="F58" i="2"/>
  <c r="F67" i="2"/>
  <c r="D58" i="2"/>
  <c r="D67" i="2"/>
  <c r="E58" i="2"/>
  <c r="E67" i="2"/>
  <c r="Y75" i="2"/>
  <c r="G74" i="2"/>
  <c r="J26" i="2"/>
  <c r="P23" i="1"/>
  <c r="L26" i="2"/>
  <c r="R23" i="1"/>
  <c r="D26" i="2"/>
  <c r="J23" i="1"/>
  <c r="N26" i="2"/>
  <c r="T23" i="1"/>
  <c r="H26" i="2"/>
  <c r="N23" i="1"/>
  <c r="E26" i="2"/>
  <c r="K23" i="1"/>
  <c r="R26" i="2"/>
  <c r="X23" i="1"/>
  <c r="M26" i="2"/>
  <c r="S23" i="1"/>
  <c r="K26" i="2"/>
  <c r="Q23" i="1"/>
  <c r="F26" i="2"/>
  <c r="L23" i="1"/>
  <c r="I26" i="2"/>
  <c r="O23" i="1"/>
  <c r="C21" i="2"/>
  <c r="C24" i="2"/>
  <c r="C28" i="2"/>
  <c r="E12" i="2"/>
  <c r="E68" i="2"/>
  <c r="E61" i="2"/>
  <c r="E60" i="2"/>
  <c r="D68" i="2"/>
  <c r="D61" i="2"/>
  <c r="F68" i="2"/>
  <c r="F61" i="2"/>
  <c r="F60" i="2"/>
  <c r="D24" i="2"/>
  <c r="J39" i="1"/>
  <c r="E24" i="2"/>
  <c r="G73" i="2"/>
  <c r="C31" i="2"/>
  <c r="K20" i="1"/>
  <c r="K38" i="1"/>
  <c r="F12" i="2"/>
  <c r="F38" i="2"/>
  <c r="L42" i="1"/>
  <c r="D38" i="2"/>
  <c r="J42" i="1"/>
  <c r="E38" i="2"/>
  <c r="K42" i="1"/>
  <c r="K21" i="1"/>
  <c r="K22" i="1"/>
  <c r="K24" i="1"/>
  <c r="F24" i="2"/>
  <c r="K39" i="1"/>
  <c r="G67" i="2"/>
  <c r="G60" i="2"/>
  <c r="G58" i="2"/>
  <c r="H72" i="2"/>
  <c r="G59" i="2"/>
  <c r="M43" i="1"/>
  <c r="H65" i="2"/>
  <c r="H67" i="2"/>
  <c r="E36" i="2"/>
  <c r="E28" i="2"/>
  <c r="F28" i="2"/>
  <c r="L20" i="1"/>
  <c r="L38" i="1"/>
  <c r="L39" i="1"/>
  <c r="J38" i="1"/>
  <c r="L21" i="1"/>
  <c r="L22" i="1"/>
  <c r="L24" i="1"/>
  <c r="G38" i="2"/>
  <c r="M42" i="1"/>
  <c r="J25" i="1"/>
  <c r="H74" i="2"/>
  <c r="H60" i="2"/>
  <c r="H58" i="2"/>
  <c r="I65" i="2"/>
  <c r="I67" i="2"/>
  <c r="D36" i="2"/>
  <c r="D28" i="2"/>
  <c r="M39" i="1"/>
  <c r="G12" i="2"/>
  <c r="F36" i="2"/>
  <c r="G68" i="2"/>
  <c r="H12" i="2"/>
  <c r="G24" i="2"/>
  <c r="H24" i="2"/>
  <c r="H36" i="2"/>
  <c r="G61" i="2"/>
  <c r="M21" i="1"/>
  <c r="H38" i="2"/>
  <c r="N42" i="1"/>
  <c r="D40" i="2"/>
  <c r="D42" i="2"/>
  <c r="H73" i="2"/>
  <c r="I72" i="2"/>
  <c r="K25" i="1"/>
  <c r="K26" i="1"/>
  <c r="J65" i="2"/>
  <c r="J67" i="2"/>
  <c r="N20" i="1"/>
  <c r="N38" i="1"/>
  <c r="M38" i="1"/>
  <c r="M20" i="1"/>
  <c r="M22" i="1"/>
  <c r="M24" i="1"/>
  <c r="N39" i="1"/>
  <c r="I12" i="2"/>
  <c r="H68" i="2"/>
  <c r="H61" i="2"/>
  <c r="H28" i="2"/>
  <c r="I24" i="2"/>
  <c r="I28" i="2"/>
  <c r="N21" i="1"/>
  <c r="N22" i="1"/>
  <c r="N24" i="1"/>
  <c r="E41" i="2"/>
  <c r="D44" i="2"/>
  <c r="H59" i="2"/>
  <c r="N43" i="1"/>
  <c r="I74" i="2"/>
  <c r="I58" i="2"/>
  <c r="K65" i="2"/>
  <c r="K67" i="2"/>
  <c r="G36" i="2"/>
  <c r="G28" i="2"/>
  <c r="E40" i="2"/>
  <c r="O38" i="1"/>
  <c r="O20" i="1"/>
  <c r="O21" i="1"/>
  <c r="I68" i="2"/>
  <c r="I61" i="2"/>
  <c r="J12" i="2"/>
  <c r="J24" i="2"/>
  <c r="O39" i="1"/>
  <c r="E42" i="2"/>
  <c r="E44" i="2"/>
  <c r="E49" i="2"/>
  <c r="D45" i="2"/>
  <c r="D46" i="2"/>
  <c r="D49" i="2"/>
  <c r="I73" i="2"/>
  <c r="I60" i="2"/>
  <c r="L65" i="2"/>
  <c r="L67" i="2"/>
  <c r="P39" i="1"/>
  <c r="O22" i="1"/>
  <c r="O24" i="1"/>
  <c r="P20" i="1"/>
  <c r="P38" i="1"/>
  <c r="I36" i="2"/>
  <c r="K12" i="2"/>
  <c r="J68" i="2"/>
  <c r="J61" i="2"/>
  <c r="P21" i="1"/>
  <c r="K24" i="2"/>
  <c r="F41" i="2"/>
  <c r="E45" i="2"/>
  <c r="E46" i="2"/>
  <c r="I38" i="2"/>
  <c r="O42" i="1"/>
  <c r="D51" i="2"/>
  <c r="D50" i="2"/>
  <c r="E51" i="2"/>
  <c r="E50" i="2"/>
  <c r="D47" i="2"/>
  <c r="D48" i="2"/>
  <c r="J72" i="2"/>
  <c r="I59" i="2"/>
  <c r="O43" i="1"/>
  <c r="M65" i="2"/>
  <c r="M67" i="2"/>
  <c r="J36" i="2"/>
  <c r="J28" i="2"/>
  <c r="P22" i="1"/>
  <c r="P24" i="1"/>
  <c r="Q38" i="1"/>
  <c r="Q20" i="1"/>
  <c r="Q39" i="1"/>
  <c r="L12" i="2"/>
  <c r="K68" i="2"/>
  <c r="K61" i="2"/>
  <c r="L24" i="2"/>
  <c r="Q21" i="1"/>
  <c r="Q22" i="1"/>
  <c r="Q24" i="1"/>
  <c r="E47" i="2"/>
  <c r="E48" i="2"/>
  <c r="E52" i="2"/>
  <c r="D52" i="2"/>
  <c r="D54" i="2"/>
  <c r="L25" i="1"/>
  <c r="L26" i="1"/>
  <c r="F40" i="2"/>
  <c r="F42" i="2"/>
  <c r="F44" i="2"/>
  <c r="J58" i="2"/>
  <c r="J74" i="2"/>
  <c r="N65" i="2"/>
  <c r="N67" i="2"/>
  <c r="K36" i="2"/>
  <c r="K28" i="2"/>
  <c r="R21" i="1"/>
  <c r="R20" i="1"/>
  <c r="R38" i="1"/>
  <c r="M12" i="2"/>
  <c r="L68" i="2"/>
  <c r="R39" i="1"/>
  <c r="L61" i="2"/>
  <c r="M24" i="2"/>
  <c r="E54" i="2"/>
  <c r="E30" i="2"/>
  <c r="E31" i="2"/>
  <c r="D30" i="2"/>
  <c r="D31" i="2"/>
  <c r="J40" i="1"/>
  <c r="J41" i="1"/>
  <c r="J44" i="1"/>
  <c r="J28" i="1"/>
  <c r="F45" i="2"/>
  <c r="F46" i="2"/>
  <c r="F49" i="2"/>
  <c r="G41" i="2"/>
  <c r="J73" i="2"/>
  <c r="J60" i="2"/>
  <c r="O65" i="2"/>
  <c r="O67" i="2"/>
  <c r="L36" i="2"/>
  <c r="L28" i="2"/>
  <c r="R22" i="1"/>
  <c r="R24" i="1"/>
  <c r="S21" i="1"/>
  <c r="S20" i="1"/>
  <c r="S38" i="1"/>
  <c r="N12" i="2"/>
  <c r="M68" i="2"/>
  <c r="M61" i="2"/>
  <c r="E78" i="2"/>
  <c r="E81" i="2"/>
  <c r="E84" i="2"/>
  <c r="D78" i="2"/>
  <c r="D81" i="2"/>
  <c r="D84" i="2"/>
  <c r="N24" i="2"/>
  <c r="S39" i="1"/>
  <c r="K27" i="1"/>
  <c r="J38" i="2"/>
  <c r="P42" i="1"/>
  <c r="F51" i="2"/>
  <c r="F50" i="2"/>
  <c r="F47" i="2"/>
  <c r="F48" i="2"/>
  <c r="K72" i="2"/>
  <c r="J59" i="2"/>
  <c r="P43" i="1"/>
  <c r="P65" i="2"/>
  <c r="P67" i="2"/>
  <c r="S22" i="1"/>
  <c r="S24" i="1"/>
  <c r="M36" i="2"/>
  <c r="M28" i="2"/>
  <c r="T38" i="1"/>
  <c r="T20" i="1"/>
  <c r="T21" i="1"/>
  <c r="T39" i="1"/>
  <c r="O12" i="2"/>
  <c r="N68" i="2"/>
  <c r="N61" i="2"/>
  <c r="O24" i="2"/>
  <c r="K40" i="1"/>
  <c r="K41" i="1"/>
  <c r="K44" i="1"/>
  <c r="K28" i="1"/>
  <c r="F52" i="2"/>
  <c r="F54" i="2"/>
  <c r="L27" i="1"/>
  <c r="K74" i="2"/>
  <c r="K60" i="2"/>
  <c r="K58" i="2"/>
  <c r="M25" i="1"/>
  <c r="M26" i="1"/>
  <c r="G40" i="2"/>
  <c r="G42" i="2"/>
  <c r="G44" i="2"/>
  <c r="G45" i="2"/>
  <c r="G46" i="2"/>
  <c r="Q65" i="2"/>
  <c r="Q67" i="2"/>
  <c r="N36" i="2"/>
  <c r="N28" i="2"/>
  <c r="T22" i="1"/>
  <c r="T24" i="1"/>
  <c r="U21" i="1"/>
  <c r="U39" i="1"/>
  <c r="U38" i="1"/>
  <c r="U20" i="1"/>
  <c r="P12" i="2"/>
  <c r="O68" i="2"/>
  <c r="O61" i="2"/>
  <c r="P24" i="2"/>
  <c r="K38" i="2"/>
  <c r="Q42" i="1"/>
  <c r="L40" i="1"/>
  <c r="L41" i="1"/>
  <c r="L44" i="1"/>
  <c r="F30" i="2"/>
  <c r="F31" i="2"/>
  <c r="G49" i="2"/>
  <c r="H41" i="2"/>
  <c r="K73" i="2"/>
  <c r="R65" i="2"/>
  <c r="R67" i="2"/>
  <c r="O36" i="2"/>
  <c r="O28" i="2"/>
  <c r="V21" i="1"/>
  <c r="V39" i="1"/>
  <c r="P28" i="2"/>
  <c r="V20" i="1"/>
  <c r="V38" i="1"/>
  <c r="U22" i="1"/>
  <c r="U24" i="1"/>
  <c r="P68" i="2"/>
  <c r="Q12" i="2"/>
  <c r="F78" i="2"/>
  <c r="F81" i="2"/>
  <c r="F84" i="2"/>
  <c r="Q24" i="2"/>
  <c r="G51" i="2"/>
  <c r="G50" i="2"/>
  <c r="G47" i="2"/>
  <c r="G48" i="2"/>
  <c r="P61" i="2"/>
  <c r="L72" i="2"/>
  <c r="K59" i="2"/>
  <c r="Q43" i="1"/>
  <c r="N25" i="1"/>
  <c r="N26" i="1"/>
  <c r="H40" i="2"/>
  <c r="H42" i="2"/>
  <c r="H44" i="2"/>
  <c r="S65" i="2"/>
  <c r="S67" i="2"/>
  <c r="P36" i="2"/>
  <c r="V22" i="1"/>
  <c r="V24" i="1"/>
  <c r="W20" i="1"/>
  <c r="W38" i="1"/>
  <c r="W21" i="1"/>
  <c r="R12" i="2"/>
  <c r="Q68" i="2"/>
  <c r="Q61" i="2"/>
  <c r="W39" i="1"/>
  <c r="R24" i="2"/>
  <c r="G52" i="2"/>
  <c r="G54" i="2"/>
  <c r="H45" i="2"/>
  <c r="H46" i="2"/>
  <c r="H49" i="2"/>
  <c r="I41" i="2"/>
  <c r="L74" i="2"/>
  <c r="L60" i="2"/>
  <c r="L58" i="2"/>
  <c r="T65" i="2"/>
  <c r="T67" i="2"/>
  <c r="Q36" i="2"/>
  <c r="Q28" i="2"/>
  <c r="X20" i="1"/>
  <c r="X38" i="1"/>
  <c r="X21" i="1"/>
  <c r="W22" i="1"/>
  <c r="W24" i="1"/>
  <c r="R68" i="2"/>
  <c r="R61" i="2"/>
  <c r="S12" i="2"/>
  <c r="X39" i="1"/>
  <c r="S24" i="2"/>
  <c r="L38" i="2"/>
  <c r="R42" i="1"/>
  <c r="G30" i="2"/>
  <c r="G31" i="2"/>
  <c r="M27" i="1"/>
  <c r="H51" i="2"/>
  <c r="H50" i="2"/>
  <c r="H47" i="2"/>
  <c r="H48" i="2"/>
  <c r="L73" i="2"/>
  <c r="U65" i="2"/>
  <c r="U67" i="2"/>
  <c r="R36" i="2"/>
  <c r="R28" i="2"/>
  <c r="X22" i="1"/>
  <c r="X24" i="1"/>
  <c r="Y39" i="1"/>
  <c r="Y38" i="1"/>
  <c r="Y20" i="1"/>
  <c r="S68" i="2"/>
  <c r="S61" i="2"/>
  <c r="T12" i="2"/>
  <c r="Y21" i="1"/>
  <c r="T24" i="2"/>
  <c r="H52" i="2"/>
  <c r="H54" i="2"/>
  <c r="M28" i="1"/>
  <c r="M40" i="1"/>
  <c r="M41" i="1"/>
  <c r="M44" i="1"/>
  <c r="G84" i="2"/>
  <c r="G78" i="2"/>
  <c r="G81" i="2"/>
  <c r="O25" i="1"/>
  <c r="O26" i="1"/>
  <c r="I40" i="2"/>
  <c r="I42" i="2"/>
  <c r="I44" i="2"/>
  <c r="M72" i="2"/>
  <c r="L59" i="2"/>
  <c r="R43" i="1"/>
  <c r="V65" i="2"/>
  <c r="V67" i="2"/>
  <c r="S36" i="2"/>
  <c r="S28" i="2"/>
  <c r="Y22" i="1"/>
  <c r="Y24" i="1"/>
  <c r="Z21" i="1"/>
  <c r="Z39" i="1"/>
  <c r="Z38" i="1"/>
  <c r="Z20" i="1"/>
  <c r="T68" i="2"/>
  <c r="T61" i="2"/>
  <c r="U12" i="2"/>
  <c r="U24" i="2"/>
  <c r="H30" i="2"/>
  <c r="H31" i="2"/>
  <c r="N27" i="1"/>
  <c r="I49" i="2"/>
  <c r="I45" i="2"/>
  <c r="I46" i="2"/>
  <c r="M74" i="2"/>
  <c r="M60" i="2"/>
  <c r="M58" i="2"/>
  <c r="J41" i="2"/>
  <c r="W65" i="2"/>
  <c r="W67" i="2"/>
  <c r="T36" i="2"/>
  <c r="T28" i="2"/>
  <c r="AA39" i="1"/>
  <c r="U28" i="2"/>
  <c r="AA20" i="1"/>
  <c r="AA38" i="1"/>
  <c r="Z22" i="1"/>
  <c r="Z24" i="1"/>
  <c r="V12" i="2"/>
  <c r="U68" i="2"/>
  <c r="AA21" i="1"/>
  <c r="V24" i="2"/>
  <c r="N28" i="1"/>
  <c r="N40" i="1"/>
  <c r="N41" i="1"/>
  <c r="N44" i="1"/>
  <c r="H84" i="2"/>
  <c r="H78" i="2"/>
  <c r="H81" i="2"/>
  <c r="M38" i="2"/>
  <c r="S42" i="1"/>
  <c r="I51" i="2"/>
  <c r="I50" i="2"/>
  <c r="I47" i="2"/>
  <c r="I48" i="2"/>
  <c r="U61" i="2"/>
  <c r="M73" i="2"/>
  <c r="U36" i="2"/>
  <c r="AA22" i="1"/>
  <c r="AA24" i="1"/>
  <c r="AB21" i="1"/>
  <c r="AB39" i="1"/>
  <c r="AB20" i="1"/>
  <c r="AB38" i="1"/>
  <c r="W12" i="2"/>
  <c r="V68" i="2"/>
  <c r="V61" i="2"/>
  <c r="W24" i="2"/>
  <c r="I52" i="2"/>
  <c r="I54" i="2"/>
  <c r="P25" i="1"/>
  <c r="P26" i="1"/>
  <c r="J40" i="2"/>
  <c r="J42" i="2"/>
  <c r="J44" i="2"/>
  <c r="N72" i="2"/>
  <c r="M59" i="2"/>
  <c r="S43" i="1"/>
  <c r="AB22" i="1"/>
  <c r="AB24" i="1"/>
  <c r="V36" i="2"/>
  <c r="V28" i="2"/>
  <c r="AC38" i="1"/>
  <c r="AC20" i="1"/>
  <c r="AC21" i="1"/>
  <c r="Y12" i="2"/>
  <c r="W68" i="2"/>
  <c r="AC39" i="1"/>
  <c r="W61" i="2"/>
  <c r="Y68" i="2"/>
  <c r="I30" i="2"/>
  <c r="I31" i="2"/>
  <c r="I78" i="2"/>
  <c r="I81" i="2"/>
  <c r="O27" i="1"/>
  <c r="I84" i="2"/>
  <c r="J45" i="2"/>
  <c r="J46" i="2"/>
  <c r="J49" i="2"/>
  <c r="K41" i="2"/>
  <c r="N74" i="2"/>
  <c r="N60" i="2"/>
  <c r="N58" i="2"/>
  <c r="W28" i="2"/>
  <c r="AC22" i="1"/>
  <c r="AC24" i="1"/>
  <c r="W36" i="2"/>
  <c r="O28" i="1"/>
  <c r="O40" i="1"/>
  <c r="O41" i="1"/>
  <c r="O44" i="1"/>
  <c r="N38" i="2"/>
  <c r="T42" i="1"/>
  <c r="J51" i="2"/>
  <c r="J50" i="2"/>
  <c r="J47" i="2"/>
  <c r="J48" i="2"/>
  <c r="N73" i="2"/>
  <c r="N59" i="2"/>
  <c r="T43" i="1"/>
  <c r="J52" i="2"/>
  <c r="J54" i="2"/>
  <c r="O72" i="2"/>
  <c r="O74" i="2"/>
  <c r="O60" i="2"/>
  <c r="Q25" i="1"/>
  <c r="Q26" i="1"/>
  <c r="K40" i="2"/>
  <c r="K42" i="2"/>
  <c r="K44" i="2"/>
  <c r="P27" i="1"/>
  <c r="J30" i="2"/>
  <c r="J31" i="2"/>
  <c r="O38" i="2"/>
  <c r="U42" i="1"/>
  <c r="K49" i="2"/>
  <c r="K45" i="2"/>
  <c r="K46" i="2"/>
  <c r="O58" i="2"/>
  <c r="L41" i="2"/>
  <c r="O73" i="2"/>
  <c r="J84" i="2"/>
  <c r="J78" i="2"/>
  <c r="J81" i="2"/>
  <c r="P40" i="1"/>
  <c r="P41" i="1"/>
  <c r="P44" i="1"/>
  <c r="P28" i="1"/>
  <c r="K51" i="2"/>
  <c r="K50" i="2"/>
  <c r="K47" i="2"/>
  <c r="K48" i="2"/>
  <c r="R25" i="1"/>
  <c r="R26" i="1"/>
  <c r="L40" i="2"/>
  <c r="L42" i="2"/>
  <c r="L44" i="2"/>
  <c r="P72" i="2"/>
  <c r="O59" i="2"/>
  <c r="U43" i="1"/>
  <c r="K52" i="2"/>
  <c r="K54" i="2"/>
  <c r="L45" i="2"/>
  <c r="L46" i="2"/>
  <c r="L49" i="2"/>
  <c r="M41" i="2"/>
  <c r="P74" i="2"/>
  <c r="P60" i="2"/>
  <c r="P58" i="2"/>
  <c r="K30" i="2"/>
  <c r="K31" i="2"/>
  <c r="Q27" i="1"/>
  <c r="P38" i="2"/>
  <c r="V42" i="1"/>
  <c r="L51" i="2"/>
  <c r="L50" i="2"/>
  <c r="L47" i="2"/>
  <c r="L48" i="2"/>
  <c r="P73" i="2"/>
  <c r="L52" i="2"/>
  <c r="L54" i="2"/>
  <c r="Q40" i="1"/>
  <c r="Q41" i="1"/>
  <c r="Q44" i="1"/>
  <c r="Q28" i="1"/>
  <c r="K84" i="2"/>
  <c r="K78" i="2"/>
  <c r="K81" i="2"/>
  <c r="Q72" i="2"/>
  <c r="P59" i="2"/>
  <c r="V43" i="1"/>
  <c r="S25" i="1"/>
  <c r="S26" i="1"/>
  <c r="M40" i="2"/>
  <c r="M42" i="2"/>
  <c r="M44" i="2"/>
  <c r="L30" i="2"/>
  <c r="L31" i="2"/>
  <c r="R27" i="1"/>
  <c r="M49" i="2"/>
  <c r="M45" i="2"/>
  <c r="M46" i="2"/>
  <c r="Q74" i="2"/>
  <c r="Q60" i="2"/>
  <c r="Q58" i="2"/>
  <c r="N41" i="2"/>
  <c r="R28" i="1"/>
  <c r="R40" i="1"/>
  <c r="R41" i="1"/>
  <c r="R44" i="1"/>
  <c r="Q38" i="2"/>
  <c r="W42" i="1"/>
  <c r="L84" i="2"/>
  <c r="L78" i="2"/>
  <c r="L81" i="2"/>
  <c r="M51" i="2"/>
  <c r="M50" i="2"/>
  <c r="M47" i="2"/>
  <c r="M48" i="2"/>
  <c r="Q73" i="2"/>
  <c r="Q59" i="2"/>
  <c r="W43" i="1"/>
  <c r="M52" i="2"/>
  <c r="M54" i="2"/>
  <c r="R72" i="2"/>
  <c r="R74" i="2"/>
  <c r="R60" i="2"/>
  <c r="T25" i="1"/>
  <c r="T26" i="1"/>
  <c r="N40" i="2"/>
  <c r="N42" i="2"/>
  <c r="N44" i="2"/>
  <c r="R38" i="2"/>
  <c r="X42" i="1"/>
  <c r="S27" i="1"/>
  <c r="M30" i="2"/>
  <c r="M31" i="2"/>
  <c r="M84" i="2"/>
  <c r="N45" i="2"/>
  <c r="N46" i="2"/>
  <c r="N49" i="2"/>
  <c r="R58" i="2"/>
  <c r="O41" i="2"/>
  <c r="R73" i="2"/>
  <c r="M78" i="2"/>
  <c r="M81" i="2"/>
  <c r="S40" i="1"/>
  <c r="S41" i="1"/>
  <c r="S44" i="1"/>
  <c r="S28" i="1"/>
  <c r="N51" i="2"/>
  <c r="N50" i="2"/>
  <c r="N47" i="2"/>
  <c r="N48" i="2"/>
  <c r="S72" i="2"/>
  <c r="R59" i="2"/>
  <c r="X43" i="1"/>
  <c r="U25" i="1"/>
  <c r="U26" i="1"/>
  <c r="O40" i="2"/>
  <c r="O42" i="2"/>
  <c r="O44" i="2"/>
  <c r="N52" i="2"/>
  <c r="N54" i="2"/>
  <c r="O49" i="2"/>
  <c r="O45" i="2"/>
  <c r="O46" i="2"/>
  <c r="P41" i="2"/>
  <c r="S74" i="2"/>
  <c r="S60" i="2"/>
  <c r="S58" i="2"/>
  <c r="T27" i="1"/>
  <c r="T28" i="1"/>
  <c r="N30" i="2"/>
  <c r="N31" i="2"/>
  <c r="N84" i="2"/>
  <c r="S38" i="2"/>
  <c r="Y42" i="1"/>
  <c r="O51" i="2"/>
  <c r="O50" i="2"/>
  <c r="O47" i="2"/>
  <c r="O48" i="2"/>
  <c r="S73" i="2"/>
  <c r="N78" i="2"/>
  <c r="N81" i="2"/>
  <c r="T40" i="1"/>
  <c r="T41" i="1"/>
  <c r="T44" i="1"/>
  <c r="O52" i="2"/>
  <c r="O54" i="2"/>
  <c r="T72" i="2"/>
  <c r="S59" i="2"/>
  <c r="Y43" i="1"/>
  <c r="V25" i="1"/>
  <c r="V26" i="1"/>
  <c r="P40" i="2"/>
  <c r="P42" i="2"/>
  <c r="P44" i="2"/>
  <c r="O30" i="2"/>
  <c r="O31" i="2"/>
  <c r="O84" i="2"/>
  <c r="U27" i="1"/>
  <c r="U40" i="1"/>
  <c r="U41" i="1"/>
  <c r="U44" i="1"/>
  <c r="P45" i="2"/>
  <c r="P46" i="2"/>
  <c r="P49" i="2"/>
  <c r="Q41" i="2"/>
  <c r="T74" i="2"/>
  <c r="T60" i="2"/>
  <c r="T58" i="2"/>
  <c r="U28" i="1"/>
  <c r="O78" i="2"/>
  <c r="O81" i="2"/>
  <c r="T38" i="2"/>
  <c r="Z42" i="1"/>
  <c r="P51" i="2"/>
  <c r="P50" i="2"/>
  <c r="P47" i="2"/>
  <c r="P48" i="2"/>
  <c r="T73" i="2"/>
  <c r="T59" i="2"/>
  <c r="Z43" i="1"/>
  <c r="P52" i="2"/>
  <c r="P54" i="2"/>
  <c r="U72" i="2"/>
  <c r="U74" i="2"/>
  <c r="U60" i="2"/>
  <c r="U58" i="2"/>
  <c r="W25" i="1"/>
  <c r="W26" i="1"/>
  <c r="Q40" i="2"/>
  <c r="Q42" i="2"/>
  <c r="Q44" i="2"/>
  <c r="U38" i="2"/>
  <c r="AA42" i="1"/>
  <c r="P30" i="2"/>
  <c r="P31" i="2"/>
  <c r="V27" i="1"/>
  <c r="Q49" i="2"/>
  <c r="Q45" i="2"/>
  <c r="Q46" i="2"/>
  <c r="R41" i="2"/>
  <c r="U73" i="2"/>
  <c r="V40" i="1"/>
  <c r="V41" i="1"/>
  <c r="V44" i="1"/>
  <c r="V28" i="1"/>
  <c r="P84" i="2"/>
  <c r="P78" i="2"/>
  <c r="P81" i="2"/>
  <c r="Q51" i="2"/>
  <c r="Q50" i="2"/>
  <c r="Q47" i="2"/>
  <c r="Q48" i="2"/>
  <c r="V72" i="2"/>
  <c r="U59" i="2"/>
  <c r="AA43" i="1"/>
  <c r="X25" i="1"/>
  <c r="X26" i="1"/>
  <c r="R40" i="2"/>
  <c r="R42" i="2"/>
  <c r="R44" i="2"/>
  <c r="Q52" i="2"/>
  <c r="Q54" i="2"/>
  <c r="R45" i="2"/>
  <c r="R46" i="2"/>
  <c r="R49" i="2"/>
  <c r="S41" i="2"/>
  <c r="V74" i="2"/>
  <c r="V60" i="2"/>
  <c r="V58" i="2"/>
  <c r="V38" i="2"/>
  <c r="AB42" i="1"/>
  <c r="W27" i="1"/>
  <c r="Q30" i="2"/>
  <c r="Q31" i="2"/>
  <c r="R51" i="2"/>
  <c r="R50" i="2"/>
  <c r="R47" i="2"/>
  <c r="R48" i="2"/>
  <c r="V73" i="2"/>
  <c r="R52" i="2"/>
  <c r="R54" i="2"/>
  <c r="Q84" i="2"/>
  <c r="Q78" i="2"/>
  <c r="Q81" i="2"/>
  <c r="W28" i="1"/>
  <c r="W40" i="1"/>
  <c r="W41" i="1"/>
  <c r="W44" i="1"/>
  <c r="W72" i="2"/>
  <c r="V59" i="2"/>
  <c r="AB43" i="1"/>
  <c r="Y25" i="1"/>
  <c r="Y26" i="1"/>
  <c r="S40" i="2"/>
  <c r="S42" i="2"/>
  <c r="S44" i="2"/>
  <c r="R30" i="2"/>
  <c r="R31" i="2"/>
  <c r="R84" i="2"/>
  <c r="X27" i="1"/>
  <c r="X40" i="1"/>
  <c r="X41" i="1"/>
  <c r="X44" i="1"/>
  <c r="S49" i="2"/>
  <c r="S45" i="2"/>
  <c r="S46" i="2"/>
  <c r="W74" i="2"/>
  <c r="W60" i="2"/>
  <c r="G6" i="1"/>
  <c r="G9" i="1"/>
  <c r="W58" i="2"/>
  <c r="T41" i="2"/>
  <c r="X28" i="1"/>
  <c r="R78" i="2"/>
  <c r="R81" i="2"/>
  <c r="W38" i="2"/>
  <c r="AC42" i="1"/>
  <c r="S51" i="2"/>
  <c r="S50" i="2"/>
  <c r="S47" i="2"/>
  <c r="S48" i="2"/>
  <c r="W73" i="2"/>
  <c r="S52" i="2"/>
  <c r="S54" i="2"/>
  <c r="Z25" i="1"/>
  <c r="Z26" i="1"/>
  <c r="T40" i="2"/>
  <c r="T42" i="2"/>
  <c r="T44" i="2"/>
  <c r="W59" i="2"/>
  <c r="AC43" i="1"/>
  <c r="Y27" i="1"/>
  <c r="S30" i="2"/>
  <c r="S31" i="2"/>
  <c r="S84" i="2"/>
  <c r="T45" i="2"/>
  <c r="T46" i="2"/>
  <c r="T49" i="2"/>
  <c r="U41" i="2"/>
  <c r="S78" i="2"/>
  <c r="S81" i="2"/>
  <c r="Y28" i="1"/>
  <c r="Y40" i="1"/>
  <c r="Y41" i="1"/>
  <c r="Y44" i="1"/>
  <c r="T51" i="2"/>
  <c r="T50" i="2"/>
  <c r="T47" i="2"/>
  <c r="T48" i="2"/>
  <c r="T52" i="2"/>
  <c r="T54" i="2"/>
  <c r="Z27" i="1"/>
  <c r="AA25" i="1"/>
  <c r="AA26" i="1"/>
  <c r="U40" i="2"/>
  <c r="U42" i="2"/>
  <c r="U44" i="2"/>
  <c r="Z28" i="1"/>
  <c r="Z40" i="1"/>
  <c r="Z41" i="1"/>
  <c r="Z44" i="1"/>
  <c r="T30" i="2"/>
  <c r="T31" i="2"/>
  <c r="U49" i="2"/>
  <c r="U45" i="2"/>
  <c r="U46" i="2"/>
  <c r="V41" i="2"/>
  <c r="T84" i="2"/>
  <c r="T78" i="2"/>
  <c r="T81" i="2"/>
  <c r="U51" i="2"/>
  <c r="U50" i="2"/>
  <c r="U47" i="2"/>
  <c r="U48" i="2"/>
  <c r="AB25" i="1"/>
  <c r="AB26" i="1"/>
  <c r="V40" i="2"/>
  <c r="V42" i="2"/>
  <c r="V44" i="2"/>
  <c r="U52" i="2"/>
  <c r="U54" i="2"/>
  <c r="V45" i="2"/>
  <c r="V46" i="2"/>
  <c r="V49" i="2"/>
  <c r="W41" i="2"/>
  <c r="AA27" i="1"/>
  <c r="U30" i="2"/>
  <c r="U31" i="2"/>
  <c r="V51" i="2"/>
  <c r="V50" i="2"/>
  <c r="V47" i="2"/>
  <c r="V48" i="2"/>
  <c r="W40" i="2"/>
  <c r="W42" i="2"/>
  <c r="AC25" i="1"/>
  <c r="AC26" i="1"/>
  <c r="V52" i="2"/>
  <c r="V54" i="2"/>
  <c r="AB27" i="1"/>
  <c r="U84" i="2"/>
  <c r="U78" i="2"/>
  <c r="U81" i="2"/>
  <c r="AA40" i="1"/>
  <c r="AA41" i="1"/>
  <c r="AA44" i="1"/>
  <c r="AA28" i="1"/>
  <c r="W44" i="2"/>
  <c r="AB28" i="1"/>
  <c r="AB40" i="1"/>
  <c r="AB41" i="1"/>
  <c r="AB44" i="1"/>
  <c r="V30" i="2"/>
  <c r="V31" i="2"/>
  <c r="W49" i="2"/>
  <c r="W45" i="2"/>
  <c r="W46" i="2"/>
  <c r="V84" i="2"/>
  <c r="V78" i="2"/>
  <c r="V81" i="2"/>
  <c r="W51" i="2"/>
  <c r="W50" i="2"/>
  <c r="W47" i="2"/>
  <c r="W48" i="2"/>
  <c r="W52" i="2"/>
  <c r="W54" i="2"/>
  <c r="W30" i="2"/>
  <c r="W31" i="2"/>
  <c r="AC27" i="1"/>
  <c r="AC40" i="1"/>
  <c r="AC41" i="1"/>
  <c r="AC44" i="1"/>
  <c r="AC28" i="1"/>
  <c r="W78" i="2"/>
  <c r="W81" i="2"/>
  <c r="W84" i="2"/>
  <c r="G10" i="1"/>
  <c r="G8" i="1"/>
  <c r="G5" i="1"/>
  <c r="C85" i="2"/>
  <c r="G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Schneck</author>
  </authors>
  <commentList>
    <comment ref="C4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Dennis Schneck:
http://www.bloomberg.com/markets/rates-bonds/government-bonds/germany/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Dennis Schneck:
http://pages.stern.nyu.edu/~adamodar/New_Home_Page/datafile/ctryprem.html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<sst xmlns="http://schemas.openxmlformats.org/spreadsheetml/2006/main" count="488" uniqueCount="268">
  <si>
    <t>Input - Parameter</t>
  </si>
  <si>
    <t>Resultate</t>
  </si>
  <si>
    <t>Einheiten</t>
  </si>
  <si>
    <t>Einheit</t>
  </si>
  <si>
    <t xml:space="preserve">Case - Option </t>
  </si>
  <si>
    <t>Base Case</t>
  </si>
  <si>
    <t xml:space="preserve">NPV </t>
  </si>
  <si>
    <t>EUR</t>
  </si>
  <si>
    <t>NPV costs</t>
  </si>
  <si>
    <t>Stück</t>
  </si>
  <si>
    <t>NPV kWh</t>
  </si>
  <si>
    <t>kWp</t>
  </si>
  <si>
    <t>IRR</t>
  </si>
  <si>
    <r>
      <t>kW</t>
    </r>
    <r>
      <rPr>
        <vertAlign val="subscript"/>
        <sz val="11"/>
        <color theme="1"/>
        <rFont val="Calibri"/>
        <family val="2"/>
        <scheme val="minor"/>
      </rPr>
      <t>p</t>
    </r>
  </si>
  <si>
    <t>LEC</t>
  </si>
  <si>
    <t>kWh/a</t>
  </si>
  <si>
    <t>Min. DSCR</t>
  </si>
  <si>
    <t>ADSCR</t>
  </si>
  <si>
    <t xml:space="preserve">kWh </t>
  </si>
  <si>
    <t>GuV</t>
  </si>
  <si>
    <t>a</t>
  </si>
  <si>
    <t>EUR/kWh</t>
  </si>
  <si>
    <t>Erträge</t>
  </si>
  <si>
    <t>EUR (nominal)</t>
  </si>
  <si>
    <t>Betriebskosten</t>
  </si>
  <si>
    <t>EBITDA</t>
  </si>
  <si>
    <t>Investment</t>
  </si>
  <si>
    <t>Abschreibung</t>
  </si>
  <si>
    <t>EBIT</t>
  </si>
  <si>
    <t>Net financial income</t>
  </si>
  <si>
    <t>EBT</t>
  </si>
  <si>
    <t>Steuern</t>
  </si>
  <si>
    <t>Profit after tax</t>
  </si>
  <si>
    <t>Constant Payment</t>
  </si>
  <si>
    <t>Eigenkapital</t>
  </si>
  <si>
    <t>Cash-Flow</t>
  </si>
  <si>
    <t>Jahre</t>
  </si>
  <si>
    <t>Zinsen</t>
  </si>
  <si>
    <t>Fremdkapital</t>
  </si>
  <si>
    <t>Yes</t>
  </si>
  <si>
    <t>Risk free rate</t>
  </si>
  <si>
    <t>CFADS</t>
  </si>
  <si>
    <t>Market risk premium</t>
  </si>
  <si>
    <t>CFASH</t>
  </si>
  <si>
    <t>WACC w/ tax</t>
  </si>
  <si>
    <t>Sonstige</t>
  </si>
  <si>
    <t>Inflation</t>
  </si>
  <si>
    <t>Annuity</t>
  </si>
  <si>
    <t>€</t>
  </si>
  <si>
    <t>IHK Erfurt</t>
  </si>
  <si>
    <t>IHK Hamburg</t>
  </si>
  <si>
    <t>Kalkulation</t>
  </si>
  <si>
    <t>Periode</t>
  </si>
  <si>
    <t>Jahr</t>
  </si>
  <si>
    <t>Energie</t>
  </si>
  <si>
    <t>kWh</t>
  </si>
  <si>
    <t>Einspeisevergütung
(Fix für 20 Jahre)</t>
  </si>
  <si>
    <t>Total</t>
  </si>
  <si>
    <t>Ausgaben</t>
  </si>
  <si>
    <t>Ausschüttung REC</t>
  </si>
  <si>
    <t>Steuer</t>
  </si>
  <si>
    <t>Income Statement</t>
  </si>
  <si>
    <t>EBITAD</t>
  </si>
  <si>
    <t>PBT</t>
  </si>
  <si>
    <t>loss carry forward</t>
  </si>
  <si>
    <t>taxable income</t>
  </si>
  <si>
    <t>Versteuerbares Einkommen nach Freibetrag</t>
  </si>
  <si>
    <t>Anteil Nentzelsrode (70 %)</t>
  </si>
  <si>
    <t>Grundbeitrag</t>
  </si>
  <si>
    <t>Hebesatz</t>
  </si>
  <si>
    <t>Gewerbesteuer Nentzelsrode</t>
  </si>
  <si>
    <t>Anteil Hamburg (30 %)</t>
  </si>
  <si>
    <t>Gewerbesteuer Hamburg</t>
  </si>
  <si>
    <t>Gewerbesteuer Gesamt</t>
  </si>
  <si>
    <t>Opening Balance</t>
  </si>
  <si>
    <t>Repayment</t>
  </si>
  <si>
    <t>Interest</t>
  </si>
  <si>
    <t>Debt Service</t>
  </si>
  <si>
    <t>Debt service</t>
  </si>
  <si>
    <t>Cash Flow after debt service</t>
  </si>
  <si>
    <t>Cash Flow Genossenschaft</t>
  </si>
  <si>
    <t>DSCR</t>
  </si>
  <si>
    <t>Betriebskosten für Grafik</t>
  </si>
  <si>
    <t>Input</t>
  </si>
  <si>
    <t>GmbH</t>
  </si>
  <si>
    <t>MW</t>
  </si>
  <si>
    <t>kWh/5a</t>
  </si>
  <si>
    <t>Degression</t>
  </si>
  <si>
    <t>Einnahmen Grundvergütung</t>
  </si>
  <si>
    <t>€/a</t>
  </si>
  <si>
    <t>€cent/kWh</t>
  </si>
  <si>
    <t>Einnahmen Anfangsvergütung</t>
  </si>
  <si>
    <t>Berechnung</t>
  </si>
  <si>
    <t>WEA, inkl. Trafo, Transport, Montage, Fundament</t>
  </si>
  <si>
    <t>Anzahl</t>
  </si>
  <si>
    <t>Einzelpreis</t>
  </si>
  <si>
    <t>Stellflächen</t>
  </si>
  <si>
    <t>€ /WEA</t>
  </si>
  <si>
    <t>Wegebau</t>
  </si>
  <si>
    <t xml:space="preserve"> €/km</t>
  </si>
  <si>
    <t xml:space="preserve"> €/Flurstück</t>
  </si>
  <si>
    <t>Verkabelung Intern und Extern</t>
  </si>
  <si>
    <t xml:space="preserve"> €/Meter</t>
  </si>
  <si>
    <t>€/Stck.</t>
  </si>
  <si>
    <t>Übergabestion</t>
  </si>
  <si>
    <t>€ /Anschluß</t>
  </si>
  <si>
    <t>Windgutachten</t>
  </si>
  <si>
    <t>Schallgutachten</t>
  </si>
  <si>
    <t>Bodengutachten</t>
  </si>
  <si>
    <t>Faunistisches Gutachten</t>
  </si>
  <si>
    <t>Umsiedelung Hamster</t>
  </si>
  <si>
    <t>Ausgleichsflächen Hamster</t>
  </si>
  <si>
    <t>Abnahmegutachten</t>
  </si>
  <si>
    <t>Notar und Rechtskosten</t>
  </si>
  <si>
    <t>Projektierung</t>
  </si>
  <si>
    <t>Baugenehmigung</t>
  </si>
  <si>
    <t>€/WEA</t>
  </si>
  <si>
    <t>Reserve</t>
  </si>
  <si>
    <t>Gesamt</t>
  </si>
  <si>
    <t>€/kWh</t>
  </si>
  <si>
    <t>Wartung (Vollwartungsvertrag)</t>
  </si>
  <si>
    <t>vom Investment</t>
  </si>
  <si>
    <t>Pachtkosten</t>
  </si>
  <si>
    <t>€/MW</t>
  </si>
  <si>
    <t>Jahresabschluss, Steuerberatung</t>
  </si>
  <si>
    <t>Versicherungen</t>
  </si>
  <si>
    <t>Bauherren-, Betreiberhaftpflicht; Maschinen-, MBU-Versicherung</t>
  </si>
  <si>
    <t>Betriebsführung</t>
  </si>
  <si>
    <t>Rückbaubürgschaft Rücklagen</t>
  </si>
  <si>
    <t>Ziel 600.000€ nach 20 Jahren                         15MW x 40.000 €</t>
  </si>
  <si>
    <t>Eigenverbrauch</t>
  </si>
  <si>
    <t>Hamster</t>
  </si>
  <si>
    <t>t/ha</t>
  </si>
  <si>
    <t>Weizenpreis</t>
  </si>
  <si>
    <t>€/t</t>
  </si>
  <si>
    <t>Gerstepreis</t>
  </si>
  <si>
    <t>Euro</t>
  </si>
  <si>
    <t>Spalte1</t>
  </si>
  <si>
    <t>Spalte2</t>
  </si>
  <si>
    <t>Spalte3</t>
  </si>
  <si>
    <t>Sonstige Kosten( Ausgleichsmaßnahmen, Dienstbarkeiten usw.)</t>
  </si>
  <si>
    <t>Kosten Hamster</t>
  </si>
  <si>
    <t>Investitionsvolumen</t>
  </si>
  <si>
    <t>Jährlicher Energieertrag</t>
  </si>
  <si>
    <t>Einspeisevergütung</t>
  </si>
  <si>
    <t>Projektdauer</t>
  </si>
  <si>
    <t>Total output</t>
  </si>
  <si>
    <t>Gross energy yield</t>
  </si>
  <si>
    <t>Cable and transformer losses</t>
  </si>
  <si>
    <t>Bat losses</t>
  </si>
  <si>
    <t>Total losses</t>
  </si>
  <si>
    <t>Net energy yield</t>
  </si>
  <si>
    <t>Site quality</t>
  </si>
  <si>
    <t>Term Initial tariff</t>
  </si>
  <si>
    <t>Feed-in tariff (start)</t>
  </si>
  <si>
    <t>Number of WT</t>
  </si>
  <si>
    <t>Installed output (Per WT)</t>
  </si>
  <si>
    <t>Collateral (Damage)</t>
  </si>
  <si>
    <t>Total investment costs</t>
  </si>
  <si>
    <t>Total operating costs</t>
  </si>
  <si>
    <t>Loan type</t>
  </si>
  <si>
    <t>Debt ratio</t>
  </si>
  <si>
    <t>Equity</t>
  </si>
  <si>
    <t>Term</t>
  </si>
  <si>
    <t>Interest Bank</t>
  </si>
  <si>
    <t>Refinancing</t>
  </si>
  <si>
    <t>Interest rate</t>
  </si>
  <si>
    <t>Debt capital</t>
  </si>
  <si>
    <t>Loss carry forward</t>
  </si>
  <si>
    <t>beta</t>
  </si>
  <si>
    <t>Cost of equity</t>
  </si>
  <si>
    <t>Other</t>
  </si>
  <si>
    <t>Depreciation period</t>
  </si>
  <si>
    <t>Discount rate</t>
  </si>
  <si>
    <t>Project duration</t>
  </si>
  <si>
    <t>Business tax</t>
  </si>
  <si>
    <t>tax-free amount</t>
  </si>
  <si>
    <t>Tax base</t>
  </si>
  <si>
    <t>Nentzelsrode share</t>
  </si>
  <si>
    <t>Share of municipality of management</t>
  </si>
  <si>
    <t>Municipality of location</t>
  </si>
  <si>
    <t>Municipality of the management</t>
  </si>
  <si>
    <t>Base case</t>
  </si>
  <si>
    <t>Base case without security</t>
  </si>
  <si>
    <t>Income</t>
  </si>
  <si>
    <t>Operating costs</t>
  </si>
  <si>
    <t>Depreciation and amortization</t>
  </si>
  <si>
    <t>Taxes</t>
  </si>
  <si>
    <t>Trade tax</t>
  </si>
  <si>
    <t>interest</t>
  </si>
  <si>
    <t>Finanzierung (</t>
  </si>
  <si>
    <t>Project / Plant</t>
  </si>
  <si>
    <t>Nentzelsrode project</t>
  </si>
  <si>
    <t>Type of company Operator</t>
  </si>
  <si>
    <t>Type of plant</t>
  </si>
  <si>
    <t>Installed capacity</t>
  </si>
  <si>
    <t>Commissioning</t>
  </si>
  <si>
    <t>Price per plant</t>
  </si>
  <si>
    <t>Remuneration</t>
  </si>
  <si>
    <t>Reference energy yield</t>
  </si>
  <si>
    <t>Energy yield</t>
  </si>
  <si>
    <t>Term Initial remuneration</t>
  </si>
  <si>
    <t>SDL bonus</t>
  </si>
  <si>
    <t>Repowering bonus</t>
  </si>
  <si>
    <t>Initial remuneration</t>
  </si>
  <si>
    <t>Initial tariff incl. bonuses</t>
  </si>
  <si>
    <t>Basic remuneration</t>
  </si>
  <si>
    <t>investment</t>
  </si>
  <si>
    <t>WTG, incl. transformer, transportation, assembly, foundation</t>
  </si>
  <si>
    <t>Road construction</t>
  </si>
  <si>
    <t>Easement for road construction</t>
  </si>
  <si>
    <t>Internal and external cabling</t>
  </si>
  <si>
    <t>Cabling land use</t>
  </si>
  <si>
    <t>Rotor painting</t>
  </si>
  <si>
    <t>Transfer station</t>
  </si>
  <si>
    <t>Grid connection</t>
  </si>
  <si>
    <t>Wind expertise</t>
  </si>
  <si>
    <t>Noise survey</t>
  </si>
  <si>
    <t>Soil expertise</t>
  </si>
  <si>
    <t>Faunistic expertise</t>
  </si>
  <si>
    <t>Hamster relocation</t>
  </si>
  <si>
    <t>Hamster compensation areas</t>
  </si>
  <si>
    <t>Acceptance report</t>
  </si>
  <si>
    <t>Notary and legal costs</t>
  </si>
  <si>
    <t>SDL expert opinion</t>
  </si>
  <si>
    <t>Project planning</t>
  </si>
  <si>
    <t>Building permit</t>
  </si>
  <si>
    <t>Compensatory measures</t>
  </si>
  <si>
    <t>Other costs</t>
  </si>
  <si>
    <t>Pre-financing</t>
  </si>
  <si>
    <t>Bank structuring fee</t>
  </si>
  <si>
    <t>Guarantee commission</t>
  </si>
  <si>
    <t>Total purchase price</t>
  </si>
  <si>
    <t>Specific purchase price</t>
  </si>
  <si>
    <t>Depreciable investment costs</t>
  </si>
  <si>
    <t>Equity share</t>
  </si>
  <si>
    <t>Debt capital share</t>
  </si>
  <si>
    <t>KfW Program 270 Renewable Energies - “Standard” program section</t>
  </si>
  <si>
    <t>Amount</t>
  </si>
  <si>
    <t>Repayment-free years</t>
  </si>
  <si>
    <t>Disbursement date</t>
  </si>
  <si>
    <t>Financing</t>
  </si>
  <si>
    <t>Maintenance (full maintenance contract)</t>
  </si>
  <si>
    <t>Lease costs</t>
  </si>
  <si>
    <t>Annual financial statements, tax advice</t>
  </si>
  <si>
    <t>insurance</t>
  </si>
  <si>
    <t>Operational management</t>
  </si>
  <si>
    <t>Dismantling guarantee Reserves</t>
  </si>
  <si>
    <t>Own consumption</t>
  </si>
  <si>
    <t>Yield loss farmer (0.4 ha)Wheat</t>
  </si>
  <si>
    <t>Yield loss farmer (0.4 ha) Barley</t>
  </si>
  <si>
    <t>Hamster Observation</t>
  </si>
  <si>
    <t>Miscellaneous</t>
  </si>
  <si>
    <t>taxes</t>
  </si>
  <si>
    <t>Tax rate</t>
  </si>
  <si>
    <t>Share of Nentzelsrode</t>
  </si>
  <si>
    <t>Rate of assessment Nentzelsrode</t>
  </si>
  <si>
    <t>Suzlon S97 2100KW</t>
  </si>
  <si>
    <t>Number of plants (WT)</t>
  </si>
  <si>
    <t>Reference yield per WT</t>
  </si>
  <si>
    <t>Discount for line &amp; transformer losses</t>
  </si>
  <si>
    <t>Safety discount</t>
  </si>
  <si>
    <t>200 Rs</t>
  </si>
  <si>
    <t>Foundation</t>
  </si>
  <si>
    <t>Rate of assessment of the management in Gujarat</t>
  </si>
  <si>
    <t>Share of management in Gujarat</t>
  </si>
  <si>
    <t>3.61 Rs/kwh</t>
  </si>
  <si>
    <t>India Inflation Rate 1960-2024 | MacroTrends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</si>
</sst>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#,##0.00\ &quot;€&quot;;[Red]\-#,##0.00\ &quot;€&quot;"/>
    <numFmt numFmtId="165" formatCode="_-* #,##0.00\ _€_-;\-* #,##0.00\ _€_-;_-* &quot;-&quot;??\ _€_-;_-@_-"/>
    <numFmt numFmtId="166" formatCode="_-* #,##0\ _€_-;\-* #,##0\ _€_-;_-* &quot;-&quot;??\ _€_-;_-@_-"/>
    <numFmt numFmtId="167" formatCode="#,##0_ ;\-#,##0\ "/>
    <numFmt numFmtId="168" formatCode="0.000%"/>
    <numFmt numFmtId="169" formatCode="#,##0_ ;[Red]\-#,##0\ "/>
    <numFmt numFmtId="170" formatCode="#,##0.0000_ ;[Red]\-#,##0.0000\ "/>
    <numFmt numFmtId="171" formatCode="0.0%"/>
    <numFmt numFmtId="172" formatCode="0.0000"/>
    <numFmt numFmtId="173" formatCode="#,##0.000"/>
    <numFmt numFmtId="174" formatCode="#,##0.00_ ;[Red]\-#,##0.00\ "/>
    <numFmt numFmtId="175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90">
    <xf numFmtId="0" fontId="0" fillId="0" borderId="0" xfId="0"/>
    <xf numFmtId="0" fontId="2" fillId="0" borderId="0" xfId="0" applyFont="1"/>
    <xf numFmtId="10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0" xfId="0" applyFont="1" applyAlignment="1">
      <alignment horizontal="right"/>
    </xf>
    <xf numFmtId="165" fontId="0" fillId="0" borderId="0" xfId="0" applyNumberFormat="1"/>
    <xf numFmtId="166" fontId="0" fillId="0" borderId="0" xfId="0" applyNumberFormat="1"/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164" fontId="0" fillId="0" borderId="0" xfId="0" applyNumberFormat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2" fontId="0" fillId="0" borderId="0" xfId="0" applyNumberFormat="1"/>
    <xf numFmtId="166" fontId="0" fillId="0" borderId="0" xfId="1" applyNumberFormat="1" applyFont="1" applyFill="1" applyBorder="1"/>
    <xf numFmtId="3" fontId="0" fillId="0" borderId="0" xfId="1" applyNumberFormat="1" applyFont="1" applyAlignment="1">
      <alignment horizontal="right"/>
    </xf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0" fontId="0" fillId="0" borderId="16" xfId="0" applyBorder="1"/>
    <xf numFmtId="0" fontId="0" fillId="0" borderId="0" xfId="0" applyAlignment="1">
      <alignment horizontal="left"/>
    </xf>
    <xf numFmtId="0" fontId="0" fillId="0" borderId="16" xfId="0" applyBorder="1" applyAlignment="1">
      <alignment horizontal="left"/>
    </xf>
    <xf numFmtId="167" fontId="0" fillId="0" borderId="0" xfId="1" applyNumberFormat="1" applyFont="1"/>
    <xf numFmtId="167" fontId="0" fillId="0" borderId="0" xfId="0" applyNumberFormat="1"/>
    <xf numFmtId="3" fontId="3" fillId="0" borderId="0" xfId="0" applyNumberFormat="1" applyFont="1"/>
    <xf numFmtId="0" fontId="2" fillId="3" borderId="2" xfId="0" applyFont="1" applyFill="1" applyBorder="1"/>
    <xf numFmtId="0" fontId="0" fillId="3" borderId="5" xfId="0" applyFill="1" applyBorder="1"/>
    <xf numFmtId="0" fontId="0" fillId="3" borderId="7" xfId="0" applyFill="1" applyBorder="1"/>
    <xf numFmtId="0" fontId="2" fillId="3" borderId="9" xfId="0" applyFont="1" applyFill="1" applyBorder="1"/>
    <xf numFmtId="0" fontId="0" fillId="3" borderId="11" xfId="0" applyFill="1" applyBorder="1"/>
    <xf numFmtId="0" fontId="0" fillId="3" borderId="13" xfId="0" applyFill="1" applyBorder="1"/>
    <xf numFmtId="0" fontId="0" fillId="3" borderId="1" xfId="0" applyFill="1" applyBorder="1"/>
    <xf numFmtId="3" fontId="0" fillId="3" borderId="1" xfId="0" applyNumberForma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6" xfId="0" applyFill="1" applyBorder="1"/>
    <xf numFmtId="3" fontId="0" fillId="3" borderId="6" xfId="0" applyNumberFormat="1" applyFill="1" applyBorder="1"/>
    <xf numFmtId="0" fontId="0" fillId="3" borderId="14" xfId="0" applyFill="1" applyBorder="1"/>
    <xf numFmtId="3" fontId="0" fillId="3" borderId="14" xfId="0" applyNumberFormat="1" applyFill="1" applyBorder="1"/>
    <xf numFmtId="0" fontId="0" fillId="3" borderId="8" xfId="0" applyFill="1" applyBorder="1"/>
    <xf numFmtId="3" fontId="0" fillId="3" borderId="8" xfId="0" applyNumberFormat="1" applyFill="1" applyBorder="1"/>
    <xf numFmtId="3" fontId="0" fillId="3" borderId="15" xfId="0" applyNumberFormat="1" applyFill="1" applyBorder="1"/>
    <xf numFmtId="0" fontId="0" fillId="3" borderId="12" xfId="0" applyFill="1" applyBorder="1"/>
    <xf numFmtId="0" fontId="0" fillId="3" borderId="10" xfId="0" applyFill="1" applyBorder="1"/>
    <xf numFmtId="3" fontId="0" fillId="3" borderId="10" xfId="0" applyNumberFormat="1" applyFill="1" applyBorder="1"/>
    <xf numFmtId="0" fontId="0" fillId="0" borderId="1" xfId="0" applyBorder="1"/>
    <xf numFmtId="3" fontId="0" fillId="0" borderId="1" xfId="0" applyNumberFormat="1" applyBorder="1"/>
    <xf numFmtId="3" fontId="0" fillId="2" borderId="1" xfId="0" applyNumberFormat="1" applyFill="1" applyBorder="1"/>
    <xf numFmtId="3" fontId="0" fillId="2" borderId="8" xfId="0" applyNumberFormat="1" applyFill="1" applyBorder="1"/>
    <xf numFmtId="0" fontId="0" fillId="2" borderId="10" xfId="0" applyFill="1" applyBorder="1"/>
    <xf numFmtId="3" fontId="0" fillId="2" borderId="10" xfId="0" applyNumberFormat="1" applyFill="1" applyBorder="1"/>
    <xf numFmtId="3" fontId="0" fillId="3" borderId="12" xfId="0" applyNumberFormat="1" applyFill="1" applyBorder="1"/>
    <xf numFmtId="3" fontId="0" fillId="3" borderId="17" xfId="0" applyNumberFormat="1" applyFill="1" applyBorder="1"/>
    <xf numFmtId="168" fontId="0" fillId="0" borderId="0" xfId="0" applyNumberFormat="1"/>
    <xf numFmtId="165" fontId="2" fillId="0" borderId="0" xfId="0" applyNumberFormat="1" applyFont="1"/>
    <xf numFmtId="166" fontId="2" fillId="0" borderId="0" xfId="0" applyNumberFormat="1" applyFont="1"/>
    <xf numFmtId="166" fontId="2" fillId="0" borderId="0" xfId="1" applyNumberFormat="1" applyFont="1" applyFill="1" applyBorder="1"/>
    <xf numFmtId="169" fontId="0" fillId="0" borderId="0" xfId="0" applyNumberFormat="1"/>
    <xf numFmtId="170" fontId="0" fillId="0" borderId="0" xfId="0" applyNumberFormat="1"/>
    <xf numFmtId="0" fontId="0" fillId="0" borderId="0" xfId="0" applyAlignment="1">
      <alignment horizontal="right" wrapText="1"/>
    </xf>
    <xf numFmtId="0" fontId="0" fillId="4" borderId="1" xfId="0" applyFill="1" applyBorder="1"/>
    <xf numFmtId="10" fontId="0" fillId="4" borderId="1" xfId="0" applyNumberFormat="1" applyFill="1" applyBorder="1"/>
    <xf numFmtId="9" fontId="0" fillId="4" borderId="1" xfId="0" applyNumberFormat="1" applyFill="1" applyBorder="1"/>
    <xf numFmtId="0" fontId="0" fillId="4" borderId="1" xfId="0" applyFill="1" applyBorder="1" applyAlignment="1">
      <alignment horizontal="right"/>
    </xf>
    <xf numFmtId="0" fontId="0" fillId="0" borderId="18" xfId="0" applyBorder="1"/>
    <xf numFmtId="165" fontId="0" fillId="0" borderId="18" xfId="0" applyNumberFormat="1" applyBorder="1"/>
    <xf numFmtId="166" fontId="0" fillId="0" borderId="18" xfId="0" applyNumberFormat="1" applyBorder="1"/>
    <xf numFmtId="165" fontId="2" fillId="0" borderId="18" xfId="0" applyNumberFormat="1" applyFont="1" applyBorder="1"/>
    <xf numFmtId="166" fontId="0" fillId="0" borderId="18" xfId="1" applyNumberFormat="1" applyFont="1" applyFill="1" applyBorder="1"/>
    <xf numFmtId="166" fontId="2" fillId="0" borderId="18" xfId="0" applyNumberFormat="1" applyFont="1" applyBorder="1"/>
    <xf numFmtId="2" fontId="0" fillId="0" borderId="18" xfId="0" applyNumberFormat="1" applyBorder="1"/>
    <xf numFmtId="0" fontId="0" fillId="5" borderId="0" xfId="0" applyFill="1"/>
    <xf numFmtId="0" fontId="0" fillId="6" borderId="0" xfId="0" applyFill="1"/>
    <xf numFmtId="0" fontId="9" fillId="0" borderId="0" xfId="0" applyFont="1"/>
    <xf numFmtId="0" fontId="0" fillId="0" borderId="0" xfId="0" applyAlignment="1">
      <alignment horizontal="left" indent="1"/>
    </xf>
    <xf numFmtId="0" fontId="0" fillId="0" borderId="20" xfId="0" applyBorder="1" applyAlignment="1">
      <alignment horizontal="left" indent="1"/>
    </xf>
    <xf numFmtId="9" fontId="0" fillId="0" borderId="0" xfId="0" applyNumberFormat="1" applyAlignment="1">
      <alignment horizontal="left" indent="1"/>
    </xf>
    <xf numFmtId="0" fontId="2" fillId="0" borderId="0" xfId="0" applyFont="1" applyAlignment="1">
      <alignment horizontal="left"/>
    </xf>
    <xf numFmtId="0" fontId="0" fillId="0" borderId="20" xfId="0" applyBorder="1"/>
    <xf numFmtId="9" fontId="2" fillId="0" borderId="20" xfId="0" applyNumberFormat="1" applyFont="1" applyBorder="1"/>
    <xf numFmtId="0" fontId="2" fillId="0" borderId="20" xfId="0" applyFont="1" applyBorder="1"/>
    <xf numFmtId="0" fontId="0" fillId="0" borderId="19" xfId="0" applyBorder="1" applyAlignment="1">
      <alignment horizontal="left" indent="1"/>
    </xf>
    <xf numFmtId="3" fontId="0" fillId="0" borderId="20" xfId="0" applyNumberFormat="1" applyBorder="1"/>
    <xf numFmtId="0" fontId="10" fillId="0" borderId="0" xfId="0" applyFont="1"/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/>
    </xf>
    <xf numFmtId="0" fontId="2" fillId="3" borderId="21" xfId="0" applyFont="1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0" fontId="0" fillId="3" borderId="23" xfId="0" applyFill="1" applyBorder="1" applyAlignment="1">
      <alignment horizontal="left"/>
    </xf>
    <xf numFmtId="0" fontId="2" fillId="3" borderId="24" xfId="0" applyFont="1" applyFill="1" applyBorder="1" applyAlignment="1">
      <alignment horizontal="left"/>
    </xf>
    <xf numFmtId="0" fontId="0" fillId="3" borderId="25" xfId="0" applyFill="1" applyBorder="1" applyAlignment="1">
      <alignment horizontal="left"/>
    </xf>
    <xf numFmtId="0" fontId="2" fillId="2" borderId="21" xfId="0" applyFont="1" applyFill="1" applyBorder="1" applyAlignment="1">
      <alignment horizontal="left"/>
    </xf>
    <xf numFmtId="0" fontId="0" fillId="2" borderId="22" xfId="0" applyFill="1" applyBorder="1" applyAlignment="1">
      <alignment horizontal="left"/>
    </xf>
    <xf numFmtId="0" fontId="0" fillId="2" borderId="23" xfId="0" applyFill="1" applyBorder="1" applyAlignment="1">
      <alignment horizontal="left"/>
    </xf>
    <xf numFmtId="0" fontId="2" fillId="2" borderId="24" xfId="0" applyFont="1" applyFill="1" applyBorder="1" applyAlignment="1">
      <alignment horizontal="left"/>
    </xf>
    <xf numFmtId="0" fontId="2" fillId="0" borderId="26" xfId="0" applyFont="1" applyBorder="1"/>
    <xf numFmtId="0" fontId="2" fillId="0" borderId="27" xfId="0" applyFont="1" applyBorder="1" applyAlignment="1">
      <alignment horizontal="left"/>
    </xf>
    <xf numFmtId="3" fontId="2" fillId="0" borderId="27" xfId="0" applyNumberFormat="1" applyFont="1" applyBorder="1"/>
    <xf numFmtId="0" fontId="2" fillId="5" borderId="26" xfId="0" applyFont="1" applyFill="1" applyBorder="1"/>
    <xf numFmtId="0" fontId="2" fillId="5" borderId="27" xfId="0" applyFont="1" applyFill="1" applyBorder="1" applyAlignment="1">
      <alignment horizontal="left"/>
    </xf>
    <xf numFmtId="3" fontId="0" fillId="5" borderId="27" xfId="0" applyNumberFormat="1" applyFill="1" applyBorder="1"/>
    <xf numFmtId="3" fontId="0" fillId="5" borderId="28" xfId="0" applyNumberFormat="1" applyFill="1" applyBorder="1"/>
    <xf numFmtId="0" fontId="0" fillId="5" borderId="27" xfId="0" applyFill="1" applyBorder="1"/>
    <xf numFmtId="0" fontId="7" fillId="7" borderId="0" xfId="0" applyFont="1" applyFill="1"/>
    <xf numFmtId="0" fontId="0" fillId="7" borderId="0" xfId="0" applyFill="1"/>
    <xf numFmtId="0" fontId="0" fillId="7" borderId="18" xfId="0" applyFill="1" applyBorder="1"/>
    <xf numFmtId="0" fontId="8" fillId="7" borderId="0" xfId="0" applyFont="1" applyFill="1"/>
    <xf numFmtId="0" fontId="6" fillId="7" borderId="0" xfId="0" applyFont="1" applyFill="1"/>
    <xf numFmtId="0" fontId="0" fillId="0" borderId="27" xfId="0" applyBorder="1"/>
    <xf numFmtId="0" fontId="2" fillId="2" borderId="13" xfId="0" applyFont="1" applyFill="1" applyBorder="1"/>
    <xf numFmtId="0" fontId="2" fillId="2" borderId="14" xfId="0" applyFont="1" applyFill="1" applyBorder="1"/>
    <xf numFmtId="0" fontId="0" fillId="2" borderId="14" xfId="0" applyFill="1" applyBorder="1"/>
    <xf numFmtId="3" fontId="11" fillId="2" borderId="14" xfId="0" applyNumberFormat="1" applyFont="1" applyFill="1" applyBorder="1"/>
    <xf numFmtId="9" fontId="0" fillId="0" borderId="0" xfId="2" applyFont="1"/>
    <xf numFmtId="14" fontId="0" fillId="0" borderId="0" xfId="0" applyNumberFormat="1"/>
    <xf numFmtId="10" fontId="0" fillId="0" borderId="0" xfId="2" applyNumberFormat="1" applyFont="1"/>
    <xf numFmtId="171" fontId="0" fillId="0" borderId="0" xfId="2" applyNumberFormat="1" applyFont="1"/>
    <xf numFmtId="2" fontId="2" fillId="0" borderId="0" xfId="0" applyNumberFormat="1" applyFont="1"/>
    <xf numFmtId="172" fontId="0" fillId="0" borderId="0" xfId="0" applyNumberFormat="1"/>
    <xf numFmtId="9" fontId="0" fillId="0" borderId="0" xfId="2" applyFont="1" applyAlignment="1">
      <alignment horizontal="right"/>
    </xf>
    <xf numFmtId="167" fontId="0" fillId="0" borderId="0" xfId="1" applyNumberFormat="1" applyFont="1" applyAlignment="1">
      <alignment horizontal="right"/>
    </xf>
    <xf numFmtId="173" fontId="0" fillId="0" borderId="0" xfId="0" applyNumberFormat="1"/>
    <xf numFmtId="3" fontId="0" fillId="0" borderId="0" xfId="2" applyNumberFormat="1" applyFont="1"/>
    <xf numFmtId="3" fontId="2" fillId="4" borderId="1" xfId="0" applyNumberFormat="1" applyFont="1" applyFill="1" applyBorder="1"/>
    <xf numFmtId="0" fontId="11" fillId="0" borderId="0" xfId="0" applyFont="1"/>
    <xf numFmtId="0" fontId="11" fillId="0" borderId="0" xfId="0" applyFont="1" applyAlignment="1">
      <alignment horizontal="right"/>
    </xf>
    <xf numFmtId="171" fontId="11" fillId="0" borderId="0" xfId="2" applyNumberFormat="1" applyFont="1" applyFill="1"/>
    <xf numFmtId="9" fontId="11" fillId="0" borderId="0" xfId="2" applyFont="1" applyFill="1"/>
    <xf numFmtId="9" fontId="11" fillId="0" borderId="0" xfId="0" applyNumberFormat="1" applyFont="1"/>
    <xf numFmtId="0" fontId="0" fillId="3" borderId="29" xfId="0" applyFill="1" applyBorder="1"/>
    <xf numFmtId="0" fontId="0" fillId="3" borderId="30" xfId="0" applyFill="1" applyBorder="1" applyAlignment="1">
      <alignment horizontal="left"/>
    </xf>
    <xf numFmtId="0" fontId="0" fillId="3" borderId="31" xfId="0" applyFill="1" applyBorder="1"/>
    <xf numFmtId="3" fontId="0" fillId="3" borderId="31" xfId="0" applyNumberFormat="1" applyFill="1" applyBorder="1"/>
    <xf numFmtId="0" fontId="0" fillId="3" borderId="32" xfId="0" applyFill="1" applyBorder="1"/>
    <xf numFmtId="0" fontId="0" fillId="3" borderId="33" xfId="0" applyFill="1" applyBorder="1"/>
    <xf numFmtId="3" fontId="0" fillId="3" borderId="33" xfId="0" applyNumberFormat="1" applyFill="1" applyBorder="1"/>
    <xf numFmtId="0" fontId="0" fillId="3" borderId="34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174" fontId="0" fillId="0" borderId="0" xfId="0" applyNumberFormat="1"/>
    <xf numFmtId="0" fontId="2" fillId="0" borderId="35" xfId="0" applyFont="1" applyBorder="1"/>
    <xf numFmtId="0" fontId="2" fillId="0" borderId="35" xfId="0" applyFont="1" applyBorder="1" applyAlignment="1">
      <alignment horizontal="right"/>
    </xf>
    <xf numFmtId="3" fontId="2" fillId="0" borderId="35" xfId="0" applyNumberFormat="1" applyFont="1" applyBorder="1"/>
    <xf numFmtId="0" fontId="0" fillId="0" borderId="35" xfId="0" applyBorder="1" applyAlignment="1">
      <alignment horizontal="right"/>
    </xf>
    <xf numFmtId="0" fontId="0" fillId="0" borderId="35" xfId="0" applyBorder="1" applyAlignment="1">
      <alignment wrapText="1"/>
    </xf>
    <xf numFmtId="3" fontId="0" fillId="0" borderId="35" xfId="0" applyNumberFormat="1" applyBorder="1"/>
    <xf numFmtId="0" fontId="14" fillId="7" borderId="0" xfId="0" applyFont="1" applyFill="1"/>
    <xf numFmtId="0" fontId="15" fillId="0" borderId="0" xfId="0" applyFont="1"/>
    <xf numFmtId="4" fontId="0" fillId="0" borderId="0" xfId="0" applyNumberFormat="1"/>
    <xf numFmtId="2" fontId="0" fillId="0" borderId="16" xfId="0" applyNumberFormat="1" applyBorder="1"/>
    <xf numFmtId="165" fontId="0" fillId="0" borderId="0" xfId="1" applyFont="1"/>
    <xf numFmtId="168" fontId="0" fillId="0" borderId="0" xfId="1" applyNumberFormat="1" applyFont="1" applyAlignment="1">
      <alignment horizontal="right"/>
    </xf>
    <xf numFmtId="165" fontId="0" fillId="0" borderId="0" xfId="1" applyFont="1" applyAlignment="1">
      <alignment horizontal="right"/>
    </xf>
    <xf numFmtId="0" fontId="0" fillId="0" borderId="0" xfId="1" applyNumberFormat="1" applyFont="1" applyAlignment="1">
      <alignment horizontal="right"/>
    </xf>
    <xf numFmtId="3" fontId="0" fillId="0" borderId="0" xfId="1" applyNumberFormat="1" applyFont="1"/>
    <xf numFmtId="2" fontId="0" fillId="0" borderId="0" xfId="1" applyNumberFormat="1" applyFont="1" applyAlignment="1">
      <alignment horizontal="right"/>
    </xf>
    <xf numFmtId="175" fontId="0" fillId="0" borderId="0" xfId="1" applyNumberFormat="1" applyFont="1" applyAlignment="1">
      <alignment horizontal="right"/>
    </xf>
    <xf numFmtId="0" fontId="2" fillId="8" borderId="0" xfId="0" applyFont="1" applyFill="1" applyAlignment="1">
      <alignment wrapText="1"/>
    </xf>
    <xf numFmtId="10" fontId="0" fillId="8" borderId="1" xfId="1" applyNumberFormat="1" applyFont="1" applyFill="1" applyBorder="1" applyAlignment="1">
      <alignment horizontal="right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1" fontId="0" fillId="9" borderId="1" xfId="0" applyNumberFormat="1" applyFill="1" applyBorder="1"/>
    <xf numFmtId="0" fontId="0" fillId="8" borderId="0" xfId="0" applyFill="1"/>
    <xf numFmtId="10" fontId="0" fillId="8" borderId="1" xfId="0" applyNumberFormat="1" applyFill="1" applyBorder="1"/>
    <xf numFmtId="0" fontId="0" fillId="9" borderId="0" xfId="0" applyFill="1"/>
    <xf numFmtId="3" fontId="2" fillId="9" borderId="1" xfId="0" applyNumberFormat="1" applyFont="1" applyFill="1" applyBorder="1"/>
    <xf numFmtId="0" fontId="0" fillId="8" borderId="1" xfId="0" applyFill="1" applyBorder="1"/>
    <xf numFmtId="0" fontId="11" fillId="8" borderId="0" xfId="0" applyFont="1" applyFill="1"/>
    <xf numFmtId="3" fontId="0" fillId="8" borderId="1" xfId="0" applyNumberFormat="1" applyFill="1" applyBorder="1"/>
    <xf numFmtId="171" fontId="0" fillId="8" borderId="1" xfId="2" applyNumberFormat="1" applyFont="1" applyFill="1" applyBorder="1"/>
    <xf numFmtId="9" fontId="11" fillId="8" borderId="1" xfId="2" applyFont="1" applyFill="1" applyBorder="1"/>
    <xf numFmtId="9" fontId="11" fillId="8" borderId="1" xfId="0" applyNumberFormat="1" applyFont="1" applyFill="1" applyBorder="1"/>
    <xf numFmtId="0" fontId="0" fillId="8" borderId="0" xfId="0" applyFill="1" applyAlignment="1">
      <alignment horizontal="right"/>
    </xf>
    <xf numFmtId="9" fontId="0" fillId="8" borderId="0" xfId="2" applyFont="1" applyFill="1"/>
    <xf numFmtId="171" fontId="0" fillId="8" borderId="0" xfId="2" applyNumberFormat="1" applyFont="1" applyFill="1"/>
    <xf numFmtId="17" fontId="0" fillId="0" borderId="0" xfId="0" applyNumberFormat="1"/>
    <xf numFmtId="0" fontId="0" fillId="0" borderId="0" xfId="0" applyAlignment="1">
      <alignment horizontal="center" wrapText="1"/>
    </xf>
    <xf numFmtId="9" fontId="0" fillId="0" borderId="0" xfId="2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6" fillId="0" borderId="0" xfId="3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5">
    <dxf>
      <numFmt numFmtId="165" formatCode="_-* #,##0.00\ _€_-;\-* #,##0.00\ _€_-;_-* &quot;-&quot;??\ _€_-;_-@_-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" formatCode="#,##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Parameters!$F$20</c:f>
              <c:strCache>
                <c:ptCount val="1"/>
                <c:pt idx="0">
                  <c:v>Income</c:v>
                </c:pt>
              </c:strCache>
            </c:strRef>
          </c:tx>
          <c:invertIfNegative val="0"/>
          <c:cat>
            <c:numRef>
              <c:f>Parameters!$J$18:$AC$18</c:f>
              <c:numCache>
                <c:formatCode>General</c:formatCode>
                <c:ptCount val="20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</c:numCache>
            </c:numRef>
          </c:cat>
          <c:val>
            <c:numRef>
              <c:f>Parameters!$J$20:$AC$20</c:f>
              <c:numCache>
                <c:formatCode>#,##0</c:formatCode>
                <c:ptCount val="20"/>
                <c:pt idx="0">
                  <c:v>1564892.6166000001</c:v>
                </c:pt>
                <c:pt idx="1">
                  <c:v>1564892.6166000001</c:v>
                </c:pt>
                <c:pt idx="2">
                  <c:v>1564892.6166000001</c:v>
                </c:pt>
                <c:pt idx="3">
                  <c:v>1564892.6166000001</c:v>
                </c:pt>
                <c:pt idx="4">
                  <c:v>1564892.6166000001</c:v>
                </c:pt>
                <c:pt idx="5">
                  <c:v>1564892.6166000001</c:v>
                </c:pt>
                <c:pt idx="6">
                  <c:v>1564892.6166000001</c:v>
                </c:pt>
                <c:pt idx="7">
                  <c:v>1564892.6166000001</c:v>
                </c:pt>
                <c:pt idx="8">
                  <c:v>1564892.6166000001</c:v>
                </c:pt>
                <c:pt idx="9">
                  <c:v>1564892.6166000001</c:v>
                </c:pt>
                <c:pt idx="10">
                  <c:v>1564892.6166000001</c:v>
                </c:pt>
                <c:pt idx="11">
                  <c:v>1564892.6166000001</c:v>
                </c:pt>
                <c:pt idx="12">
                  <c:v>1564892.6166000001</c:v>
                </c:pt>
                <c:pt idx="13">
                  <c:v>1564892.6166000001</c:v>
                </c:pt>
                <c:pt idx="14">
                  <c:v>1564892.6166000001</c:v>
                </c:pt>
                <c:pt idx="15">
                  <c:v>1564892.6166000001</c:v>
                </c:pt>
                <c:pt idx="16">
                  <c:v>1564892.6166000001</c:v>
                </c:pt>
                <c:pt idx="17">
                  <c:v>1564892.6166000001</c:v>
                </c:pt>
                <c:pt idx="18">
                  <c:v>1564892.6166000001</c:v>
                </c:pt>
                <c:pt idx="19">
                  <c:v>1564892.6166000001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C-46C3-A0E9-3E586D3DA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645704"/>
        <c:axId val="2126652072"/>
      </c:barChart>
      <c:catAx>
        <c:axId val="2126645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</a:t>
                </a:r>
                <a:r>
                  <a:rPr lang="en-US" baseline="0"/>
                  <a:t> in J</a:t>
                </a:r>
                <a:r>
                  <a:rPr lang="en-US"/>
                  <a:t>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652072"/>
        <c:crosses val="autoZero"/>
        <c:auto val="1"/>
        <c:lblAlgn val="ctr"/>
        <c:lblOffset val="100"/>
        <c:noMultiLvlLbl val="0"/>
      </c:catAx>
      <c:valAx>
        <c:axId val="2126652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Erträge</a:t>
                </a:r>
                <a:r>
                  <a:rPr lang="de-DE" baseline="0"/>
                  <a:t> in </a:t>
                </a:r>
                <a:r>
                  <a:rPr lang="de-DE"/>
                  <a:t>Euro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12664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Operating costs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Kalkulation!$A$18</c:f>
              <c:strCache>
                <c:ptCount val="1"/>
                <c:pt idx="0">
                  <c:v>Betriebskosten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Kalkulation!$D$88:$W$88</c:f>
              <c:numCache>
                <c:formatCode>_-* #,##0.00\ _€_-;\-* #,##0.00\ _€_-;_-* "-"??\ _€_-;_-@_-</c:formatCode>
                <c:ptCount val="20"/>
                <c:pt idx="0">
                  <c:v>540096.19452319993</c:v>
                </c:pt>
                <c:pt idx="1">
                  <c:v>551799.08035889594</c:v>
                </c:pt>
                <c:pt idx="2">
                  <c:v>563853.05276966281</c:v>
                </c:pt>
                <c:pt idx="3">
                  <c:v>426268.64435275277</c:v>
                </c:pt>
                <c:pt idx="4">
                  <c:v>439056.70368333533</c:v>
                </c:pt>
                <c:pt idx="5">
                  <c:v>452228.40479383542</c:v>
                </c:pt>
                <c:pt idx="6">
                  <c:v>465795.2569376505</c:v>
                </c:pt>
                <c:pt idx="7">
                  <c:v>479769.11464578006</c:v>
                </c:pt>
                <c:pt idx="8">
                  <c:v>494162.18808515347</c:v>
                </c:pt>
                <c:pt idx="9">
                  <c:v>508987.05372770806</c:v>
                </c:pt>
                <c:pt idx="10">
                  <c:v>524256.66533953929</c:v>
                </c:pt>
                <c:pt idx="11">
                  <c:v>539984.36529972544</c:v>
                </c:pt>
                <c:pt idx="12">
                  <c:v>556183.89625871729</c:v>
                </c:pt>
                <c:pt idx="13">
                  <c:v>572869.41314647882</c:v>
                </c:pt>
                <c:pt idx="14">
                  <c:v>590055.49554087326</c:v>
                </c:pt>
                <c:pt idx="15">
                  <c:v>607757.16040709952</c:v>
                </c:pt>
                <c:pt idx="16">
                  <c:v>625989.8752193125</c:v>
                </c:pt>
                <c:pt idx="17">
                  <c:v>644769.57147589186</c:v>
                </c:pt>
                <c:pt idx="18">
                  <c:v>664112.65862016869</c:v>
                </c:pt>
                <c:pt idx="19">
                  <c:v>684036.03837877372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6-4A64-9F72-07A11A048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214712"/>
        <c:axId val="2090205000"/>
      </c:barChart>
      <c:catAx>
        <c:axId val="209021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 in Jahren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205000"/>
        <c:crosses val="autoZero"/>
        <c:auto val="1"/>
        <c:lblAlgn val="ctr"/>
        <c:lblOffset val="100"/>
        <c:noMultiLvlLbl val="0"/>
      </c:catAx>
      <c:valAx>
        <c:axId val="2090205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Kosten in Euro</a:t>
                </a:r>
              </a:p>
            </c:rich>
          </c:tx>
          <c:overlay val="0"/>
        </c:title>
        <c:numFmt formatCode="_-* #,##0.00\ _€_-;\-* #,##0.00\ _€_-;_-* &quot;-&quot;??\ _€_-;_-@_-" sourceLinked="1"/>
        <c:majorTickMark val="out"/>
        <c:minorTickMark val="none"/>
        <c:tickLblPos val="nextTo"/>
        <c:crossAx val="2090214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Equity</a:t>
                    </a:r>
                  </a:p>
                  <a:p>
                    <a:r>
                      <a:rPr lang="en-US"/>
                      <a:t>27%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8DB-4805-9BE9-BA401EEB74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Debt capital</a:t>
                    </a:r>
                  </a:p>
                  <a:p>
                    <a:r>
                      <a:rPr lang="en-US"/>
                      <a:t>73%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F8DB-4805-9BE9-BA401EEB74D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Grafiken!$L$41:$L$42</c:f>
              <c:strCache>
                <c:ptCount val="2"/>
                <c:pt idx="0">
                  <c:v>Eigenkapital</c:v>
                </c:pt>
                <c:pt idx="1">
                  <c:v>Fremdkapital</c:v>
                </c:pt>
              </c:strCache>
            </c:strRef>
          </c:cat>
          <c:val>
            <c:numRef>
              <c:f>Grafiken!$M$41:$M$42</c:f>
              <c:numCache>
                <c:formatCode>0.00%</c:formatCode>
                <c:ptCount val="2"/>
                <c:pt idx="0">
                  <c:v>0.2727</c:v>
                </c:pt>
                <c:pt idx="1">
                  <c:v>0.72729999999999995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0-4CC6-8B0B-D20768D6814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Debt service installment loan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Kalkulation!$A$66</c:f>
              <c:strCache>
                <c:ptCount val="1"/>
                <c:pt idx="0">
                  <c:v>Repayment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Kalkulation!$D$66:$W$66</c:f>
              <c:numCache>
                <c:formatCode>General</c:formatCode>
                <c:ptCount val="20"/>
                <c:pt idx="3" formatCode="#,##0">
                  <c:v>456014.36601635494</c:v>
                </c:pt>
                <c:pt idx="4" formatCode="#,##0">
                  <c:v>456014.36601635494</c:v>
                </c:pt>
                <c:pt idx="5" formatCode="#,##0">
                  <c:v>456014.36601635494</c:v>
                </c:pt>
                <c:pt idx="6" formatCode="#,##0">
                  <c:v>456014.36601635494</c:v>
                </c:pt>
                <c:pt idx="7" formatCode="#,##0">
                  <c:v>456014.36601635494</c:v>
                </c:pt>
                <c:pt idx="8" formatCode="#,##0">
                  <c:v>456014.36601635494</c:v>
                </c:pt>
                <c:pt idx="9" formatCode="#,##0">
                  <c:v>456014.36601635494</c:v>
                </c:pt>
                <c:pt idx="10" formatCode="#,##0">
                  <c:v>456014.36601635494</c:v>
                </c:pt>
                <c:pt idx="11" formatCode="#,##0">
                  <c:v>456014.36601635494</c:v>
                </c:pt>
                <c:pt idx="12" formatCode="#,##0">
                  <c:v>456014.36601635494</c:v>
                </c:pt>
                <c:pt idx="13" formatCode="#,##0">
                  <c:v>456014.36601635494</c:v>
                </c:pt>
                <c:pt idx="14" formatCode="#,##0">
                  <c:v>456014.36601635494</c:v>
                </c:pt>
                <c:pt idx="15" formatCode="#,##0">
                  <c:v>456014.36601635494</c:v>
                </c:pt>
                <c:pt idx="16" formatCode="#,##0">
                  <c:v>456014.36601635494</c:v>
                </c:pt>
                <c:pt idx="17" formatCode="#,##0">
                  <c:v>456014.36601635494</c:v>
                </c:pt>
                <c:pt idx="18" formatCode="#,##0">
                  <c:v>456014.36601635494</c:v>
                </c:pt>
                <c:pt idx="19" formatCode="#,##0">
                  <c:v>456014.36601635494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C-4F9D-98B9-280BAAFD365D}"/>
            </c:ext>
          </c:extLst>
        </c:ser>
        <c:ser>
          <c:idx val="1"/>
          <c:order val="1"/>
          <c:tx>
            <c:strRef>
              <c:f>Kalkulation!$A$67</c:f>
              <c:strCache>
                <c:ptCount val="1"/>
                <c:pt idx="0">
                  <c:v>Interest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Kalkulation!$D$67:$W$67</c:f>
              <c:numCache>
                <c:formatCode>#,##0</c:formatCode>
                <c:ptCount val="20"/>
                <c:pt idx="0">
                  <c:v>232567.32666834103</c:v>
                </c:pt>
                <c:pt idx="1">
                  <c:v>232567.32666834103</c:v>
                </c:pt>
                <c:pt idx="2">
                  <c:v>232567.32666834103</c:v>
                </c:pt>
                <c:pt idx="3">
                  <c:v>225727.11117809571</c:v>
                </c:pt>
                <c:pt idx="4">
                  <c:v>212046.68019760505</c:v>
                </c:pt>
                <c:pt idx="5">
                  <c:v>198366.24921711438</c:v>
                </c:pt>
                <c:pt idx="6">
                  <c:v>184685.81823662372</c:v>
                </c:pt>
                <c:pt idx="7">
                  <c:v>171005.38725613308</c:v>
                </c:pt>
                <c:pt idx="8">
                  <c:v>157324.95627564241</c:v>
                </c:pt>
                <c:pt idx="9">
                  <c:v>143644.52529515175</c:v>
                </c:pt>
                <c:pt idx="10">
                  <c:v>129964.09431466108</c:v>
                </c:pt>
                <c:pt idx="11">
                  <c:v>116283.66333417043</c:v>
                </c:pt>
                <c:pt idx="12">
                  <c:v>102603.23235367978</c:v>
                </c:pt>
                <c:pt idx="13">
                  <c:v>88922.801373189141</c:v>
                </c:pt>
                <c:pt idx="14">
                  <c:v>75242.370392698489</c:v>
                </c:pt>
                <c:pt idx="15">
                  <c:v>61561.939412207852</c:v>
                </c:pt>
                <c:pt idx="16">
                  <c:v>47881.508431717208</c:v>
                </c:pt>
                <c:pt idx="17">
                  <c:v>34201.077451226556</c:v>
                </c:pt>
                <c:pt idx="18">
                  <c:v>20520.646470735912</c:v>
                </c:pt>
                <c:pt idx="19">
                  <c:v>6840.2154902452648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C-4F9D-98B9-280BAAFD3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259000"/>
        <c:axId val="2090264456"/>
      </c:barChart>
      <c:catAx>
        <c:axId val="2090259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 in Jahren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264456"/>
        <c:crosses val="autoZero"/>
        <c:auto val="1"/>
        <c:lblAlgn val="ctr"/>
        <c:lblOffset val="100"/>
        <c:noMultiLvlLbl val="0"/>
      </c:catAx>
      <c:valAx>
        <c:axId val="2090264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Schuldendienst in Euro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09025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Schuldendienst Annuitätendarlehen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Kalkulation!$A$73</c:f>
              <c:strCache>
                <c:ptCount val="1"/>
                <c:pt idx="0">
                  <c:v>Repayment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Kalkulation!$D$73:$W$73</c:f>
              <c:numCache>
                <c:formatCode>General</c:formatCode>
                <c:ptCount val="20"/>
                <c:pt idx="3" formatCode="#,##0">
                  <c:v>356235.23035392363</c:v>
                </c:pt>
                <c:pt idx="4" formatCode="#,##0">
                  <c:v>366922.28726454137</c:v>
                </c:pt>
                <c:pt idx="5" formatCode="#,##0">
                  <c:v>377929.95588247763</c:v>
                </c:pt>
                <c:pt idx="6" formatCode="#,##0">
                  <c:v>389267.85455895192</c:v>
                </c:pt>
                <c:pt idx="7" formatCode="#,##0">
                  <c:v>400945.89019572048</c:v>
                </c:pt>
                <c:pt idx="8" formatCode="#,##0">
                  <c:v>412974.26690159214</c:v>
                </c:pt>
                <c:pt idx="9" formatCode="#,##0">
                  <c:v>425363.49490863993</c:v>
                </c:pt>
                <c:pt idx="10" formatCode="#,##0">
                  <c:v>438124.3997558991</c:v>
                </c:pt>
                <c:pt idx="11" formatCode="#,##0">
                  <c:v>451268.13174857607</c:v>
                </c:pt>
                <c:pt idx="12" formatCode="#,##0">
                  <c:v>464806.17570103332</c:v>
                </c:pt>
                <c:pt idx="13" formatCode="#,##0">
                  <c:v>478750.36097206437</c:v>
                </c:pt>
                <c:pt idx="14" formatCode="#,##0">
                  <c:v>493112.87180122628</c:v>
                </c:pt>
                <c:pt idx="15" formatCode="#,##0">
                  <c:v>507906.25795526308</c:v>
                </c:pt>
                <c:pt idx="16" formatCode="#,##0">
                  <c:v>523143.44569392095</c:v>
                </c:pt>
                <c:pt idx="17" formatCode="#,##0">
                  <c:v>538837.74906473863</c:v>
                </c:pt>
                <c:pt idx="18" formatCode="#,##0">
                  <c:v>555002.88153668074</c:v>
                </c:pt>
                <c:pt idx="19" formatCode="#,##0">
                  <c:v>571652.96798278112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4-4AE9-BE3B-B940BF41C906}"/>
            </c:ext>
          </c:extLst>
        </c:ser>
        <c:ser>
          <c:idx val="1"/>
          <c:order val="1"/>
          <c:tx>
            <c:strRef>
              <c:f>Kalkulation!$A$74</c:f>
              <c:strCache>
                <c:ptCount val="1"/>
                <c:pt idx="0">
                  <c:v>Interest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Kalkulation!$D$74:$W$74</c:f>
              <c:numCache>
                <c:formatCode>#,##0</c:formatCode>
                <c:ptCount val="20"/>
                <c:pt idx="0">
                  <c:v>232567.32666834103</c:v>
                </c:pt>
                <c:pt idx="1">
                  <c:v>232567.32666834103</c:v>
                </c:pt>
                <c:pt idx="2">
                  <c:v>232567.32666834103</c:v>
                </c:pt>
                <c:pt idx="3">
                  <c:v>232567.32666834103</c:v>
                </c:pt>
                <c:pt idx="4">
                  <c:v>221880.26975772332</c:v>
                </c:pt>
                <c:pt idx="5">
                  <c:v>210872.60113978706</c:v>
                </c:pt>
                <c:pt idx="6">
                  <c:v>199534.70246331274</c:v>
                </c:pt>
                <c:pt idx="7">
                  <c:v>187856.66682654418</c:v>
                </c:pt>
                <c:pt idx="8">
                  <c:v>175828.29012067255</c:v>
                </c:pt>
                <c:pt idx="9">
                  <c:v>163439.06211362479</c:v>
                </c:pt>
                <c:pt idx="10">
                  <c:v>150678.1572663656</c:v>
                </c:pt>
                <c:pt idx="11">
                  <c:v>137534.42527368863</c:v>
                </c:pt>
                <c:pt idx="12">
                  <c:v>123996.38132123134</c:v>
                </c:pt>
                <c:pt idx="13">
                  <c:v>110052.19605020033</c:v>
                </c:pt>
                <c:pt idx="14">
                  <c:v>95689.68522103841</c:v>
                </c:pt>
                <c:pt idx="15">
                  <c:v>80896.299067001615</c:v>
                </c:pt>
                <c:pt idx="16">
                  <c:v>65659.11132834373</c:v>
                </c:pt>
                <c:pt idx="17">
                  <c:v>49964.807957526107</c:v>
                </c:pt>
                <c:pt idx="18">
                  <c:v>33799.675485583946</c:v>
                </c:pt>
                <c:pt idx="19">
                  <c:v>17149.589039483522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24-4AE9-BE3B-B940BF41C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298200"/>
        <c:axId val="2090303656"/>
      </c:barChart>
      <c:catAx>
        <c:axId val="2090298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 in Jahren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303656"/>
        <c:crosses val="autoZero"/>
        <c:auto val="1"/>
        <c:lblAlgn val="ctr"/>
        <c:lblOffset val="100"/>
        <c:noMultiLvlLbl val="0"/>
      </c:catAx>
      <c:valAx>
        <c:axId val="2090303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Schuldendienst in Euro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090298200"/>
        <c:crosses val="autoZero"/>
        <c:crossBetween val="between"/>
        <c:majorUnit val="500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Steuern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Kalkulation!$A$30</c:f>
              <c:strCache>
                <c:ptCount val="1"/>
                <c:pt idx="0">
                  <c:v>Steuer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Kalkulation!$D$30:$W$30</c:f>
              <c:numCache>
                <c:formatCode>#,##0</c:formatCode>
                <c:ptCount val="20"/>
                <c:pt idx="0">
                  <c:v>994.86208723069183</c:v>
                </c:pt>
                <c:pt idx="1">
                  <c:v>0</c:v>
                </c:pt>
                <c:pt idx="2">
                  <c:v>0</c:v>
                </c:pt>
                <c:pt idx="3">
                  <c:v>15149.999367223803</c:v>
                </c:pt>
                <c:pt idx="4">
                  <c:v>15253.349389857902</c:v>
                </c:pt>
                <c:pt idx="5">
                  <c:v>15312.267939750851</c:v>
                </c:pt>
                <c:pt idx="6">
                  <c:v>15325.42207272045</c:v>
                </c:pt>
                <c:pt idx="7">
                  <c:v>15291.438856258934</c:v>
                </c:pt>
                <c:pt idx="8">
                  <c:v>15208.904169883439</c:v>
                </c:pt>
                <c:pt idx="9">
                  <c:v>15076.361469496504</c:v>
                </c:pt>
                <c:pt idx="10">
                  <c:v>14892.310514677789</c:v>
                </c:pt>
                <c:pt idx="11">
                  <c:v>14655.206057794356</c:v>
                </c:pt>
                <c:pt idx="12">
                  <c:v>14363.456493784253</c:v>
                </c:pt>
                <c:pt idx="13">
                  <c:v>14015.422469433674</c:v>
                </c:pt>
                <c:pt idx="14">
                  <c:v>102029.0985484324</c:v>
                </c:pt>
                <c:pt idx="15">
                  <c:v>101563.37934595594</c:v>
                </c:pt>
                <c:pt idx="16">
                  <c:v>101036.156593985</c:v>
                </c:pt>
                <c:pt idx="17">
                  <c:v>100445.58518603479</c:v>
                </c:pt>
                <c:pt idx="18">
                  <c:v>99789.764662425907</c:v>
                </c:pt>
                <c:pt idx="19">
                  <c:v>99066.737549688565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A-4F46-93FC-40817FE94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820520"/>
        <c:axId val="2125825704"/>
      </c:barChart>
      <c:catAx>
        <c:axId val="2125820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 in Jahren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825704"/>
        <c:crosses val="autoZero"/>
        <c:auto val="1"/>
        <c:lblAlgn val="ctr"/>
        <c:lblOffset val="100"/>
        <c:noMultiLvlLbl val="0"/>
      </c:catAx>
      <c:valAx>
        <c:axId val="2125825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Steuern in Euro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125820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Cash</a:t>
            </a:r>
            <a:r>
              <a:rPr lang="en-US" baseline="0"/>
              <a:t> Flow Genossenschaft</a:t>
            </a:r>
            <a:endParaRPr lang="en-US"/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Kalkulation!$A$81</c:f>
              <c:strCache>
                <c:ptCount val="1"/>
                <c:pt idx="0">
                  <c:v>Cash Flow Genossenschaft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Kalkulation!$D$81:$W$81</c:f>
              <c:numCache>
                <c:formatCode>#,##0</c:formatCode>
                <c:ptCount val="20"/>
                <c:pt idx="0">
                  <c:v>791234.23332122841</c:v>
                </c:pt>
                <c:pt idx="1">
                  <c:v>780526.20957276307</c:v>
                </c:pt>
                <c:pt idx="2">
                  <c:v>768472.23716199619</c:v>
                </c:pt>
                <c:pt idx="3">
                  <c:v>441732.49568557285</c:v>
                </c:pt>
                <c:pt idx="4">
                  <c:v>442521.51731284685</c:v>
                </c:pt>
                <c:pt idx="5">
                  <c:v>442971.3286329445</c:v>
                </c:pt>
                <c:pt idx="6">
                  <c:v>443071.75333665044</c:v>
                </c:pt>
                <c:pt idx="7">
                  <c:v>442812.309825473</c:v>
                </c:pt>
                <c:pt idx="8">
                  <c:v>442182.20205296588</c:v>
                </c:pt>
                <c:pt idx="9">
                  <c:v>441170.31009128876</c:v>
                </c:pt>
                <c:pt idx="10">
                  <c:v>439765.180414767</c:v>
                </c:pt>
                <c:pt idx="11">
                  <c:v>437955.01589195488</c:v>
                </c:pt>
                <c:pt idx="12">
                  <c:v>435727.66547746386</c:v>
                </c:pt>
                <c:pt idx="13">
                  <c:v>433070.61359454354</c:v>
                </c:pt>
                <c:pt idx="14">
                  <c:v>341551.2861016409</c:v>
                </c:pt>
                <c:pt idx="15">
                  <c:v>337995.77141838183</c:v>
                </c:pt>
                <c:pt idx="16">
                  <c:v>333970.71033863036</c:v>
                </c:pt>
                <c:pt idx="17">
                  <c:v>329462.01647049194</c:v>
                </c:pt>
                <c:pt idx="18">
                  <c:v>324455.18083031458</c:v>
                </c:pt>
                <c:pt idx="19">
                  <c:v>318935.2591649376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F-4B3B-B849-12F65E03B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856280"/>
        <c:axId val="2125861464"/>
      </c:barChart>
      <c:catAx>
        <c:axId val="2125856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 in Jahren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861464"/>
        <c:crosses val="autoZero"/>
        <c:auto val="1"/>
        <c:lblAlgn val="ctr"/>
        <c:lblOffset val="100"/>
        <c:noMultiLvlLbl val="0"/>
      </c:catAx>
      <c:valAx>
        <c:axId val="2125861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Cash</a:t>
                </a:r>
                <a:r>
                  <a:rPr lang="en-US" baseline="0"/>
                  <a:t> Flow i</a:t>
                </a:r>
                <a:r>
                  <a:rPr lang="en-US"/>
                  <a:t>n Euro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125856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323850</xdr:colOff>
      <xdr:row>15</xdr:row>
      <xdr:rowOff>142874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152400</xdr:rowOff>
    </xdr:from>
    <xdr:to>
      <xdr:col>8</xdr:col>
      <xdr:colOff>371474</xdr:colOff>
      <xdr:row>35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176212</xdr:rowOff>
    </xdr:from>
    <xdr:to>
      <xdr:col>8</xdr:col>
      <xdr:colOff>295274</xdr:colOff>
      <xdr:row>52</xdr:row>
      <xdr:rowOff>61912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8</xdr:col>
      <xdr:colOff>42334</xdr:colOff>
      <xdr:row>72</xdr:row>
      <xdr:rowOff>32807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74</xdr:row>
      <xdr:rowOff>28575</xdr:rowOff>
    </xdr:from>
    <xdr:to>
      <xdr:col>8</xdr:col>
      <xdr:colOff>42334</xdr:colOff>
      <xdr:row>91</xdr:row>
      <xdr:rowOff>61382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8</xdr:col>
      <xdr:colOff>42334</xdr:colOff>
      <xdr:row>111</xdr:row>
      <xdr:rowOff>32807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115</xdr:row>
      <xdr:rowOff>0</xdr:rowOff>
    </xdr:from>
    <xdr:to>
      <xdr:col>8</xdr:col>
      <xdr:colOff>42334</xdr:colOff>
      <xdr:row>132</xdr:row>
      <xdr:rowOff>32807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660-11\AppData\Local\Temp\Investment%20and%20Finance\Session%20Exerci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ssion 3-4"/>
      <sheetName val="Session 5-7"/>
      <sheetName val="Session 8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e3" displayName="Tabelle3" ref="A139:C158" totalsRowShown="0">
  <autoFilter ref="A139:C158" xr:uid="{00000000-0009-0000-0100-000003000000}"/>
  <tableColumns count="3">
    <tableColumn id="1" xr3:uid="{00000000-0010-0000-0000-000001000000}" name="Spalte1"/>
    <tableColumn id="2" xr3:uid="{00000000-0010-0000-0000-000002000000}" name="Spalte2" dataDxfId="4"/>
    <tableColumn id="3" xr3:uid="{00000000-0010-0000-0000-000003000000}" name="Spalte3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A164:C175" totalsRowShown="0">
  <autoFilter ref="A164:C175" xr:uid="{00000000-0009-0000-0100-000004000000}"/>
  <tableColumns count="3">
    <tableColumn id="1" xr3:uid="{00000000-0010-0000-0100-000001000000}" name="Spalte1"/>
    <tableColumn id="2" xr3:uid="{00000000-0010-0000-0100-000002000000}" name="Spalte2" dataDxfId="2"/>
    <tableColumn id="3" xr3:uid="{00000000-0010-0000-0100-000003000000}" name="Spalte3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elle6" displayName="Tabelle6" ref="A179:C187" totalsRowShown="0">
  <autoFilter ref="A179:C187" xr:uid="{00000000-0009-0000-0100-000006000000}"/>
  <tableColumns count="3">
    <tableColumn id="1" xr3:uid="{00000000-0010-0000-0200-000001000000}" name="Spalte1"/>
    <tableColumn id="2" xr3:uid="{00000000-0010-0000-0200-000002000000}" name="Spalte2" dataDxfId="0"/>
    <tableColumn id="3" xr3:uid="{00000000-0010-0000-0200-000003000000}" name="Spalte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macrotrends.net/global-metrics/countries/IND/india/inflation-rate-cpi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137"/>
  <sheetViews>
    <sheetView tabSelected="1" zoomScale="83" zoomScaleNormal="85" zoomScalePageLayoutView="85" workbookViewId="0">
      <pane xSplit="4" topLeftCell="E1" activePane="topRight" state="frozen"/>
      <selection pane="topRight" activeCell="G9" sqref="G9"/>
    </sheetView>
  </sheetViews>
  <sheetFormatPr defaultColWidth="11.44140625" defaultRowHeight="14.4" x14ac:dyDescent="0.3"/>
  <cols>
    <col min="1" max="1" width="40.33203125" bestFit="1" customWidth="1"/>
    <col min="2" max="2" width="25.88671875" customWidth="1"/>
    <col min="3" max="3" width="14" bestFit="1" customWidth="1"/>
    <col min="4" max="4" width="10.88671875" style="70"/>
    <col min="5" max="5" width="20.33203125" bestFit="1" customWidth="1"/>
    <col min="6" max="6" width="28.44140625" customWidth="1"/>
    <col min="7" max="7" width="15.33203125" customWidth="1"/>
    <col min="8" max="8" width="14.44140625" bestFit="1" customWidth="1"/>
    <col min="9" max="9" width="4" customWidth="1"/>
    <col min="10" max="10" width="15" bestFit="1" customWidth="1"/>
    <col min="11" max="27" width="14.44140625" bestFit="1" customWidth="1"/>
  </cols>
  <sheetData>
    <row r="2" spans="1:29" ht="28.8" x14ac:dyDescent="0.55000000000000004">
      <c r="A2" s="111" t="s">
        <v>0</v>
      </c>
      <c r="B2" s="112"/>
      <c r="C2" s="112"/>
      <c r="D2" s="113"/>
      <c r="F2" s="111" t="s">
        <v>1</v>
      </c>
      <c r="G2" s="114"/>
      <c r="H2" s="114"/>
    </row>
    <row r="3" spans="1:29" x14ac:dyDescent="0.3">
      <c r="A3" s="3"/>
      <c r="C3" s="1" t="s">
        <v>2</v>
      </c>
      <c r="H3" s="1" t="s">
        <v>3</v>
      </c>
    </row>
    <row r="4" spans="1:29" ht="14.25" customHeight="1" x14ac:dyDescent="0.3">
      <c r="A4" s="3"/>
      <c r="C4" s="1"/>
      <c r="H4" s="1"/>
    </row>
    <row r="5" spans="1:29" x14ac:dyDescent="0.3">
      <c r="A5" s="3" t="s">
        <v>4</v>
      </c>
      <c r="B5" s="66" t="s">
        <v>5</v>
      </c>
      <c r="F5" t="s">
        <v>6</v>
      </c>
      <c r="G5" s="63">
        <f>NPV(B52,Kalkulation!D78:W78)-B34</f>
        <v>4264327.8188097626</v>
      </c>
      <c r="H5" t="s">
        <v>7</v>
      </c>
    </row>
    <row r="6" spans="1:29" x14ac:dyDescent="0.3">
      <c r="A6" s="3"/>
      <c r="F6" t="s">
        <v>8</v>
      </c>
      <c r="G6" s="63">
        <f>NPV(Parameters!B46,Kalkulation!D21:W21)+ NPV(Parameters!B46,Kalkulation!D60:W60)</f>
        <v>-5877098.6628305223</v>
      </c>
      <c r="H6" t="s">
        <v>7</v>
      </c>
    </row>
    <row r="7" spans="1:29" x14ac:dyDescent="0.3">
      <c r="A7" t="s">
        <v>155</v>
      </c>
      <c r="B7" s="66">
        <v>6</v>
      </c>
      <c r="C7" t="s">
        <v>9</v>
      </c>
      <c r="F7" t="s">
        <v>10</v>
      </c>
      <c r="G7" s="63">
        <f>NPV(B46,Kalkulation!D9:W9)</f>
        <v>572236283.59752655</v>
      </c>
      <c r="H7" t="s">
        <v>7</v>
      </c>
      <c r="J7" s="15"/>
    </row>
    <row r="8" spans="1:29" x14ac:dyDescent="0.3">
      <c r="A8" t="s">
        <v>156</v>
      </c>
      <c r="B8" s="66">
        <v>2100</v>
      </c>
      <c r="C8" t="s">
        <v>11</v>
      </c>
      <c r="F8" t="s">
        <v>12</v>
      </c>
      <c r="G8" s="59">
        <f>IRR(Kalkulation!C78:W78)</f>
        <v>0.19362418111969304</v>
      </c>
    </row>
    <row r="9" spans="1:29" ht="18.75" customHeight="1" x14ac:dyDescent="0.35">
      <c r="A9" s="5" t="s">
        <v>146</v>
      </c>
      <c r="B9" s="66">
        <f>B7*B8</f>
        <v>12600</v>
      </c>
      <c r="C9" t="s">
        <v>13</v>
      </c>
      <c r="F9" t="s">
        <v>14</v>
      </c>
      <c r="G9" s="64">
        <f>((-G6-B25)/G7)</f>
        <v>2.8896926211796747E-2</v>
      </c>
      <c r="H9" t="s">
        <v>7</v>
      </c>
    </row>
    <row r="10" spans="1:29" ht="15" customHeight="1" x14ac:dyDescent="0.3">
      <c r="A10" s="5" t="s">
        <v>147</v>
      </c>
      <c r="B10" s="66">
        <v>39026700</v>
      </c>
      <c r="C10" t="s">
        <v>15</v>
      </c>
      <c r="F10" t="s">
        <v>16</v>
      </c>
      <c r="G10" s="148">
        <f>MIN(Kalkulation!D84:W84)</f>
        <v>1.6429119156404552</v>
      </c>
    </row>
    <row r="11" spans="1:29" ht="15" customHeight="1" x14ac:dyDescent="0.3">
      <c r="A11" s="168" t="s">
        <v>148</v>
      </c>
      <c r="B11" s="172">
        <v>2.1999999999999999E-2</v>
      </c>
      <c r="F11" t="s">
        <v>17</v>
      </c>
      <c r="G11" s="148">
        <f>Kalkulation!C85</f>
        <v>1.7019335777891615</v>
      </c>
    </row>
    <row r="12" spans="1:29" ht="15" customHeight="1" x14ac:dyDescent="0.3">
      <c r="A12" s="5" t="s">
        <v>149</v>
      </c>
      <c r="B12" s="67">
        <v>0</v>
      </c>
      <c r="G12" s="64"/>
    </row>
    <row r="13" spans="1:29" x14ac:dyDescent="0.3">
      <c r="A13" s="5" t="s">
        <v>157</v>
      </c>
      <c r="B13" s="68">
        <v>0</v>
      </c>
      <c r="G13" s="63"/>
      <c r="J13" s="63"/>
    </row>
    <row r="14" spans="1:29" x14ac:dyDescent="0.3">
      <c r="A14" t="s">
        <v>150</v>
      </c>
      <c r="B14" s="67">
        <f>SUM(B11:B13)</f>
        <v>2.1999999999999999E-2</v>
      </c>
    </row>
    <row r="15" spans="1:29" x14ac:dyDescent="0.3">
      <c r="A15" s="5" t="s">
        <v>151</v>
      </c>
      <c r="B15" s="21">
        <f>VLOOKUP(B5,$A$69:$B$70,2,FALSE)</f>
        <v>38168112.600000001</v>
      </c>
      <c r="C15" t="s">
        <v>18</v>
      </c>
    </row>
    <row r="16" spans="1:29" ht="25.8" x14ac:dyDescent="0.5">
      <c r="A16" s="166" t="s">
        <v>152</v>
      </c>
      <c r="B16" s="167">
        <v>0.71040000000000003</v>
      </c>
      <c r="F16" s="111" t="s">
        <v>19</v>
      </c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</row>
    <row r="17" spans="1:31" ht="25.8" x14ac:dyDescent="0.5">
      <c r="A17" s="169" t="s">
        <v>153</v>
      </c>
      <c r="B17" s="170">
        <v>22</v>
      </c>
      <c r="C17" t="s">
        <v>20</v>
      </c>
      <c r="F17" s="79"/>
    </row>
    <row r="18" spans="1:31" x14ac:dyDescent="0.3">
      <c r="A18" t="s">
        <v>154</v>
      </c>
      <c r="B18" s="66">
        <v>4.1000000000000002E-2</v>
      </c>
      <c r="C18" t="s">
        <v>21</v>
      </c>
      <c r="D18" s="70" t="s">
        <v>266</v>
      </c>
      <c r="G18" s="1" t="s">
        <v>2</v>
      </c>
      <c r="J18" s="78">
        <v>2025</v>
      </c>
      <c r="K18" s="78">
        <v>2026</v>
      </c>
      <c r="L18" s="78">
        <v>2027</v>
      </c>
      <c r="M18" s="78">
        <v>2028</v>
      </c>
      <c r="N18" s="78">
        <v>2029</v>
      </c>
      <c r="O18" s="78">
        <v>2030</v>
      </c>
      <c r="P18" s="78">
        <v>2031</v>
      </c>
      <c r="Q18" s="78">
        <v>2032</v>
      </c>
      <c r="R18" s="78">
        <v>2033</v>
      </c>
      <c r="S18" s="78">
        <v>2034</v>
      </c>
      <c r="T18" s="78">
        <v>2035</v>
      </c>
      <c r="U18" s="78">
        <v>2036</v>
      </c>
      <c r="V18" s="78">
        <v>2037</v>
      </c>
      <c r="W18" s="78">
        <v>2038</v>
      </c>
      <c r="X18" s="78">
        <v>2039</v>
      </c>
      <c r="Y18" s="78">
        <v>2040</v>
      </c>
      <c r="Z18" s="78">
        <v>2041</v>
      </c>
      <c r="AA18" s="78">
        <v>2042</v>
      </c>
      <c r="AB18" s="78">
        <v>2043</v>
      </c>
      <c r="AC18" s="78">
        <v>2044</v>
      </c>
      <c r="AD18" s="184"/>
      <c r="AE18" s="78"/>
    </row>
    <row r="19" spans="1:31" x14ac:dyDescent="0.3">
      <c r="G19" s="1"/>
    </row>
    <row r="20" spans="1:31" ht="18.75" customHeight="1" x14ac:dyDescent="0.3">
      <c r="F20" s="80" t="s">
        <v>184</v>
      </c>
      <c r="G20" t="s">
        <v>23</v>
      </c>
      <c r="J20" s="23">
        <f>Kalkulation!D12</f>
        <v>1564892.6166000001</v>
      </c>
      <c r="K20" s="23">
        <f>Kalkulation!E12</f>
        <v>1564892.6166000001</v>
      </c>
      <c r="L20" s="23">
        <f>Kalkulation!F12</f>
        <v>1564892.6166000001</v>
      </c>
      <c r="M20" s="23">
        <f>Kalkulation!G12</f>
        <v>1564892.6166000001</v>
      </c>
      <c r="N20" s="23">
        <f>Kalkulation!H12</f>
        <v>1564892.6166000001</v>
      </c>
      <c r="O20" s="23">
        <f>Kalkulation!I12</f>
        <v>1564892.6166000001</v>
      </c>
      <c r="P20" s="23">
        <f>Kalkulation!J12</f>
        <v>1564892.6166000001</v>
      </c>
      <c r="Q20" s="23">
        <f>Kalkulation!K12</f>
        <v>1564892.6166000001</v>
      </c>
      <c r="R20" s="23">
        <f>Kalkulation!L12</f>
        <v>1564892.6166000001</v>
      </c>
      <c r="S20" s="23">
        <f>Kalkulation!M12</f>
        <v>1564892.6166000001</v>
      </c>
      <c r="T20" s="23">
        <f>Kalkulation!N12</f>
        <v>1564892.6166000001</v>
      </c>
      <c r="U20" s="23">
        <f>Kalkulation!O12</f>
        <v>1564892.6166000001</v>
      </c>
      <c r="V20" s="23">
        <f>Kalkulation!P12</f>
        <v>1564892.6166000001</v>
      </c>
      <c r="W20" s="23">
        <f>Kalkulation!Q12</f>
        <v>1564892.6166000001</v>
      </c>
      <c r="X20" s="23">
        <f>Kalkulation!R12</f>
        <v>1564892.6166000001</v>
      </c>
      <c r="Y20" s="23">
        <f>Kalkulation!S12</f>
        <v>1564892.6166000001</v>
      </c>
      <c r="Z20" s="23">
        <f>Kalkulation!T12</f>
        <v>1564892.6166000001</v>
      </c>
      <c r="AA20" s="23">
        <f>Kalkulation!U12</f>
        <v>1564892.6166000001</v>
      </c>
      <c r="AB20" s="23">
        <f>Kalkulation!V12</f>
        <v>1564892.6166000001</v>
      </c>
      <c r="AC20" s="23">
        <f>Kalkulation!W12</f>
        <v>1564892.6166000001</v>
      </c>
    </row>
    <row r="21" spans="1:31" x14ac:dyDescent="0.3">
      <c r="F21" s="81" t="s">
        <v>185</v>
      </c>
      <c r="G21" s="84" t="s">
        <v>23</v>
      </c>
      <c r="H21" s="84"/>
      <c r="I21" s="84"/>
      <c r="J21" s="88">
        <f>Kalkulation!D21</f>
        <v>-540096.19452319993</v>
      </c>
      <c r="K21" s="88">
        <f>Kalkulation!E21</f>
        <v>-551799.08035889594</v>
      </c>
      <c r="L21" s="88">
        <f>Kalkulation!F21</f>
        <v>-563853.05276966281</v>
      </c>
      <c r="M21" s="88">
        <f>Kalkulation!G21</f>
        <v>-426268.64435275277</v>
      </c>
      <c r="N21" s="88">
        <f>Kalkulation!H21</f>
        <v>-439056.70368333533</v>
      </c>
      <c r="O21" s="88">
        <f>Kalkulation!I21</f>
        <v>-452228.40479383542</v>
      </c>
      <c r="P21" s="88">
        <f>Kalkulation!J21</f>
        <v>-465795.2569376505</v>
      </c>
      <c r="Q21" s="88">
        <f>Kalkulation!K21</f>
        <v>-479769.11464578006</v>
      </c>
      <c r="R21" s="88">
        <f>Kalkulation!L21</f>
        <v>-494162.18808515347</v>
      </c>
      <c r="S21" s="88">
        <f>Kalkulation!M21</f>
        <v>-508987.05372770806</v>
      </c>
      <c r="T21" s="88">
        <f>Kalkulation!N21</f>
        <v>-524256.66533953929</v>
      </c>
      <c r="U21" s="88">
        <f>Kalkulation!O21</f>
        <v>-539984.36529972544</v>
      </c>
      <c r="V21" s="88">
        <f>Kalkulation!P21</f>
        <v>-556183.89625871729</v>
      </c>
      <c r="W21" s="88">
        <f>Kalkulation!Q21</f>
        <v>-572869.41314647882</v>
      </c>
      <c r="X21" s="88">
        <f>Kalkulation!R21</f>
        <v>-590055.49554087326</v>
      </c>
      <c r="Y21" s="88">
        <f>Kalkulation!S21</f>
        <v>-607757.16040709952</v>
      </c>
      <c r="Z21" s="88">
        <f>Kalkulation!T21</f>
        <v>-625989.8752193125</v>
      </c>
      <c r="AA21" s="88">
        <f>Kalkulation!U21</f>
        <v>-644769.57147589186</v>
      </c>
      <c r="AB21" s="88">
        <f>Kalkulation!V21</f>
        <v>-664112.65862016869</v>
      </c>
      <c r="AC21" s="88">
        <f>Kalkulation!W21</f>
        <v>-684036.03837877372</v>
      </c>
    </row>
    <row r="22" spans="1:31" ht="18" customHeight="1" x14ac:dyDescent="0.3">
      <c r="F22" s="86" t="s">
        <v>25</v>
      </c>
      <c r="G22" s="84" t="s">
        <v>23</v>
      </c>
      <c r="H22" s="84"/>
      <c r="I22" s="84"/>
      <c r="J22" s="88">
        <f>SUM(J20:J21)</f>
        <v>1024796.4220768001</v>
      </c>
      <c r="K22" s="88">
        <f t="shared" ref="K22:AC22" si="0">SUM(K20:K21)</f>
        <v>1013093.5362411041</v>
      </c>
      <c r="L22" s="88">
        <f t="shared" si="0"/>
        <v>1001039.5638303373</v>
      </c>
      <c r="M22" s="88">
        <f t="shared" si="0"/>
        <v>1138623.9722472474</v>
      </c>
      <c r="N22" s="88">
        <f t="shared" si="0"/>
        <v>1125835.9129166647</v>
      </c>
      <c r="O22" s="88">
        <f t="shared" si="0"/>
        <v>1112664.2118061646</v>
      </c>
      <c r="P22" s="88">
        <f t="shared" si="0"/>
        <v>1099097.3596623496</v>
      </c>
      <c r="Q22" s="88">
        <f t="shared" si="0"/>
        <v>1085123.50195422</v>
      </c>
      <c r="R22" s="88">
        <f t="shared" si="0"/>
        <v>1070730.4285148466</v>
      </c>
      <c r="S22" s="88">
        <f t="shared" si="0"/>
        <v>1055905.562872292</v>
      </c>
      <c r="T22" s="88">
        <f t="shared" si="0"/>
        <v>1040635.9512604608</v>
      </c>
      <c r="U22" s="88">
        <f t="shared" si="0"/>
        <v>1024908.2513002746</v>
      </c>
      <c r="V22" s="88">
        <f t="shared" si="0"/>
        <v>1008708.7203412828</v>
      </c>
      <c r="W22" s="88">
        <f t="shared" si="0"/>
        <v>992023.20345352124</v>
      </c>
      <c r="X22" s="88">
        <f t="shared" si="0"/>
        <v>974837.1210591268</v>
      </c>
      <c r="Y22" s="88">
        <f t="shared" si="0"/>
        <v>957135.45619290054</v>
      </c>
      <c r="Z22" s="88">
        <f t="shared" si="0"/>
        <v>938902.74138068757</v>
      </c>
      <c r="AA22" s="88">
        <f t="shared" si="0"/>
        <v>920123.0451241082</v>
      </c>
      <c r="AB22" s="88">
        <f t="shared" si="0"/>
        <v>900779.95797983138</v>
      </c>
      <c r="AC22" s="88">
        <f t="shared" si="0"/>
        <v>880856.57822122634</v>
      </c>
    </row>
    <row r="23" spans="1:31" x14ac:dyDescent="0.3">
      <c r="A23" s="3" t="s">
        <v>26</v>
      </c>
      <c r="F23" s="81" t="s">
        <v>186</v>
      </c>
      <c r="G23" s="84" t="s">
        <v>23</v>
      </c>
      <c r="H23" s="84"/>
      <c r="I23" s="84"/>
      <c r="J23" s="88">
        <f>Kalkulation!D39</f>
        <v>-761340.78571428568</v>
      </c>
      <c r="K23" s="88">
        <f>Kalkulation!E39</f>
        <v>-761340.78571428568</v>
      </c>
      <c r="L23" s="88">
        <f>Kalkulation!F39</f>
        <v>-761340.78571428568</v>
      </c>
      <c r="M23" s="88">
        <f>Kalkulation!G39</f>
        <v>-761340.78571428568</v>
      </c>
      <c r="N23" s="88">
        <f>Kalkulation!H39</f>
        <v>-761340.78571428568</v>
      </c>
      <c r="O23" s="88">
        <f>Kalkulation!I39</f>
        <v>-761340.78571428568</v>
      </c>
      <c r="P23" s="88">
        <f>Kalkulation!J39</f>
        <v>-761340.78571428568</v>
      </c>
      <c r="Q23" s="88">
        <f>Kalkulation!K39</f>
        <v>-761340.78571428568</v>
      </c>
      <c r="R23" s="88">
        <f>Kalkulation!L39</f>
        <v>-761340.78571428568</v>
      </c>
      <c r="S23" s="88">
        <f>Kalkulation!M39</f>
        <v>-761340.78571428568</v>
      </c>
      <c r="T23" s="88">
        <f>Kalkulation!N39</f>
        <v>-761340.78571428568</v>
      </c>
      <c r="U23" s="88">
        <f>Kalkulation!O39</f>
        <v>-761340.78571428568</v>
      </c>
      <c r="V23" s="88">
        <f>Kalkulation!P39</f>
        <v>-761340.78571428568</v>
      </c>
      <c r="W23" s="88">
        <f>Kalkulation!Q39</f>
        <v>-761340.78571428568</v>
      </c>
      <c r="X23" s="88">
        <f>Kalkulation!R39</f>
        <v>0</v>
      </c>
      <c r="Y23" s="88">
        <f>Kalkulation!S39</f>
        <v>0</v>
      </c>
      <c r="Z23" s="88">
        <f>Kalkulation!T39</f>
        <v>0</v>
      </c>
      <c r="AA23" s="88">
        <f>Kalkulation!U39</f>
        <v>0</v>
      </c>
      <c r="AB23" s="88">
        <f>Kalkulation!V39</f>
        <v>0</v>
      </c>
      <c r="AC23" s="88">
        <f>Kalkulation!W39</f>
        <v>0</v>
      </c>
    </row>
    <row r="24" spans="1:31" x14ac:dyDescent="0.3">
      <c r="A24" s="83" t="s">
        <v>158</v>
      </c>
      <c r="C24" s="1" t="s">
        <v>7</v>
      </c>
      <c r="F24" s="86" t="s">
        <v>28</v>
      </c>
      <c r="G24" s="84" t="s">
        <v>23</v>
      </c>
      <c r="H24" s="84"/>
      <c r="I24" s="84"/>
      <c r="J24" s="88">
        <f>SUM(J22:J23)</f>
        <v>263455.63636251446</v>
      </c>
      <c r="K24" s="88">
        <f t="shared" ref="K24:AC24" si="1">SUM(K22:K23)</f>
        <v>251752.75052681845</v>
      </c>
      <c r="L24" s="88">
        <f t="shared" si="1"/>
        <v>239698.77811605157</v>
      </c>
      <c r="M24" s="88">
        <f t="shared" si="1"/>
        <v>377283.18653296167</v>
      </c>
      <c r="N24" s="88">
        <f t="shared" si="1"/>
        <v>364495.12720237905</v>
      </c>
      <c r="O24" s="88">
        <f t="shared" si="1"/>
        <v>351323.42609187891</v>
      </c>
      <c r="P24" s="88">
        <f t="shared" si="1"/>
        <v>337756.57394806389</v>
      </c>
      <c r="Q24" s="88">
        <f t="shared" si="1"/>
        <v>323782.71623993432</v>
      </c>
      <c r="R24" s="88">
        <f t="shared" si="1"/>
        <v>309389.64280056092</v>
      </c>
      <c r="S24" s="88">
        <f t="shared" si="1"/>
        <v>294564.77715800633</v>
      </c>
      <c r="T24" s="88">
        <f t="shared" si="1"/>
        <v>279295.16554617509</v>
      </c>
      <c r="U24" s="88">
        <f t="shared" si="1"/>
        <v>263567.46558598895</v>
      </c>
      <c r="V24" s="88">
        <f t="shared" si="1"/>
        <v>247367.9346269971</v>
      </c>
      <c r="W24" s="88">
        <f t="shared" si="1"/>
        <v>230682.41773923556</v>
      </c>
      <c r="X24" s="88">
        <f t="shared" si="1"/>
        <v>974837.1210591268</v>
      </c>
      <c r="Y24" s="88">
        <f t="shared" si="1"/>
        <v>957135.45619290054</v>
      </c>
      <c r="Z24" s="88">
        <f t="shared" si="1"/>
        <v>938902.74138068757</v>
      </c>
      <c r="AA24" s="88">
        <f t="shared" si="1"/>
        <v>920123.0451241082</v>
      </c>
      <c r="AB24" s="88">
        <f t="shared" si="1"/>
        <v>900779.95797983138</v>
      </c>
      <c r="AC24" s="88">
        <f t="shared" si="1"/>
        <v>880856.57822122634</v>
      </c>
    </row>
    <row r="25" spans="1:31" x14ac:dyDescent="0.3">
      <c r="A25" s="173"/>
      <c r="B25" s="174">
        <f>-Daten!C63</f>
        <v>-10658771</v>
      </c>
      <c r="F25" s="81" t="s">
        <v>29</v>
      </c>
      <c r="G25" s="84" t="s">
        <v>23</v>
      </c>
      <c r="H25" s="84"/>
      <c r="I25" s="84"/>
      <c r="J25" s="88">
        <f>Kalkulation!D38</f>
        <v>-232567.32666834103</v>
      </c>
      <c r="K25" s="88">
        <f>Kalkulation!E38</f>
        <v>-232567.32666834103</v>
      </c>
      <c r="L25" s="88">
        <f>Kalkulation!F38</f>
        <v>-232567.32666834103</v>
      </c>
      <c r="M25" s="88">
        <f>Kalkulation!G38</f>
        <v>-225727.11117809571</v>
      </c>
      <c r="N25" s="88">
        <f>Kalkulation!H38</f>
        <v>-212046.68019760505</v>
      </c>
      <c r="O25" s="88">
        <f>Kalkulation!I38</f>
        <v>-198366.24921711438</v>
      </c>
      <c r="P25" s="88">
        <f>Kalkulation!J38</f>
        <v>-184685.81823662372</v>
      </c>
      <c r="Q25" s="88">
        <f>Kalkulation!K38</f>
        <v>-171005.38725613308</v>
      </c>
      <c r="R25" s="88">
        <f>Kalkulation!L38</f>
        <v>-157324.95627564241</v>
      </c>
      <c r="S25" s="88">
        <f>Kalkulation!M38</f>
        <v>-143644.52529515175</v>
      </c>
      <c r="T25" s="88">
        <f>Kalkulation!N38</f>
        <v>-129964.09431466108</v>
      </c>
      <c r="U25" s="88">
        <f>Kalkulation!O38</f>
        <v>-116283.66333417043</v>
      </c>
      <c r="V25" s="88">
        <f>Kalkulation!P38</f>
        <v>-102603.23235367978</v>
      </c>
      <c r="W25" s="88">
        <f>Kalkulation!Q38</f>
        <v>-88922.801373189141</v>
      </c>
      <c r="X25" s="88">
        <f>Kalkulation!R38</f>
        <v>-75242.370392698489</v>
      </c>
      <c r="Y25" s="88">
        <f>Kalkulation!S38</f>
        <v>-61561.939412207852</v>
      </c>
      <c r="Z25" s="88">
        <f>Kalkulation!T38</f>
        <v>-47881.508431717208</v>
      </c>
      <c r="AA25" s="88">
        <f>Kalkulation!U38</f>
        <v>-34201.077451226556</v>
      </c>
      <c r="AB25" s="88">
        <f>Kalkulation!V38</f>
        <v>-20520.646470735912</v>
      </c>
      <c r="AC25" s="88">
        <f>Kalkulation!W38</f>
        <v>-6840.2154902452648</v>
      </c>
    </row>
    <row r="26" spans="1:31" x14ac:dyDescent="0.3">
      <c r="A26" s="1" t="s">
        <v>159</v>
      </c>
      <c r="B26" s="131">
        <f>-Daten!C103</f>
        <v>-378734.16943999997</v>
      </c>
      <c r="C26" s="1" t="s">
        <v>7</v>
      </c>
      <c r="F26" s="86" t="s">
        <v>30</v>
      </c>
      <c r="G26" s="84" t="s">
        <v>23</v>
      </c>
      <c r="H26" s="84"/>
      <c r="I26" s="84"/>
      <c r="J26" s="88">
        <f>SUM(J24:J25)</f>
        <v>30888.309694173426</v>
      </c>
      <c r="K26" s="88">
        <f t="shared" ref="K26:AC26" si="2">SUM(K24:K25)</f>
        <v>19185.423858477414</v>
      </c>
      <c r="L26" s="88">
        <f t="shared" si="2"/>
        <v>7131.4514477105404</v>
      </c>
      <c r="M26" s="88">
        <f t="shared" si="2"/>
        <v>151556.07535486596</v>
      </c>
      <c r="N26" s="88">
        <f t="shared" si="2"/>
        <v>152448.447004774</v>
      </c>
      <c r="O26" s="88">
        <f t="shared" si="2"/>
        <v>152957.17687476453</v>
      </c>
      <c r="P26" s="88">
        <f t="shared" si="2"/>
        <v>153070.75571144017</v>
      </c>
      <c r="Q26" s="88">
        <f t="shared" si="2"/>
        <v>152777.32898380124</v>
      </c>
      <c r="R26" s="88">
        <f t="shared" si="2"/>
        <v>152064.68652491851</v>
      </c>
      <c r="S26" s="88">
        <f t="shared" si="2"/>
        <v>150920.25186285458</v>
      </c>
      <c r="T26" s="88">
        <f t="shared" si="2"/>
        <v>149331.07123151401</v>
      </c>
      <c r="U26" s="88">
        <f t="shared" si="2"/>
        <v>147283.80225181853</v>
      </c>
      <c r="V26" s="88">
        <f t="shared" si="2"/>
        <v>144764.70227331732</v>
      </c>
      <c r="W26" s="88">
        <f t="shared" si="2"/>
        <v>141759.61636604642</v>
      </c>
      <c r="X26" s="88">
        <f t="shared" si="2"/>
        <v>899594.75066642836</v>
      </c>
      <c r="Y26" s="88">
        <f t="shared" si="2"/>
        <v>895573.51678069273</v>
      </c>
      <c r="Z26" s="88">
        <f t="shared" si="2"/>
        <v>891021.2329489704</v>
      </c>
      <c r="AA26" s="88">
        <f t="shared" si="2"/>
        <v>885921.96767288167</v>
      </c>
      <c r="AB26" s="88">
        <f t="shared" si="2"/>
        <v>880259.31150909548</v>
      </c>
      <c r="AC26" s="88">
        <f t="shared" si="2"/>
        <v>874016.36273098108</v>
      </c>
    </row>
    <row r="27" spans="1:31" x14ac:dyDescent="0.3">
      <c r="F27" s="87" t="s">
        <v>187</v>
      </c>
      <c r="G27" s="84" t="s">
        <v>23</v>
      </c>
      <c r="H27" s="84"/>
      <c r="I27" s="84"/>
      <c r="J27" s="88">
        <f>-Kalkulation!D54</f>
        <v>-994.86208723069183</v>
      </c>
      <c r="K27" s="88">
        <f>-Kalkulation!E54</f>
        <v>0</v>
      </c>
      <c r="L27" s="88">
        <f>-Kalkulation!F54</f>
        <v>0</v>
      </c>
      <c r="M27" s="88">
        <f>-Kalkulation!G54</f>
        <v>-15149.999367223803</v>
      </c>
      <c r="N27" s="88">
        <f>-Kalkulation!H54</f>
        <v>-15253.349389857902</v>
      </c>
      <c r="O27" s="88">
        <f>-Kalkulation!I54</f>
        <v>-15312.267939750851</v>
      </c>
      <c r="P27" s="88">
        <f>-Kalkulation!J54</f>
        <v>-15325.42207272045</v>
      </c>
      <c r="Q27" s="88">
        <f>-Kalkulation!K54</f>
        <v>-15291.438856258934</v>
      </c>
      <c r="R27" s="88">
        <f>-Kalkulation!L54</f>
        <v>-15208.904169883439</v>
      </c>
      <c r="S27" s="88">
        <f>-Kalkulation!M54</f>
        <v>-15076.361469496504</v>
      </c>
      <c r="T27" s="88">
        <f>-Kalkulation!N54</f>
        <v>-14892.310514677789</v>
      </c>
      <c r="U27" s="88">
        <f>-Kalkulation!O54</f>
        <v>-14655.206057794356</v>
      </c>
      <c r="V27" s="88">
        <f>-Kalkulation!P54</f>
        <v>-14363.456493784253</v>
      </c>
      <c r="W27" s="88">
        <f>-Kalkulation!Q54</f>
        <v>-14015.422469433674</v>
      </c>
      <c r="X27" s="88">
        <f>-Kalkulation!R54</f>
        <v>-102029.0985484324</v>
      </c>
      <c r="Y27" s="88">
        <f>-Kalkulation!S54</f>
        <v>-101563.37934595594</v>
      </c>
      <c r="Z27" s="88">
        <f>-Kalkulation!T54</f>
        <v>-101036.156593985</v>
      </c>
      <c r="AA27" s="88">
        <f>-Kalkulation!U54</f>
        <v>-100445.58518603479</v>
      </c>
      <c r="AB27" s="88">
        <f>-Kalkulation!V54</f>
        <v>-99789.764662425907</v>
      </c>
      <c r="AC27" s="88">
        <f>-Kalkulation!W54</f>
        <v>-99066.737549688565</v>
      </c>
    </row>
    <row r="28" spans="1:31" x14ac:dyDescent="0.3">
      <c r="F28" s="1" t="s">
        <v>32</v>
      </c>
      <c r="G28" t="s">
        <v>23</v>
      </c>
      <c r="J28" s="23">
        <f>SUM(J26:J27)</f>
        <v>29893.447606942733</v>
      </c>
      <c r="K28" s="23">
        <f t="shared" ref="K28:AC28" si="3">SUM(K26:K27)</f>
        <v>19185.423858477414</v>
      </c>
      <c r="L28" s="23">
        <f t="shared" si="3"/>
        <v>7131.4514477105404</v>
      </c>
      <c r="M28" s="23">
        <f t="shared" si="3"/>
        <v>136406.07598764217</v>
      </c>
      <c r="N28" s="23">
        <f t="shared" si="3"/>
        <v>137195.0976149161</v>
      </c>
      <c r="O28" s="23">
        <f t="shared" si="3"/>
        <v>137644.90893501366</v>
      </c>
      <c r="P28" s="23">
        <f t="shared" si="3"/>
        <v>137745.33363871972</v>
      </c>
      <c r="Q28" s="23">
        <f t="shared" si="3"/>
        <v>137485.89012754231</v>
      </c>
      <c r="R28" s="23">
        <f t="shared" si="3"/>
        <v>136855.78235503507</v>
      </c>
      <c r="S28" s="23">
        <f t="shared" si="3"/>
        <v>135843.89039335807</v>
      </c>
      <c r="T28" s="23">
        <f t="shared" si="3"/>
        <v>134438.76071683623</v>
      </c>
      <c r="U28" s="23">
        <f t="shared" si="3"/>
        <v>132628.59619402417</v>
      </c>
      <c r="V28" s="23">
        <f t="shared" si="3"/>
        <v>130401.24577953307</v>
      </c>
      <c r="W28" s="23">
        <f t="shared" si="3"/>
        <v>127744.19389661275</v>
      </c>
      <c r="X28" s="23">
        <f t="shared" si="3"/>
        <v>797565.65211799601</v>
      </c>
      <c r="Y28" s="23">
        <f t="shared" si="3"/>
        <v>794010.13743473683</v>
      </c>
      <c r="Z28" s="23">
        <f t="shared" si="3"/>
        <v>789985.07635498536</v>
      </c>
      <c r="AA28" s="23">
        <f t="shared" si="3"/>
        <v>785476.38248684688</v>
      </c>
      <c r="AB28" s="23">
        <f t="shared" si="3"/>
        <v>780469.54684666963</v>
      </c>
      <c r="AC28" s="23">
        <f t="shared" si="3"/>
        <v>774949.62518129253</v>
      </c>
      <c r="AD28" s="23"/>
    </row>
    <row r="31" spans="1:31" x14ac:dyDescent="0.3">
      <c r="A31" s="3" t="s">
        <v>190</v>
      </c>
    </row>
    <row r="32" spans="1:31" x14ac:dyDescent="0.3">
      <c r="A32" t="s">
        <v>160</v>
      </c>
      <c r="B32" s="66" t="s">
        <v>33</v>
      </c>
    </row>
    <row r="33" spans="1:29" x14ac:dyDescent="0.3">
      <c r="A33" s="171" t="s">
        <v>161</v>
      </c>
      <c r="B33" s="172">
        <v>0.72731126527420797</v>
      </c>
    </row>
    <row r="34" spans="1:29" ht="25.8" x14ac:dyDescent="0.5">
      <c r="A34" t="s">
        <v>162</v>
      </c>
      <c r="B34" s="28">
        <f>-B25*(1-B33)</f>
        <v>2906526.7777219652</v>
      </c>
      <c r="C34" t="s">
        <v>7</v>
      </c>
      <c r="F34" s="111" t="s">
        <v>35</v>
      </c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</row>
    <row r="35" spans="1:29" x14ac:dyDescent="0.3">
      <c r="A35" s="171" t="s">
        <v>163</v>
      </c>
      <c r="B35" s="175">
        <v>17</v>
      </c>
      <c r="C35" s="171" t="s">
        <v>36</v>
      </c>
    </row>
    <row r="36" spans="1:29" x14ac:dyDescent="0.3">
      <c r="A36" t="s">
        <v>164</v>
      </c>
      <c r="B36" s="67">
        <v>0.02</v>
      </c>
      <c r="G36" s="1" t="s">
        <v>3</v>
      </c>
      <c r="J36" s="78">
        <v>2025</v>
      </c>
      <c r="K36" s="78">
        <v>2026</v>
      </c>
      <c r="L36" s="78">
        <v>2027</v>
      </c>
      <c r="M36" s="78">
        <v>2028</v>
      </c>
      <c r="N36" s="78">
        <v>2029</v>
      </c>
      <c r="O36" s="78">
        <v>2030</v>
      </c>
      <c r="P36" s="78">
        <v>2031</v>
      </c>
      <c r="Q36" s="78">
        <v>2032</v>
      </c>
      <c r="R36" s="78">
        <v>2033</v>
      </c>
      <c r="S36" s="78">
        <v>2034</v>
      </c>
      <c r="T36" s="78">
        <v>2035</v>
      </c>
      <c r="U36" s="78">
        <v>2036</v>
      </c>
      <c r="V36" s="78">
        <v>2037</v>
      </c>
      <c r="W36" s="78">
        <v>2038</v>
      </c>
      <c r="X36" s="78">
        <v>2039</v>
      </c>
      <c r="Y36" s="78">
        <v>2040</v>
      </c>
      <c r="Z36" s="78">
        <v>2041</v>
      </c>
      <c r="AA36" s="78">
        <v>2042</v>
      </c>
      <c r="AB36" s="78">
        <v>2043</v>
      </c>
      <c r="AC36" s="78">
        <v>2044</v>
      </c>
    </row>
    <row r="37" spans="1:29" x14ac:dyDescent="0.3">
      <c r="A37" t="s">
        <v>165</v>
      </c>
      <c r="B37" s="67">
        <v>0.01</v>
      </c>
      <c r="G37" s="1"/>
    </row>
    <row r="38" spans="1:29" ht="18" customHeight="1" x14ac:dyDescent="0.3">
      <c r="A38" t="s">
        <v>166</v>
      </c>
      <c r="B38" s="2">
        <f>SUM(B36:B37)</f>
        <v>0.03</v>
      </c>
      <c r="C38" s="189" t="s">
        <v>267</v>
      </c>
      <c r="F38" s="80" t="s">
        <v>184</v>
      </c>
      <c r="G38" t="s">
        <v>23</v>
      </c>
      <c r="J38" s="23">
        <f>Kalkulation!D12</f>
        <v>1564892.6166000001</v>
      </c>
      <c r="K38" s="23">
        <f>Kalkulation!E12</f>
        <v>1564892.6166000001</v>
      </c>
      <c r="L38" s="23">
        <f>Kalkulation!F12</f>
        <v>1564892.6166000001</v>
      </c>
      <c r="M38" s="23">
        <f>Kalkulation!G12</f>
        <v>1564892.6166000001</v>
      </c>
      <c r="N38" s="23">
        <f>Kalkulation!H12</f>
        <v>1564892.6166000001</v>
      </c>
      <c r="O38" s="23">
        <f>Kalkulation!I12</f>
        <v>1564892.6166000001</v>
      </c>
      <c r="P38" s="23">
        <f>Kalkulation!J12</f>
        <v>1564892.6166000001</v>
      </c>
      <c r="Q38" s="23">
        <f>Kalkulation!K12</f>
        <v>1564892.6166000001</v>
      </c>
      <c r="R38" s="23">
        <f>Kalkulation!L12</f>
        <v>1564892.6166000001</v>
      </c>
      <c r="S38" s="23">
        <f>Kalkulation!M12</f>
        <v>1564892.6166000001</v>
      </c>
      <c r="T38" s="23">
        <f>Kalkulation!N12</f>
        <v>1564892.6166000001</v>
      </c>
      <c r="U38" s="23">
        <f>Kalkulation!O12</f>
        <v>1564892.6166000001</v>
      </c>
      <c r="V38" s="23">
        <f>Kalkulation!P12</f>
        <v>1564892.6166000001</v>
      </c>
      <c r="W38" s="23">
        <f>Kalkulation!Q12</f>
        <v>1564892.6166000001</v>
      </c>
      <c r="X38" s="23">
        <f>Kalkulation!R12</f>
        <v>1564892.6166000001</v>
      </c>
      <c r="Y38" s="23">
        <f>Kalkulation!S12</f>
        <v>1564892.6166000001</v>
      </c>
      <c r="Z38" s="23">
        <f>Kalkulation!T12</f>
        <v>1564892.6166000001</v>
      </c>
      <c r="AA38" s="23">
        <f>Kalkulation!U12</f>
        <v>1564892.6166000001</v>
      </c>
      <c r="AB38" s="23">
        <f>Kalkulation!V12</f>
        <v>1564892.6166000001</v>
      </c>
      <c r="AC38" s="23">
        <f>Kalkulation!W12</f>
        <v>1564892.6166000001</v>
      </c>
    </row>
    <row r="39" spans="1:29" x14ac:dyDescent="0.3">
      <c r="A39" t="s">
        <v>167</v>
      </c>
      <c r="B39" s="29">
        <f>-(B25+B34)</f>
        <v>7752244.2222780343</v>
      </c>
      <c r="F39" s="80" t="s">
        <v>185</v>
      </c>
      <c r="G39" t="s">
        <v>7</v>
      </c>
      <c r="J39" s="23">
        <f>Kalkulation!D21</f>
        <v>-540096.19452319993</v>
      </c>
      <c r="K39" s="23">
        <f>Kalkulation!E21</f>
        <v>-551799.08035889594</v>
      </c>
      <c r="L39" s="23">
        <f>Kalkulation!F21</f>
        <v>-563853.05276966281</v>
      </c>
      <c r="M39" s="23">
        <f>Kalkulation!G21</f>
        <v>-426268.64435275277</v>
      </c>
      <c r="N39" s="23">
        <f>Kalkulation!H21</f>
        <v>-439056.70368333533</v>
      </c>
      <c r="O39" s="23">
        <f>Kalkulation!I21</f>
        <v>-452228.40479383542</v>
      </c>
      <c r="P39" s="23">
        <f>Kalkulation!J21</f>
        <v>-465795.2569376505</v>
      </c>
      <c r="Q39" s="23">
        <f>Kalkulation!K21</f>
        <v>-479769.11464578006</v>
      </c>
      <c r="R39" s="23">
        <f>Kalkulation!L21</f>
        <v>-494162.18808515347</v>
      </c>
      <c r="S39" s="23">
        <f>Kalkulation!M21</f>
        <v>-508987.05372770806</v>
      </c>
      <c r="T39" s="23">
        <f>Kalkulation!N21</f>
        <v>-524256.66533953929</v>
      </c>
      <c r="U39" s="23">
        <f>Kalkulation!O21</f>
        <v>-539984.36529972544</v>
      </c>
      <c r="V39" s="23">
        <f>Kalkulation!P21</f>
        <v>-556183.89625871729</v>
      </c>
      <c r="W39" s="23">
        <f>Kalkulation!Q21</f>
        <v>-572869.41314647882</v>
      </c>
      <c r="X39" s="23">
        <f>Kalkulation!R21</f>
        <v>-590055.49554087326</v>
      </c>
      <c r="Y39" s="23">
        <f>Kalkulation!S21</f>
        <v>-607757.16040709952</v>
      </c>
      <c r="Z39" s="23">
        <f>Kalkulation!T21</f>
        <v>-625989.8752193125</v>
      </c>
      <c r="AA39" s="23">
        <f>Kalkulation!U21</f>
        <v>-644769.57147589186</v>
      </c>
      <c r="AB39" s="23">
        <f>Kalkulation!V21</f>
        <v>-664112.65862016869</v>
      </c>
      <c r="AC39" s="23">
        <f>Kalkulation!W21</f>
        <v>-684036.03837877372</v>
      </c>
    </row>
    <row r="40" spans="1:29" ht="14.25" customHeight="1" x14ac:dyDescent="0.3">
      <c r="A40" t="s">
        <v>168</v>
      </c>
      <c r="B40" s="69" t="s">
        <v>39</v>
      </c>
      <c r="F40" s="81" t="s">
        <v>188</v>
      </c>
      <c r="G40" s="84" t="s">
        <v>7</v>
      </c>
      <c r="H40" s="84"/>
      <c r="I40" s="84"/>
      <c r="J40" s="88">
        <f>J27</f>
        <v>-994.86208723069183</v>
      </c>
      <c r="K40" s="88">
        <f t="shared" ref="K40:AC40" si="4">K27</f>
        <v>0</v>
      </c>
      <c r="L40" s="88">
        <f t="shared" si="4"/>
        <v>0</v>
      </c>
      <c r="M40" s="88">
        <f t="shared" si="4"/>
        <v>-15149.999367223803</v>
      </c>
      <c r="N40" s="88">
        <f t="shared" si="4"/>
        <v>-15253.349389857902</v>
      </c>
      <c r="O40" s="88">
        <f t="shared" si="4"/>
        <v>-15312.267939750851</v>
      </c>
      <c r="P40" s="88">
        <f t="shared" si="4"/>
        <v>-15325.42207272045</v>
      </c>
      <c r="Q40" s="88">
        <f t="shared" si="4"/>
        <v>-15291.438856258934</v>
      </c>
      <c r="R40" s="88">
        <f t="shared" si="4"/>
        <v>-15208.904169883439</v>
      </c>
      <c r="S40" s="88">
        <f t="shared" si="4"/>
        <v>-15076.361469496504</v>
      </c>
      <c r="T40" s="88">
        <f t="shared" si="4"/>
        <v>-14892.310514677789</v>
      </c>
      <c r="U40" s="88">
        <f t="shared" si="4"/>
        <v>-14655.206057794356</v>
      </c>
      <c r="V40" s="88">
        <f t="shared" si="4"/>
        <v>-14363.456493784253</v>
      </c>
      <c r="W40" s="88">
        <f t="shared" si="4"/>
        <v>-14015.422469433674</v>
      </c>
      <c r="X40" s="88">
        <f t="shared" si="4"/>
        <v>-102029.0985484324</v>
      </c>
      <c r="Y40" s="88">
        <f t="shared" si="4"/>
        <v>-101563.37934595594</v>
      </c>
      <c r="Z40" s="88">
        <f t="shared" si="4"/>
        <v>-101036.156593985</v>
      </c>
      <c r="AA40" s="88">
        <f t="shared" si="4"/>
        <v>-100445.58518603479</v>
      </c>
      <c r="AB40" s="88">
        <f t="shared" si="4"/>
        <v>-99789.764662425907</v>
      </c>
      <c r="AC40" s="88">
        <f t="shared" si="4"/>
        <v>-99066.737549688565</v>
      </c>
    </row>
    <row r="41" spans="1:29" x14ac:dyDescent="0.3">
      <c r="A41" s="171" t="s">
        <v>40</v>
      </c>
      <c r="B41" s="172">
        <v>1.15E-2</v>
      </c>
      <c r="F41" s="85" t="s">
        <v>41</v>
      </c>
      <c r="G41" s="84" t="s">
        <v>7</v>
      </c>
      <c r="H41" s="84"/>
      <c r="I41" s="84"/>
      <c r="J41" s="88">
        <f>SUM(J38:J40)</f>
        <v>1023801.5599895695</v>
      </c>
      <c r="K41" s="88">
        <f t="shared" ref="K41:AC41" si="5">SUM(K38:K40)</f>
        <v>1013093.5362411041</v>
      </c>
      <c r="L41" s="88">
        <f t="shared" si="5"/>
        <v>1001039.5638303373</v>
      </c>
      <c r="M41" s="88">
        <f t="shared" si="5"/>
        <v>1123473.9728800235</v>
      </c>
      <c r="N41" s="88">
        <f t="shared" si="5"/>
        <v>1110582.5635268069</v>
      </c>
      <c r="O41" s="88">
        <f t="shared" si="5"/>
        <v>1097351.9438664138</v>
      </c>
      <c r="P41" s="88">
        <f t="shared" si="5"/>
        <v>1083771.9375896291</v>
      </c>
      <c r="Q41" s="88">
        <f t="shared" si="5"/>
        <v>1069832.063097961</v>
      </c>
      <c r="R41" s="88">
        <f t="shared" si="5"/>
        <v>1055521.5243449633</v>
      </c>
      <c r="S41" s="88">
        <f t="shared" si="5"/>
        <v>1040829.2014027955</v>
      </c>
      <c r="T41" s="88">
        <f t="shared" si="5"/>
        <v>1025743.640745783</v>
      </c>
      <c r="U41" s="88">
        <f t="shared" si="5"/>
        <v>1010253.0452424802</v>
      </c>
      <c r="V41" s="88">
        <f t="shared" si="5"/>
        <v>994345.26384749857</v>
      </c>
      <c r="W41" s="88">
        <f t="shared" si="5"/>
        <v>978007.78098408761</v>
      </c>
      <c r="X41" s="88">
        <f t="shared" si="5"/>
        <v>872808.02251069434</v>
      </c>
      <c r="Y41" s="88">
        <f t="shared" si="5"/>
        <v>855572.07684694463</v>
      </c>
      <c r="Z41" s="88">
        <f t="shared" si="5"/>
        <v>837866.58478670253</v>
      </c>
      <c r="AA41" s="88">
        <f t="shared" si="5"/>
        <v>819677.45993807341</v>
      </c>
      <c r="AB41" s="88">
        <f t="shared" si="5"/>
        <v>800990.19331740541</v>
      </c>
      <c r="AC41" s="88">
        <f t="shared" si="5"/>
        <v>781789.84067153779</v>
      </c>
    </row>
    <row r="42" spans="1:29" x14ac:dyDescent="0.3">
      <c r="A42" s="171" t="s">
        <v>42</v>
      </c>
      <c r="B42" s="172">
        <v>5.1499999999999997E-2</v>
      </c>
      <c r="F42" s="82" t="s">
        <v>189</v>
      </c>
      <c r="G42" t="s">
        <v>7</v>
      </c>
      <c r="J42" s="23">
        <f>-Kalkulation!D60</f>
        <v>-232567.32666834103</v>
      </c>
      <c r="K42" s="23">
        <f>-Kalkulation!E60</f>
        <v>-232567.32666834103</v>
      </c>
      <c r="L42" s="23">
        <f>-Kalkulation!F60</f>
        <v>-232567.32666834103</v>
      </c>
      <c r="M42" s="23">
        <f>-Kalkulation!G60</f>
        <v>-225727.11117809571</v>
      </c>
      <c r="N42" s="23">
        <f>-Kalkulation!H60</f>
        <v>-212046.68019760505</v>
      </c>
      <c r="O42" s="23">
        <f>-Kalkulation!I60</f>
        <v>-198366.24921711438</v>
      </c>
      <c r="P42" s="23">
        <f>-Kalkulation!J60</f>
        <v>-184685.81823662372</v>
      </c>
      <c r="Q42" s="23">
        <f>-Kalkulation!K60</f>
        <v>-171005.38725613308</v>
      </c>
      <c r="R42" s="23">
        <f>-Kalkulation!L60</f>
        <v>-157324.95627564241</v>
      </c>
      <c r="S42" s="23">
        <f>-Kalkulation!M60</f>
        <v>-143644.52529515175</v>
      </c>
      <c r="T42" s="23">
        <f>-Kalkulation!N60</f>
        <v>-129964.09431466108</v>
      </c>
      <c r="U42" s="23">
        <f>-Kalkulation!O60</f>
        <v>-116283.66333417043</v>
      </c>
      <c r="V42" s="23">
        <f>-Kalkulation!P60</f>
        <v>-102603.23235367978</v>
      </c>
      <c r="W42" s="23">
        <f>-Kalkulation!Q60</f>
        <v>-88922.801373189141</v>
      </c>
      <c r="X42" s="23">
        <f>-Kalkulation!R60</f>
        <v>-75242.370392698489</v>
      </c>
      <c r="Y42" s="23">
        <f>-Kalkulation!S60</f>
        <v>-61561.939412207852</v>
      </c>
      <c r="Z42" s="23">
        <f>-Kalkulation!T60</f>
        <v>-47881.508431717208</v>
      </c>
      <c r="AA42" s="23">
        <f>-Kalkulation!U60</f>
        <v>-34201.077451226556</v>
      </c>
      <c r="AB42" s="23">
        <f>-Kalkulation!V60</f>
        <v>-20520.646470735912</v>
      </c>
      <c r="AC42" s="23">
        <f>-Kalkulation!W60</f>
        <v>-6840.2154902452648</v>
      </c>
    </row>
    <row r="43" spans="1:29" x14ac:dyDescent="0.3">
      <c r="A43" s="171" t="s">
        <v>169</v>
      </c>
      <c r="B43" s="175">
        <v>0.3</v>
      </c>
      <c r="F43" s="81" t="s">
        <v>75</v>
      </c>
      <c r="G43" s="84" t="s">
        <v>7</v>
      </c>
      <c r="H43" s="84"/>
      <c r="I43" s="84"/>
      <c r="J43" s="88">
        <f>-Kalkulation!D59</f>
        <v>0</v>
      </c>
      <c r="K43" s="88">
        <f>-Kalkulation!E59</f>
        <v>0</v>
      </c>
      <c r="L43" s="88">
        <f>-Kalkulation!F59</f>
        <v>0</v>
      </c>
      <c r="M43" s="88">
        <f>-Kalkulation!G59</f>
        <v>-456014.36601635494</v>
      </c>
      <c r="N43" s="88">
        <f>-Kalkulation!H59</f>
        <v>-456014.36601635494</v>
      </c>
      <c r="O43" s="88">
        <f>-Kalkulation!I59</f>
        <v>-456014.36601635494</v>
      </c>
      <c r="P43" s="88">
        <f>-Kalkulation!J59</f>
        <v>-456014.36601635494</v>
      </c>
      <c r="Q43" s="88">
        <f>-Kalkulation!K59</f>
        <v>-456014.36601635494</v>
      </c>
      <c r="R43" s="88">
        <f>-Kalkulation!L59</f>
        <v>-456014.36601635494</v>
      </c>
      <c r="S43" s="88">
        <f>-Kalkulation!M59</f>
        <v>-456014.36601635494</v>
      </c>
      <c r="T43" s="88">
        <f>-Kalkulation!N59</f>
        <v>-456014.36601635494</v>
      </c>
      <c r="U43" s="88">
        <f>-Kalkulation!O59</f>
        <v>-456014.36601635494</v>
      </c>
      <c r="V43" s="88">
        <f>-Kalkulation!P59</f>
        <v>-456014.36601635494</v>
      </c>
      <c r="W43" s="88">
        <f>-Kalkulation!Q59</f>
        <v>-456014.36601635494</v>
      </c>
      <c r="X43" s="88">
        <f>-Kalkulation!R59</f>
        <v>-456014.36601635494</v>
      </c>
      <c r="Y43" s="88">
        <f>-Kalkulation!S59</f>
        <v>-456014.36601635494</v>
      </c>
      <c r="Z43" s="88">
        <f>-Kalkulation!T59</f>
        <v>-456014.36601635494</v>
      </c>
      <c r="AA43" s="88">
        <f>-Kalkulation!U59</f>
        <v>-456014.36601635494</v>
      </c>
      <c r="AB43" s="88">
        <f>-Kalkulation!V59</f>
        <v>-456014.36601635494</v>
      </c>
      <c r="AC43" s="88">
        <f>-Kalkulation!W59</f>
        <v>-456014.36601635494</v>
      </c>
    </row>
    <row r="44" spans="1:29" x14ac:dyDescent="0.3">
      <c r="A44" t="s">
        <v>170</v>
      </c>
      <c r="B44" s="2">
        <f>B41+(B43*B42)</f>
        <v>2.6949999999999998E-2</v>
      </c>
      <c r="F44" s="83" t="s">
        <v>43</v>
      </c>
      <c r="G44" t="s">
        <v>7</v>
      </c>
      <c r="J44" s="23">
        <f>SUM(J41:J43)</f>
        <v>791234.23332122841</v>
      </c>
      <c r="K44" s="23">
        <f t="shared" ref="K44:AC44" si="6">SUM(K41:K43)</f>
        <v>780526.20957276307</v>
      </c>
      <c r="L44" s="23">
        <f t="shared" si="6"/>
        <v>768472.23716199619</v>
      </c>
      <c r="M44" s="23">
        <f t="shared" si="6"/>
        <v>441732.49568557291</v>
      </c>
      <c r="N44" s="23">
        <f t="shared" si="6"/>
        <v>442521.5173128469</v>
      </c>
      <c r="O44" s="23">
        <f t="shared" si="6"/>
        <v>442971.32863294444</v>
      </c>
      <c r="P44" s="23">
        <f t="shared" si="6"/>
        <v>443071.75333665049</v>
      </c>
      <c r="Q44" s="23">
        <f t="shared" si="6"/>
        <v>442812.30982547294</v>
      </c>
      <c r="R44" s="23">
        <f t="shared" si="6"/>
        <v>442182.20205296593</v>
      </c>
      <c r="S44" s="23">
        <f t="shared" si="6"/>
        <v>441170.31009128882</v>
      </c>
      <c r="T44" s="23">
        <f t="shared" si="6"/>
        <v>439765.18041476695</v>
      </c>
      <c r="U44" s="23">
        <f t="shared" si="6"/>
        <v>437955.01589195483</v>
      </c>
      <c r="V44" s="23">
        <f t="shared" si="6"/>
        <v>435727.66547746392</v>
      </c>
      <c r="W44" s="23">
        <f t="shared" si="6"/>
        <v>433070.6135945436</v>
      </c>
      <c r="X44" s="23">
        <f t="shared" si="6"/>
        <v>341551.28610164096</v>
      </c>
      <c r="Y44" s="23">
        <f t="shared" si="6"/>
        <v>337995.77141838189</v>
      </c>
      <c r="Z44" s="23">
        <f t="shared" si="6"/>
        <v>333970.71033863042</v>
      </c>
      <c r="AA44" s="23">
        <f t="shared" si="6"/>
        <v>329462.01647049194</v>
      </c>
      <c r="AB44" s="23">
        <f t="shared" si="6"/>
        <v>324455.18083031458</v>
      </c>
      <c r="AC44" s="23">
        <f t="shared" si="6"/>
        <v>318935.2591649376</v>
      </c>
    </row>
    <row r="46" spans="1:29" x14ac:dyDescent="0.3">
      <c r="A46" t="s">
        <v>44</v>
      </c>
      <c r="B46" s="2">
        <f>(((1-B33)/1)*B44)+(((B33/1)*B38))</f>
        <v>2.9168299359086332E-2</v>
      </c>
    </row>
    <row r="48" spans="1:29" x14ac:dyDescent="0.3">
      <c r="A48" s="3" t="s">
        <v>171</v>
      </c>
    </row>
    <row r="50" spans="1:5" x14ac:dyDescent="0.3">
      <c r="A50" t="s">
        <v>172</v>
      </c>
      <c r="B50" s="66">
        <v>14</v>
      </c>
      <c r="C50" t="s">
        <v>36</v>
      </c>
    </row>
    <row r="51" spans="1:5" x14ac:dyDescent="0.3">
      <c r="A51" t="s">
        <v>46</v>
      </c>
      <c r="B51" s="67">
        <v>0.03</v>
      </c>
    </row>
    <row r="52" spans="1:5" x14ac:dyDescent="0.3">
      <c r="A52" s="171" t="s">
        <v>173</v>
      </c>
      <c r="B52" s="172">
        <f>B46</f>
        <v>2.9168299359086332E-2</v>
      </c>
    </row>
    <row r="53" spans="1:5" x14ac:dyDescent="0.3">
      <c r="A53" t="s">
        <v>174</v>
      </c>
      <c r="B53" s="66">
        <v>25</v>
      </c>
      <c r="C53" t="s">
        <v>36</v>
      </c>
    </row>
    <row r="56" spans="1:5" x14ac:dyDescent="0.3">
      <c r="A56" t="s">
        <v>33</v>
      </c>
    </row>
    <row r="57" spans="1:5" x14ac:dyDescent="0.3">
      <c r="A57" t="s">
        <v>47</v>
      </c>
    </row>
    <row r="60" spans="1:5" x14ac:dyDescent="0.3">
      <c r="A60" s="3" t="s">
        <v>175</v>
      </c>
    </row>
    <row r="61" spans="1:5" x14ac:dyDescent="0.3">
      <c r="A61" s="176" t="s">
        <v>176</v>
      </c>
      <c r="B61" s="177">
        <v>24500</v>
      </c>
      <c r="C61" s="23" t="s">
        <v>48</v>
      </c>
      <c r="D61"/>
    </row>
    <row r="62" spans="1:5" x14ac:dyDescent="0.3">
      <c r="A62" s="176" t="s">
        <v>177</v>
      </c>
      <c r="B62" s="178">
        <v>3.5000000000000003E-2</v>
      </c>
      <c r="C62" s="23"/>
      <c r="D62"/>
    </row>
    <row r="63" spans="1:5" x14ac:dyDescent="0.3">
      <c r="A63" s="176" t="s">
        <v>178</v>
      </c>
      <c r="B63" s="179">
        <v>0.7</v>
      </c>
      <c r="C63" s="124"/>
      <c r="D63"/>
      <c r="E63" s="132"/>
    </row>
    <row r="64" spans="1:5" x14ac:dyDescent="0.3">
      <c r="A64" s="176" t="s">
        <v>179</v>
      </c>
      <c r="B64" s="180">
        <v>0.3</v>
      </c>
      <c r="C64" s="135"/>
      <c r="D64" s="135"/>
      <c r="E64" s="132"/>
    </row>
    <row r="65" spans="1:5" x14ac:dyDescent="0.3">
      <c r="A65" s="176" t="s">
        <v>180</v>
      </c>
      <c r="B65" s="179">
        <v>3.57</v>
      </c>
      <c r="C65" s="135" t="s">
        <v>49</v>
      </c>
      <c r="D65" s="136"/>
      <c r="E65" s="132"/>
    </row>
    <row r="66" spans="1:5" x14ac:dyDescent="0.3">
      <c r="A66" s="176" t="s">
        <v>181</v>
      </c>
      <c r="B66" s="180">
        <v>4.7</v>
      </c>
      <c r="C66" s="136" t="s">
        <v>50</v>
      </c>
      <c r="D66" s="135"/>
      <c r="E66" s="132"/>
    </row>
    <row r="67" spans="1:5" x14ac:dyDescent="0.3">
      <c r="C67" s="136"/>
      <c r="D67" s="136"/>
    </row>
    <row r="69" spans="1:5" x14ac:dyDescent="0.3">
      <c r="A69" s="132" t="s">
        <v>182</v>
      </c>
      <c r="B69">
        <f>B10*(1-B14)</f>
        <v>38168112.600000001</v>
      </c>
    </row>
    <row r="70" spans="1:5" x14ac:dyDescent="0.3">
      <c r="A70" s="132" t="s">
        <v>183</v>
      </c>
      <c r="B70">
        <f>B10*(1-B11-B12)</f>
        <v>38168112.600000001</v>
      </c>
    </row>
    <row r="71" spans="1:5" x14ac:dyDescent="0.3">
      <c r="A71" s="4"/>
    </row>
    <row r="72" spans="1:5" x14ac:dyDescent="0.3">
      <c r="A72" s="4"/>
    </row>
    <row r="73" spans="1:5" x14ac:dyDescent="0.3">
      <c r="A73" s="4"/>
    </row>
    <row r="74" spans="1:5" x14ac:dyDescent="0.3">
      <c r="A74" s="4"/>
    </row>
    <row r="75" spans="1:5" x14ac:dyDescent="0.3">
      <c r="A75" s="4"/>
    </row>
    <row r="76" spans="1:5" x14ac:dyDescent="0.3">
      <c r="A76" s="4"/>
    </row>
    <row r="77" spans="1:5" x14ac:dyDescent="0.3">
      <c r="A77" s="4"/>
    </row>
    <row r="78" spans="1:5" x14ac:dyDescent="0.3">
      <c r="A78" s="4"/>
    </row>
    <row r="79" spans="1:5" x14ac:dyDescent="0.3">
      <c r="A79" s="4"/>
    </row>
    <row r="80" spans="1:5" x14ac:dyDescent="0.3">
      <c r="A80" s="6"/>
    </row>
    <row r="81" spans="1:22" x14ac:dyDescent="0.3">
      <c r="A81" s="4"/>
    </row>
    <row r="82" spans="1:22" x14ac:dyDescent="0.3">
      <c r="A82" s="4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x14ac:dyDescent="0.3">
      <c r="A83" s="4"/>
      <c r="C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x14ac:dyDescent="0.3">
      <c r="A84" s="6"/>
      <c r="C84" s="7"/>
    </row>
    <row r="85" spans="1:22" x14ac:dyDescent="0.3">
      <c r="A85" s="6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x14ac:dyDescent="0.3">
      <c r="C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x14ac:dyDescent="0.3">
      <c r="A87" s="6"/>
      <c r="C87" s="7"/>
    </row>
    <row r="88" spans="1:22" x14ac:dyDescent="0.3">
      <c r="A88" s="4"/>
      <c r="B88" s="7"/>
    </row>
    <row r="89" spans="1:22" x14ac:dyDescent="0.3">
      <c r="A89" s="4"/>
    </row>
    <row r="90" spans="1:22" x14ac:dyDescent="0.3">
      <c r="A90" s="6"/>
      <c r="B90" s="7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x14ac:dyDescent="0.3">
      <c r="A91" s="4"/>
      <c r="C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x14ac:dyDescent="0.3">
      <c r="C92" s="8"/>
      <c r="D92" s="71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x14ac:dyDescent="0.3">
      <c r="A93" s="1"/>
      <c r="B93" s="7"/>
      <c r="C93" s="8"/>
      <c r="D93" s="71"/>
    </row>
    <row r="94" spans="1:22" x14ac:dyDescent="0.3"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x14ac:dyDescent="0.3">
      <c r="C95" s="7"/>
      <c r="D95" s="71"/>
    </row>
    <row r="96" spans="1:22" x14ac:dyDescent="0.3">
      <c r="B96" s="7"/>
      <c r="D96" s="71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x14ac:dyDescent="0.3">
      <c r="C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x14ac:dyDescent="0.3">
      <c r="A98" s="1"/>
      <c r="C98" s="7"/>
      <c r="E98" s="7"/>
    </row>
    <row r="99" spans="1:22" x14ac:dyDescent="0.3">
      <c r="A99" s="1"/>
      <c r="E99" s="7"/>
    </row>
    <row r="100" spans="1:22" x14ac:dyDescent="0.3">
      <c r="D100" s="72"/>
    </row>
    <row r="101" spans="1:22" x14ac:dyDescent="0.3">
      <c r="D101" s="72"/>
      <c r="E101" s="7"/>
    </row>
    <row r="102" spans="1:22" x14ac:dyDescent="0.3">
      <c r="D102" s="72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x14ac:dyDescent="0.3">
      <c r="C103" s="7"/>
    </row>
    <row r="104" spans="1:22" x14ac:dyDescent="0.3">
      <c r="D104" s="71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1:22" x14ac:dyDescent="0.3">
      <c r="A105" s="1"/>
      <c r="B105" s="1"/>
      <c r="C105" s="8"/>
    </row>
    <row r="106" spans="1:22" x14ac:dyDescent="0.3">
      <c r="D106" s="71"/>
      <c r="E106" s="8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</row>
    <row r="107" spans="1:22" x14ac:dyDescent="0.3">
      <c r="C107" s="60"/>
      <c r="D107" s="71"/>
      <c r="E107" s="8"/>
    </row>
    <row r="108" spans="1:22" x14ac:dyDescent="0.3">
      <c r="E108" s="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x14ac:dyDescent="0.3">
      <c r="C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x14ac:dyDescent="0.3">
      <c r="C110" s="7"/>
      <c r="E110" s="7"/>
    </row>
    <row r="111" spans="1:22" x14ac:dyDescent="0.3">
      <c r="A111" s="1"/>
    </row>
    <row r="112" spans="1:22" x14ac:dyDescent="0.3">
      <c r="D112" s="71"/>
      <c r="E112" s="7"/>
    </row>
    <row r="113" spans="1:22" x14ac:dyDescent="0.3">
      <c r="E113" s="7"/>
    </row>
    <row r="114" spans="1:22" x14ac:dyDescent="0.3">
      <c r="D114" s="72"/>
      <c r="F114" s="8"/>
      <c r="G114" s="8"/>
      <c r="H114" s="8"/>
      <c r="I114" s="8"/>
      <c r="J114" s="8"/>
      <c r="K114" s="8"/>
      <c r="L114" s="8"/>
      <c r="M114" s="20"/>
      <c r="N114" s="20"/>
      <c r="O114" s="20"/>
      <c r="P114" s="20"/>
      <c r="Q114" s="20"/>
      <c r="R114" s="20"/>
      <c r="S114" s="20"/>
      <c r="T114" s="20"/>
      <c r="U114" s="20"/>
      <c r="V114" s="20"/>
    </row>
    <row r="115" spans="1:22" x14ac:dyDescent="0.3">
      <c r="C115" s="8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</row>
    <row r="116" spans="1:22" x14ac:dyDescent="0.3">
      <c r="A116" s="1"/>
      <c r="B116" s="1"/>
      <c r="C116" s="20"/>
      <c r="D116" s="73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</row>
    <row r="117" spans="1:22" x14ac:dyDescent="0.3">
      <c r="C117" s="20"/>
      <c r="F117" s="61"/>
      <c r="G117" s="61"/>
      <c r="H117" s="61"/>
      <c r="I117" s="61"/>
      <c r="J117" s="61"/>
      <c r="K117" s="61"/>
      <c r="L117" s="61"/>
      <c r="M117" s="62"/>
      <c r="N117" s="62"/>
      <c r="O117" s="62"/>
      <c r="P117" s="62"/>
      <c r="Q117" s="62"/>
      <c r="R117" s="62"/>
      <c r="S117" s="62"/>
      <c r="T117" s="62"/>
      <c r="U117" s="62"/>
      <c r="V117" s="62"/>
    </row>
    <row r="118" spans="1:22" x14ac:dyDescent="0.3">
      <c r="A118" s="1"/>
      <c r="B118" s="7"/>
      <c r="C118" s="61"/>
      <c r="D118" s="71"/>
      <c r="E118" s="7"/>
    </row>
    <row r="119" spans="1:22" x14ac:dyDescent="0.3">
      <c r="D119" s="71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x14ac:dyDescent="0.3">
      <c r="A120" s="1"/>
      <c r="C120" s="7"/>
      <c r="E120" s="8"/>
    </row>
    <row r="121" spans="1:22" x14ac:dyDescent="0.3">
      <c r="A121" s="1"/>
      <c r="B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</row>
    <row r="122" spans="1:22" x14ac:dyDescent="0.3">
      <c r="C122" s="19"/>
      <c r="E122" s="60"/>
    </row>
    <row r="124" spans="1:22" x14ac:dyDescent="0.3">
      <c r="D124" s="72"/>
      <c r="E124" s="7"/>
    </row>
    <row r="125" spans="1:22" x14ac:dyDescent="0.3">
      <c r="D125" s="74"/>
      <c r="E125" s="7"/>
    </row>
    <row r="126" spans="1:22" x14ac:dyDescent="0.3">
      <c r="D126" s="74"/>
    </row>
    <row r="127" spans="1:22" x14ac:dyDescent="0.3">
      <c r="D127" s="75"/>
    </row>
    <row r="129" spans="4:5" x14ac:dyDescent="0.3">
      <c r="D129" s="71"/>
    </row>
    <row r="130" spans="4:5" x14ac:dyDescent="0.3">
      <c r="E130" s="8"/>
    </row>
    <row r="131" spans="4:5" x14ac:dyDescent="0.3">
      <c r="D131" s="76"/>
      <c r="E131" s="20"/>
    </row>
    <row r="132" spans="4:5" x14ac:dyDescent="0.3">
      <c r="E132" s="20"/>
    </row>
    <row r="133" spans="4:5" x14ac:dyDescent="0.3">
      <c r="E133" s="61"/>
    </row>
    <row r="135" spans="4:5" x14ac:dyDescent="0.3">
      <c r="E135" s="7"/>
    </row>
    <row r="137" spans="4:5" x14ac:dyDescent="0.3">
      <c r="E137" s="19"/>
    </row>
  </sheetData>
  <dataValidations count="2">
    <dataValidation type="list" allowBlank="1" showInputMessage="1" showErrorMessage="1" sqref="B5" xr:uid="{00000000-0002-0000-0000-000000000000}">
      <formula1>$A$69:$A$70</formula1>
    </dataValidation>
    <dataValidation type="list" showInputMessage="1" showErrorMessage="1" sqref="B32" xr:uid="{00000000-0002-0000-0000-000001000000}">
      <formula1>$A$56:$A$57</formula1>
    </dataValidation>
  </dataValidations>
  <hyperlinks>
    <hyperlink ref="C38" r:id="rId1" display="https://www.macrotrends.net/global-metrics/countries/IND/india/inflation-rate-cpi" xr:uid="{BA07FAA1-2D10-4ED8-B014-28F87945E5D7}"/>
  </hyperlinks>
  <pageMargins left="0.7" right="0.7" top="0.78740157499999996" bottom="0.78740157499999996" header="0.3" footer="0.3"/>
  <pageSetup paperSize="9" orientation="portrait" horizontalDpi="4294967293" verticalDpi="4294967293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8"/>
  <sheetViews>
    <sheetView zoomScale="70" zoomScaleNormal="70" zoomScalePageLayoutView="70" workbookViewId="0">
      <pane xSplit="2" ySplit="1" topLeftCell="C45" activePane="bottomRight" state="frozen"/>
      <selection pane="topRight" activeCell="C1" sqref="C1"/>
      <selection pane="bottomLeft" activeCell="A2" sqref="A2"/>
      <selection pane="bottomRight" activeCell="D54" sqref="D54"/>
    </sheetView>
  </sheetViews>
  <sheetFormatPr defaultColWidth="11.44140625" defaultRowHeight="14.4" x14ac:dyDescent="0.3"/>
  <cols>
    <col min="1" max="1" width="39.109375" customWidth="1"/>
    <col min="2" max="2" width="27" style="26" customWidth="1"/>
    <col min="4" max="4" width="14.88671875" bestFit="1" customWidth="1"/>
    <col min="5" max="10" width="13.88671875" bestFit="1" customWidth="1"/>
    <col min="11" max="20" width="14.88671875" bestFit="1" customWidth="1"/>
    <col min="21" max="21" width="12.109375" customWidth="1"/>
    <col min="22" max="23" width="14.88671875" bestFit="1" customWidth="1"/>
    <col min="25" max="25" width="17.44140625" customWidth="1"/>
  </cols>
  <sheetData>
    <row r="1" spans="1:25" ht="18" x14ac:dyDescent="0.35">
      <c r="A1" s="22" t="s">
        <v>51</v>
      </c>
      <c r="B1" s="90"/>
      <c r="C1" s="89">
        <v>2025</v>
      </c>
      <c r="D1" s="89">
        <v>2026</v>
      </c>
      <c r="E1" s="89">
        <v>2027</v>
      </c>
      <c r="F1" s="89">
        <v>2028</v>
      </c>
      <c r="G1" s="89">
        <v>2029</v>
      </c>
      <c r="H1" s="89">
        <v>2030</v>
      </c>
      <c r="I1" s="89">
        <v>2031</v>
      </c>
      <c r="J1" s="89">
        <v>2032</v>
      </c>
      <c r="K1" s="89">
        <v>2033</v>
      </c>
      <c r="L1" s="89">
        <v>2034</v>
      </c>
      <c r="M1" s="89">
        <v>2035</v>
      </c>
      <c r="N1" s="89">
        <v>2036</v>
      </c>
      <c r="O1" s="89">
        <v>2037</v>
      </c>
      <c r="P1" s="89">
        <v>2038</v>
      </c>
      <c r="Q1" s="89">
        <v>2039</v>
      </c>
      <c r="R1" s="89">
        <v>2040</v>
      </c>
      <c r="S1" s="89">
        <v>2041</v>
      </c>
      <c r="T1" s="89">
        <v>2042</v>
      </c>
      <c r="U1" s="89">
        <v>2043</v>
      </c>
      <c r="V1" s="89">
        <v>2044</v>
      </c>
      <c r="W1" s="89">
        <v>2045</v>
      </c>
    </row>
    <row r="2" spans="1:25" x14ac:dyDescent="0.3">
      <c r="B2" s="83" t="s">
        <v>3</v>
      </c>
    </row>
    <row r="3" spans="1:25" x14ac:dyDescent="0.3">
      <c r="A3" s="1"/>
      <c r="B3" s="83"/>
    </row>
    <row r="4" spans="1:25" x14ac:dyDescent="0.3">
      <c r="A4" s="4" t="s">
        <v>52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</row>
    <row r="5" spans="1:25" x14ac:dyDescent="0.3">
      <c r="A5" s="4" t="s">
        <v>53</v>
      </c>
      <c r="C5">
        <v>2015</v>
      </c>
      <c r="D5">
        <v>2016</v>
      </c>
      <c r="E5">
        <v>2017</v>
      </c>
      <c r="F5">
        <v>2018</v>
      </c>
      <c r="G5">
        <v>2019</v>
      </c>
      <c r="H5">
        <v>2020</v>
      </c>
      <c r="I5">
        <v>2021</v>
      </c>
      <c r="J5">
        <v>2022</v>
      </c>
      <c r="K5">
        <v>2023</v>
      </c>
      <c r="L5">
        <v>2024</v>
      </c>
      <c r="M5">
        <v>2025</v>
      </c>
      <c r="N5">
        <v>2026</v>
      </c>
      <c r="O5">
        <v>2027</v>
      </c>
      <c r="P5">
        <v>2028</v>
      </c>
      <c r="Q5">
        <v>2029</v>
      </c>
      <c r="R5">
        <v>2030</v>
      </c>
      <c r="S5">
        <v>2031</v>
      </c>
      <c r="T5">
        <v>2032</v>
      </c>
      <c r="U5">
        <v>2033</v>
      </c>
      <c r="V5">
        <v>2034</v>
      </c>
      <c r="W5">
        <v>2035</v>
      </c>
    </row>
    <row r="6" spans="1:25" x14ac:dyDescent="0.3">
      <c r="A6" s="4" t="s">
        <v>46</v>
      </c>
      <c r="C6" s="19">
        <v>1</v>
      </c>
      <c r="D6" s="19">
        <f>C6*(1+Parameters!$B$51)</f>
        <v>1.03</v>
      </c>
      <c r="E6" s="19">
        <f>D6*(1+Parameters!$B$51)</f>
        <v>1.0609</v>
      </c>
      <c r="F6" s="19">
        <f>E6*(1+Parameters!$B$51)</f>
        <v>1.092727</v>
      </c>
      <c r="G6" s="19">
        <f>F6*(1+Parameters!$B$51)</f>
        <v>1.1255088100000001</v>
      </c>
      <c r="H6" s="19">
        <f>G6*(1+Parameters!$B$51)</f>
        <v>1.1592740743000001</v>
      </c>
      <c r="I6" s="19">
        <f>H6*(1+Parameters!$B$51)</f>
        <v>1.1940522965290001</v>
      </c>
      <c r="J6" s="19">
        <f>I6*(1+Parameters!$B$51)</f>
        <v>1.2298738654248702</v>
      </c>
      <c r="K6" s="19">
        <f>J6*(1+Parameters!$B$51)</f>
        <v>1.2667700813876164</v>
      </c>
      <c r="L6" s="19">
        <f>K6*(1+Parameters!$B$51)</f>
        <v>1.3047731838292449</v>
      </c>
      <c r="M6" s="19">
        <f>L6*(1+Parameters!$B$51)</f>
        <v>1.3439163793441222</v>
      </c>
      <c r="N6" s="19">
        <f>M6*(1+Parameters!$B$51)</f>
        <v>1.3842338707244459</v>
      </c>
      <c r="O6" s="19">
        <f>N6*(1+Parameters!$B$51)</f>
        <v>1.4257608868461793</v>
      </c>
      <c r="P6" s="19">
        <f>O6*(1+Parameters!$B$51)</f>
        <v>1.4685337134515648</v>
      </c>
      <c r="Q6" s="19">
        <f>P6*(1+Parameters!$B$51)</f>
        <v>1.5125897248551119</v>
      </c>
      <c r="R6" s="19">
        <f>Q6*(1+Parameters!$B$51)</f>
        <v>1.5579674166007653</v>
      </c>
      <c r="S6" s="19">
        <f>R6*(1+Parameters!$B$51)</f>
        <v>1.6047064390987884</v>
      </c>
      <c r="T6" s="19">
        <f>S6*(1+Parameters!$B$51)</f>
        <v>1.652847632271752</v>
      </c>
      <c r="U6" s="19">
        <f>T6*(1+Parameters!$B$51)</f>
        <v>1.7024330612399046</v>
      </c>
      <c r="V6" s="19">
        <f>U6*(1+Parameters!$B$51)</f>
        <v>1.7535060530771018</v>
      </c>
      <c r="W6" s="19">
        <f>V6*(1+Parameters!$B$51)</f>
        <v>1.806111234669415</v>
      </c>
    </row>
    <row r="8" spans="1:25" x14ac:dyDescent="0.3">
      <c r="A8" s="6" t="s">
        <v>22</v>
      </c>
      <c r="B8" s="91"/>
    </row>
    <row r="9" spans="1:25" x14ac:dyDescent="0.3">
      <c r="A9" s="4" t="s">
        <v>54</v>
      </c>
      <c r="B9" s="26" t="s">
        <v>55</v>
      </c>
      <c r="D9" s="23">
        <f>Parameters!$B$15</f>
        <v>38168112.600000001</v>
      </c>
      <c r="E9" s="23">
        <f>Parameters!$B$15</f>
        <v>38168112.600000001</v>
      </c>
      <c r="F9" s="23">
        <f>Parameters!$B$15</f>
        <v>38168112.600000001</v>
      </c>
      <c r="G9" s="23">
        <f>Parameters!$B$15</f>
        <v>38168112.600000001</v>
      </c>
      <c r="H9" s="23">
        <f>Parameters!$B$15</f>
        <v>38168112.600000001</v>
      </c>
      <c r="I9" s="23">
        <f>Parameters!$B$15</f>
        <v>38168112.600000001</v>
      </c>
      <c r="J9" s="23">
        <f>Parameters!$B$15</f>
        <v>38168112.600000001</v>
      </c>
      <c r="K9" s="23">
        <f>Parameters!$B$15</f>
        <v>38168112.600000001</v>
      </c>
      <c r="L9" s="23">
        <f>Parameters!$B$15</f>
        <v>38168112.600000001</v>
      </c>
      <c r="M9" s="23">
        <f>Parameters!$B$15</f>
        <v>38168112.600000001</v>
      </c>
      <c r="N9" s="23">
        <f>Parameters!$B$15</f>
        <v>38168112.600000001</v>
      </c>
      <c r="O9" s="23">
        <f>Parameters!$B$15</f>
        <v>38168112.600000001</v>
      </c>
      <c r="P9" s="23">
        <f>Parameters!$B$15</f>
        <v>38168112.600000001</v>
      </c>
      <c r="Q9" s="23">
        <f>Parameters!$B$15</f>
        <v>38168112.600000001</v>
      </c>
      <c r="R9" s="23">
        <f>Parameters!$B$15</f>
        <v>38168112.600000001</v>
      </c>
      <c r="S9" s="23">
        <f>Parameters!$B$15</f>
        <v>38168112.600000001</v>
      </c>
      <c r="T9" s="23">
        <f>Parameters!$B$15</f>
        <v>38168112.600000001</v>
      </c>
      <c r="U9" s="23">
        <f>Parameters!$B$15</f>
        <v>38168112.600000001</v>
      </c>
      <c r="V9" s="23">
        <f>Parameters!$B$15</f>
        <v>38168112.600000001</v>
      </c>
      <c r="W9" s="23">
        <f>Parameters!$B$15</f>
        <v>38168112.600000001</v>
      </c>
    </row>
    <row r="10" spans="1:25" ht="28.8" x14ac:dyDescent="0.3">
      <c r="A10" s="65" t="s">
        <v>56</v>
      </c>
      <c r="B10" s="92" t="s">
        <v>21</v>
      </c>
      <c r="D10">
        <f>Parameters!$B$18</f>
        <v>4.1000000000000002E-2</v>
      </c>
      <c r="E10">
        <f>Parameters!$B$18</f>
        <v>4.1000000000000002E-2</v>
      </c>
      <c r="F10">
        <f>Parameters!$B$18</f>
        <v>4.1000000000000002E-2</v>
      </c>
      <c r="G10">
        <f>Parameters!$B$18</f>
        <v>4.1000000000000002E-2</v>
      </c>
      <c r="H10">
        <f>Parameters!$B$18</f>
        <v>4.1000000000000002E-2</v>
      </c>
      <c r="I10">
        <f>Parameters!$B$18</f>
        <v>4.1000000000000002E-2</v>
      </c>
      <c r="J10">
        <f>Parameters!$B$18</f>
        <v>4.1000000000000002E-2</v>
      </c>
      <c r="K10">
        <f>Parameters!$B$18</f>
        <v>4.1000000000000002E-2</v>
      </c>
      <c r="L10">
        <f>Parameters!$B$18</f>
        <v>4.1000000000000002E-2</v>
      </c>
      <c r="M10">
        <f>Parameters!$B$18</f>
        <v>4.1000000000000002E-2</v>
      </c>
      <c r="N10">
        <f>Parameters!$B$18</f>
        <v>4.1000000000000002E-2</v>
      </c>
      <c r="O10">
        <f>Parameters!$B$18</f>
        <v>4.1000000000000002E-2</v>
      </c>
      <c r="P10">
        <f>Parameters!$B$18</f>
        <v>4.1000000000000002E-2</v>
      </c>
      <c r="Q10">
        <f>Parameters!$B$18</f>
        <v>4.1000000000000002E-2</v>
      </c>
      <c r="R10">
        <f>Parameters!$B$18</f>
        <v>4.1000000000000002E-2</v>
      </c>
      <c r="S10">
        <f>Parameters!$B$18</f>
        <v>4.1000000000000002E-2</v>
      </c>
      <c r="T10">
        <f>Parameters!$B$18</f>
        <v>4.1000000000000002E-2</v>
      </c>
      <c r="U10">
        <f>Parameters!$B$18</f>
        <v>4.1000000000000002E-2</v>
      </c>
      <c r="V10">
        <f>Parameters!$B$18</f>
        <v>4.1000000000000002E-2</v>
      </c>
      <c r="W10">
        <f>Parameters!$B$18</f>
        <v>4.1000000000000002E-2</v>
      </c>
    </row>
    <row r="11" spans="1:25" ht="15" thickBot="1" x14ac:dyDescent="0.35">
      <c r="A11" s="25"/>
      <c r="B11" s="27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1:25" s="3" customFormat="1" x14ac:dyDescent="0.3">
      <c r="A12" s="6" t="s">
        <v>57</v>
      </c>
      <c r="B12" s="91" t="s">
        <v>7</v>
      </c>
      <c r="D12" s="30">
        <f>D9*D10</f>
        <v>1564892.6166000001</v>
      </c>
      <c r="E12" s="30">
        <f t="shared" ref="E12:W12" si="0">E9*E10</f>
        <v>1564892.6166000001</v>
      </c>
      <c r="F12" s="30">
        <f t="shared" si="0"/>
        <v>1564892.6166000001</v>
      </c>
      <c r="G12" s="30">
        <f t="shared" si="0"/>
        <v>1564892.6166000001</v>
      </c>
      <c r="H12" s="30">
        <f t="shared" si="0"/>
        <v>1564892.6166000001</v>
      </c>
      <c r="I12" s="30">
        <f t="shared" si="0"/>
        <v>1564892.6166000001</v>
      </c>
      <c r="J12" s="30">
        <f t="shared" si="0"/>
        <v>1564892.6166000001</v>
      </c>
      <c r="K12" s="30">
        <f t="shared" si="0"/>
        <v>1564892.6166000001</v>
      </c>
      <c r="L12" s="30">
        <f t="shared" si="0"/>
        <v>1564892.6166000001</v>
      </c>
      <c r="M12" s="30">
        <f t="shared" si="0"/>
        <v>1564892.6166000001</v>
      </c>
      <c r="N12" s="30">
        <f t="shared" si="0"/>
        <v>1564892.6166000001</v>
      </c>
      <c r="O12" s="30">
        <f t="shared" si="0"/>
        <v>1564892.6166000001</v>
      </c>
      <c r="P12" s="30">
        <f t="shared" si="0"/>
        <v>1564892.6166000001</v>
      </c>
      <c r="Q12" s="30">
        <f t="shared" si="0"/>
        <v>1564892.6166000001</v>
      </c>
      <c r="R12" s="30">
        <f t="shared" si="0"/>
        <v>1564892.6166000001</v>
      </c>
      <c r="S12" s="30">
        <f t="shared" si="0"/>
        <v>1564892.6166000001</v>
      </c>
      <c r="T12" s="30">
        <f t="shared" si="0"/>
        <v>1564892.6166000001</v>
      </c>
      <c r="U12" s="30">
        <f t="shared" si="0"/>
        <v>1564892.6166000001</v>
      </c>
      <c r="V12" s="30">
        <f t="shared" si="0"/>
        <v>1564892.6166000001</v>
      </c>
      <c r="W12" s="30">
        <f t="shared" si="0"/>
        <v>1564892.6166000001</v>
      </c>
      <c r="Y12" s="30">
        <f>SUM(D12:W12)</f>
        <v>31297852.331999991</v>
      </c>
    </row>
    <row r="16" spans="1:25" x14ac:dyDescent="0.3">
      <c r="A16" s="6" t="s">
        <v>58</v>
      </c>
      <c r="B16" s="91"/>
    </row>
    <row r="17" spans="1:23" x14ac:dyDescent="0.3">
      <c r="A17" s="4" t="s">
        <v>26</v>
      </c>
      <c r="B17" s="26" t="s">
        <v>7</v>
      </c>
      <c r="C17" s="23">
        <f>Parameters!B25</f>
        <v>-10658771</v>
      </c>
    </row>
    <row r="18" spans="1:23" x14ac:dyDescent="0.3">
      <c r="A18" s="4" t="s">
        <v>24</v>
      </c>
      <c r="B18" s="26" t="s">
        <v>23</v>
      </c>
      <c r="D18" s="23">
        <f>Parameters!$B$26*D$6</f>
        <v>-390096.19452319999</v>
      </c>
      <c r="E18" s="23">
        <f>Parameters!$B$26*E$6</f>
        <v>-401799.08035889594</v>
      </c>
      <c r="F18" s="23">
        <f>Parameters!$B$26*F$6</f>
        <v>-413853.05276966287</v>
      </c>
      <c r="G18" s="23">
        <f>Parameters!$B$26*G$6</f>
        <v>-426268.64435275277</v>
      </c>
      <c r="H18" s="23">
        <f>Parameters!$B$26*H$6</f>
        <v>-439056.70368333533</v>
      </c>
      <c r="I18" s="23">
        <f>Parameters!$B$26*I$6</f>
        <v>-452228.40479383542</v>
      </c>
      <c r="J18" s="23">
        <f>Parameters!$B$26*J$6</f>
        <v>-465795.2569376505</v>
      </c>
      <c r="K18" s="23">
        <f>Parameters!$B$26*K$6</f>
        <v>-479769.11464578006</v>
      </c>
      <c r="L18" s="23">
        <f>Parameters!$B$26*L$6</f>
        <v>-494162.18808515347</v>
      </c>
      <c r="M18" s="23">
        <f>Parameters!$B$26*M$6</f>
        <v>-508987.05372770806</v>
      </c>
      <c r="N18" s="23">
        <f>Parameters!$B$26*N$6</f>
        <v>-524256.66533953929</v>
      </c>
      <c r="O18" s="23">
        <f>Parameters!$B$26*O$6</f>
        <v>-539984.36529972544</v>
      </c>
      <c r="P18" s="23">
        <f>Parameters!$B$26*P$6</f>
        <v>-556183.89625871729</v>
      </c>
      <c r="Q18" s="23">
        <f>Parameters!$B$26*Q$6</f>
        <v>-572869.41314647882</v>
      </c>
      <c r="R18" s="23">
        <f>Parameters!$B$26*R$6</f>
        <v>-590055.49554087326</v>
      </c>
      <c r="S18" s="23">
        <f>Parameters!$B$26*S$6</f>
        <v>-607757.16040709952</v>
      </c>
      <c r="T18" s="23">
        <f>Parameters!$B$26*T$6</f>
        <v>-625989.8752193125</v>
      </c>
      <c r="U18" s="23">
        <f>Parameters!$B$26*U$6</f>
        <v>-644769.57147589186</v>
      </c>
      <c r="V18" s="23">
        <f>Parameters!$B$26*V$6</f>
        <v>-664112.65862016869</v>
      </c>
      <c r="W18" s="23">
        <f>Parameters!$B$26*W$6</f>
        <v>-684036.03837877372</v>
      </c>
    </row>
    <row r="19" spans="1:23" x14ac:dyDescent="0.3">
      <c r="A19" s="4" t="s">
        <v>59</v>
      </c>
      <c r="B19" s="26" t="s">
        <v>7</v>
      </c>
      <c r="D19" s="23">
        <v>-150000</v>
      </c>
      <c r="E19" s="23">
        <v>-150000</v>
      </c>
      <c r="F19" s="23">
        <v>-150000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</row>
    <row r="20" spans="1:23" ht="15" thickBot="1" x14ac:dyDescent="0.35">
      <c r="A20" s="25"/>
      <c r="B20" s="27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spans="1:23" x14ac:dyDescent="0.3">
      <c r="A21" s="6" t="s">
        <v>57</v>
      </c>
      <c r="B21" s="91" t="s">
        <v>23</v>
      </c>
      <c r="C21" s="23">
        <f>C17</f>
        <v>-10658771</v>
      </c>
      <c r="D21" s="23">
        <f>D17+D18+D19</f>
        <v>-540096.19452319993</v>
      </c>
      <c r="E21" s="23">
        <f t="shared" ref="E21:W21" si="1">E17+E18+E19</f>
        <v>-551799.08035889594</v>
      </c>
      <c r="F21" s="23">
        <f t="shared" si="1"/>
        <v>-563853.05276966281</v>
      </c>
      <c r="G21" s="23">
        <f t="shared" si="1"/>
        <v>-426268.64435275277</v>
      </c>
      <c r="H21" s="23">
        <f t="shared" si="1"/>
        <v>-439056.70368333533</v>
      </c>
      <c r="I21" s="23">
        <f t="shared" si="1"/>
        <v>-452228.40479383542</v>
      </c>
      <c r="J21" s="23">
        <f t="shared" si="1"/>
        <v>-465795.2569376505</v>
      </c>
      <c r="K21" s="23">
        <f t="shared" si="1"/>
        <v>-479769.11464578006</v>
      </c>
      <c r="L21" s="23">
        <f t="shared" si="1"/>
        <v>-494162.18808515347</v>
      </c>
      <c r="M21" s="23">
        <f t="shared" si="1"/>
        <v>-508987.05372770806</v>
      </c>
      <c r="N21" s="23">
        <f t="shared" si="1"/>
        <v>-524256.66533953929</v>
      </c>
      <c r="O21" s="23">
        <f t="shared" si="1"/>
        <v>-539984.36529972544</v>
      </c>
      <c r="P21" s="23">
        <f t="shared" si="1"/>
        <v>-556183.89625871729</v>
      </c>
      <c r="Q21" s="23">
        <f t="shared" si="1"/>
        <v>-572869.41314647882</v>
      </c>
      <c r="R21" s="23">
        <f t="shared" si="1"/>
        <v>-590055.49554087326</v>
      </c>
      <c r="S21" s="23">
        <f t="shared" si="1"/>
        <v>-607757.16040709952</v>
      </c>
      <c r="T21" s="23">
        <f t="shared" si="1"/>
        <v>-625989.8752193125</v>
      </c>
      <c r="U21" s="23">
        <f t="shared" si="1"/>
        <v>-644769.57147589186</v>
      </c>
      <c r="V21" s="23">
        <f t="shared" si="1"/>
        <v>-664112.65862016869</v>
      </c>
      <c r="W21" s="23">
        <f t="shared" si="1"/>
        <v>-684036.03837877372</v>
      </c>
    </row>
    <row r="23" spans="1:23" ht="15" thickBot="1" x14ac:dyDescent="0.35"/>
    <row r="24" spans="1:23" s="1" customFormat="1" ht="15" thickBot="1" x14ac:dyDescent="0.35">
      <c r="A24" s="103" t="s">
        <v>25</v>
      </c>
      <c r="B24" s="104" t="s">
        <v>7</v>
      </c>
      <c r="C24" s="105">
        <f>C12+SUM(C17:C18)</f>
        <v>-10658771</v>
      </c>
      <c r="D24" s="105">
        <f>D12+D21</f>
        <v>1024796.4220768001</v>
      </c>
      <c r="E24" s="105">
        <f t="shared" ref="E24:W24" si="2">E12+E21</f>
        <v>1013093.5362411041</v>
      </c>
      <c r="F24" s="105">
        <f t="shared" si="2"/>
        <v>1001039.5638303373</v>
      </c>
      <c r="G24" s="105">
        <f t="shared" si="2"/>
        <v>1138623.9722472474</v>
      </c>
      <c r="H24" s="105">
        <f t="shared" si="2"/>
        <v>1125835.9129166647</v>
      </c>
      <c r="I24" s="105">
        <f t="shared" si="2"/>
        <v>1112664.2118061646</v>
      </c>
      <c r="J24" s="105">
        <f t="shared" si="2"/>
        <v>1099097.3596623496</v>
      </c>
      <c r="K24" s="105">
        <f t="shared" si="2"/>
        <v>1085123.50195422</v>
      </c>
      <c r="L24" s="105">
        <f t="shared" si="2"/>
        <v>1070730.4285148466</v>
      </c>
      <c r="M24" s="105">
        <f t="shared" si="2"/>
        <v>1055905.562872292</v>
      </c>
      <c r="N24" s="105">
        <f t="shared" si="2"/>
        <v>1040635.9512604608</v>
      </c>
      <c r="O24" s="105">
        <f t="shared" si="2"/>
        <v>1024908.2513002746</v>
      </c>
      <c r="P24" s="105">
        <f t="shared" si="2"/>
        <v>1008708.7203412828</v>
      </c>
      <c r="Q24" s="105">
        <f t="shared" si="2"/>
        <v>992023.20345352124</v>
      </c>
      <c r="R24" s="105">
        <f t="shared" si="2"/>
        <v>974837.1210591268</v>
      </c>
      <c r="S24" s="105">
        <f t="shared" si="2"/>
        <v>957135.45619290054</v>
      </c>
      <c r="T24" s="105">
        <f t="shared" si="2"/>
        <v>938902.74138068757</v>
      </c>
      <c r="U24" s="105">
        <f t="shared" si="2"/>
        <v>920123.0451241082</v>
      </c>
      <c r="V24" s="105">
        <f t="shared" si="2"/>
        <v>900779.95797983138</v>
      </c>
      <c r="W24" s="105">
        <f t="shared" si="2"/>
        <v>880856.57822122634</v>
      </c>
    </row>
    <row r="25" spans="1:23" ht="15" thickBot="1" x14ac:dyDescent="0.35">
      <c r="A25" s="4"/>
    </row>
    <row r="26" spans="1:23" s="77" customFormat="1" ht="15" thickBot="1" x14ac:dyDescent="0.35">
      <c r="A26" s="106" t="s">
        <v>27</v>
      </c>
      <c r="B26" s="107" t="s">
        <v>7</v>
      </c>
      <c r="C26" s="110">
        <v>0</v>
      </c>
      <c r="D26" s="108">
        <f>D39</f>
        <v>-761340.78571428568</v>
      </c>
      <c r="E26" s="108">
        <f t="shared" ref="E26:W26" si="3">E39</f>
        <v>-761340.78571428568</v>
      </c>
      <c r="F26" s="108">
        <f t="shared" si="3"/>
        <v>-761340.78571428568</v>
      </c>
      <c r="G26" s="108">
        <f t="shared" si="3"/>
        <v>-761340.78571428568</v>
      </c>
      <c r="H26" s="108">
        <f t="shared" si="3"/>
        <v>-761340.78571428568</v>
      </c>
      <c r="I26" s="108">
        <f t="shared" si="3"/>
        <v>-761340.78571428568</v>
      </c>
      <c r="J26" s="108">
        <f t="shared" si="3"/>
        <v>-761340.78571428568</v>
      </c>
      <c r="K26" s="108">
        <f t="shared" si="3"/>
        <v>-761340.78571428568</v>
      </c>
      <c r="L26" s="108">
        <f t="shared" si="3"/>
        <v>-761340.78571428568</v>
      </c>
      <c r="M26" s="108">
        <f t="shared" si="3"/>
        <v>-761340.78571428568</v>
      </c>
      <c r="N26" s="108">
        <f t="shared" si="3"/>
        <v>-761340.78571428568</v>
      </c>
      <c r="O26" s="108">
        <f t="shared" si="3"/>
        <v>-761340.78571428568</v>
      </c>
      <c r="P26" s="108">
        <f t="shared" si="3"/>
        <v>-761340.78571428568</v>
      </c>
      <c r="Q26" s="108">
        <f t="shared" si="3"/>
        <v>-761340.78571428568</v>
      </c>
      <c r="R26" s="108">
        <f t="shared" si="3"/>
        <v>0</v>
      </c>
      <c r="S26" s="108">
        <f t="shared" si="3"/>
        <v>0</v>
      </c>
      <c r="T26" s="108">
        <f t="shared" si="3"/>
        <v>0</v>
      </c>
      <c r="U26" s="108">
        <f t="shared" si="3"/>
        <v>0</v>
      </c>
      <c r="V26" s="108">
        <f t="shared" si="3"/>
        <v>0</v>
      </c>
      <c r="W26" s="109">
        <f t="shared" si="3"/>
        <v>0</v>
      </c>
    </row>
    <row r="27" spans="1:23" ht="15" thickBot="1" x14ac:dyDescent="0.35"/>
    <row r="28" spans="1:23" s="77" customFormat="1" ht="15" thickBot="1" x14ac:dyDescent="0.35">
      <c r="A28" s="106" t="s">
        <v>28</v>
      </c>
      <c r="B28" s="107" t="s">
        <v>7</v>
      </c>
      <c r="C28" s="108">
        <f>C24+C26</f>
        <v>-10658771</v>
      </c>
      <c r="D28" s="108">
        <f t="shared" ref="D28:W28" si="4">D24+D26</f>
        <v>263455.63636251446</v>
      </c>
      <c r="E28" s="108">
        <f t="shared" si="4"/>
        <v>251752.75052681845</v>
      </c>
      <c r="F28" s="108">
        <f t="shared" si="4"/>
        <v>239698.77811605157</v>
      </c>
      <c r="G28" s="108">
        <f t="shared" si="4"/>
        <v>377283.18653296167</v>
      </c>
      <c r="H28" s="108">
        <f t="shared" si="4"/>
        <v>364495.12720237905</v>
      </c>
      <c r="I28" s="108">
        <f t="shared" si="4"/>
        <v>351323.42609187891</v>
      </c>
      <c r="J28" s="108">
        <f t="shared" si="4"/>
        <v>337756.57394806389</v>
      </c>
      <c r="K28" s="108">
        <f t="shared" si="4"/>
        <v>323782.71623993432</v>
      </c>
      <c r="L28" s="108">
        <f t="shared" si="4"/>
        <v>309389.64280056092</v>
      </c>
      <c r="M28" s="108">
        <f t="shared" si="4"/>
        <v>294564.77715800633</v>
      </c>
      <c r="N28" s="108">
        <f t="shared" si="4"/>
        <v>279295.16554617509</v>
      </c>
      <c r="O28" s="108">
        <f t="shared" si="4"/>
        <v>263567.46558598895</v>
      </c>
      <c r="P28" s="108">
        <f t="shared" si="4"/>
        <v>247367.9346269971</v>
      </c>
      <c r="Q28" s="108">
        <f t="shared" si="4"/>
        <v>230682.41773923556</v>
      </c>
      <c r="R28" s="108">
        <f t="shared" si="4"/>
        <v>974837.1210591268</v>
      </c>
      <c r="S28" s="108">
        <f t="shared" si="4"/>
        <v>957135.45619290054</v>
      </c>
      <c r="T28" s="108">
        <f t="shared" si="4"/>
        <v>938902.74138068757</v>
      </c>
      <c r="U28" s="108">
        <f t="shared" si="4"/>
        <v>920123.0451241082</v>
      </c>
      <c r="V28" s="108">
        <f t="shared" si="4"/>
        <v>900779.95797983138</v>
      </c>
      <c r="W28" s="109">
        <f t="shared" si="4"/>
        <v>880856.57822122634</v>
      </c>
    </row>
    <row r="30" spans="1:23" x14ac:dyDescent="0.3">
      <c r="A30" t="s">
        <v>60</v>
      </c>
      <c r="B30" s="26" t="s">
        <v>7</v>
      </c>
      <c r="D30" s="23">
        <f>D54</f>
        <v>994.86208723069183</v>
      </c>
      <c r="E30" s="23">
        <f t="shared" ref="E30:W30" si="5">E54</f>
        <v>0</v>
      </c>
      <c r="F30" s="23">
        <f t="shared" si="5"/>
        <v>0</v>
      </c>
      <c r="G30" s="23">
        <f t="shared" si="5"/>
        <v>15149.999367223803</v>
      </c>
      <c r="H30" s="23">
        <f t="shared" si="5"/>
        <v>15253.349389857902</v>
      </c>
      <c r="I30" s="23">
        <f t="shared" si="5"/>
        <v>15312.267939750851</v>
      </c>
      <c r="J30" s="23">
        <f t="shared" si="5"/>
        <v>15325.42207272045</v>
      </c>
      <c r="K30" s="23">
        <f t="shared" si="5"/>
        <v>15291.438856258934</v>
      </c>
      <c r="L30" s="23">
        <f t="shared" si="5"/>
        <v>15208.904169883439</v>
      </c>
      <c r="M30" s="23">
        <f t="shared" si="5"/>
        <v>15076.361469496504</v>
      </c>
      <c r="N30" s="23">
        <f t="shared" si="5"/>
        <v>14892.310514677789</v>
      </c>
      <c r="O30" s="23">
        <f t="shared" si="5"/>
        <v>14655.206057794356</v>
      </c>
      <c r="P30" s="23">
        <f t="shared" si="5"/>
        <v>14363.456493784253</v>
      </c>
      <c r="Q30" s="23">
        <f t="shared" si="5"/>
        <v>14015.422469433674</v>
      </c>
      <c r="R30" s="23">
        <f t="shared" si="5"/>
        <v>102029.0985484324</v>
      </c>
      <c r="S30" s="23">
        <f t="shared" si="5"/>
        <v>101563.37934595594</v>
      </c>
      <c r="T30" s="23">
        <f t="shared" si="5"/>
        <v>101036.156593985</v>
      </c>
      <c r="U30" s="23">
        <f t="shared" si="5"/>
        <v>100445.58518603479</v>
      </c>
      <c r="V30" s="23">
        <f t="shared" si="5"/>
        <v>99789.764662425907</v>
      </c>
      <c r="W30" s="23">
        <f t="shared" si="5"/>
        <v>99066.737549688565</v>
      </c>
    </row>
    <row r="31" spans="1:23" x14ac:dyDescent="0.3">
      <c r="A31" s="51" t="s">
        <v>41</v>
      </c>
      <c r="B31" s="93" t="s">
        <v>7</v>
      </c>
      <c r="C31" s="52">
        <f>C24-C30</f>
        <v>-10658771</v>
      </c>
      <c r="D31" s="52">
        <f t="shared" ref="D31:W31" si="6">D24-D30</f>
        <v>1023801.5599895695</v>
      </c>
      <c r="E31" s="52">
        <f t="shared" si="6"/>
        <v>1013093.5362411041</v>
      </c>
      <c r="F31" s="52">
        <f t="shared" si="6"/>
        <v>1001039.5638303373</v>
      </c>
      <c r="G31" s="52">
        <f t="shared" si="6"/>
        <v>1123473.9728800235</v>
      </c>
      <c r="H31" s="52">
        <f t="shared" si="6"/>
        <v>1110582.5635268069</v>
      </c>
      <c r="I31" s="52">
        <f t="shared" si="6"/>
        <v>1097351.9438664138</v>
      </c>
      <c r="J31" s="52">
        <f t="shared" si="6"/>
        <v>1083771.9375896291</v>
      </c>
      <c r="K31" s="52">
        <f t="shared" si="6"/>
        <v>1069832.063097961</v>
      </c>
      <c r="L31" s="52">
        <f t="shared" si="6"/>
        <v>1055521.5243449633</v>
      </c>
      <c r="M31" s="52">
        <f t="shared" si="6"/>
        <v>1040829.2014027955</v>
      </c>
      <c r="N31" s="52">
        <f t="shared" si="6"/>
        <v>1025743.640745783</v>
      </c>
      <c r="O31" s="52">
        <f t="shared" si="6"/>
        <v>1010253.0452424802</v>
      </c>
      <c r="P31" s="52">
        <f t="shared" si="6"/>
        <v>994345.26384749857</v>
      </c>
      <c r="Q31" s="52">
        <f t="shared" si="6"/>
        <v>978007.78098408761</v>
      </c>
      <c r="R31" s="52">
        <f t="shared" si="6"/>
        <v>872808.02251069434</v>
      </c>
      <c r="S31" s="52">
        <f t="shared" si="6"/>
        <v>855572.07684694463</v>
      </c>
      <c r="T31" s="52">
        <f t="shared" si="6"/>
        <v>837866.58478670253</v>
      </c>
      <c r="U31" s="52">
        <f t="shared" si="6"/>
        <v>819677.45993807341</v>
      </c>
      <c r="V31" s="52">
        <f t="shared" si="6"/>
        <v>800990.19331740541</v>
      </c>
      <c r="W31" s="52">
        <f t="shared" si="6"/>
        <v>781789.84067153779</v>
      </c>
    </row>
    <row r="33" spans="1:23" ht="15" thickBot="1" x14ac:dyDescent="0.35">
      <c r="A33" s="1"/>
      <c r="B33" s="83"/>
    </row>
    <row r="34" spans="1:23" x14ac:dyDescent="0.3">
      <c r="A34" s="31" t="s">
        <v>61</v>
      </c>
      <c r="B34" s="94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40"/>
    </row>
    <row r="35" spans="1:23" x14ac:dyDescent="0.3">
      <c r="A35" s="32"/>
      <c r="B35" s="95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41"/>
    </row>
    <row r="36" spans="1:23" x14ac:dyDescent="0.3">
      <c r="A36" s="32" t="s">
        <v>62</v>
      </c>
      <c r="B36" s="95" t="s">
        <v>7</v>
      </c>
      <c r="C36" s="38"/>
      <c r="D36" s="38">
        <f t="shared" ref="D36:W36" si="7">D24</f>
        <v>1024796.4220768001</v>
      </c>
      <c r="E36" s="38">
        <f t="shared" si="7"/>
        <v>1013093.5362411041</v>
      </c>
      <c r="F36" s="38">
        <f t="shared" si="7"/>
        <v>1001039.5638303373</v>
      </c>
      <c r="G36" s="38">
        <f t="shared" si="7"/>
        <v>1138623.9722472474</v>
      </c>
      <c r="H36" s="38">
        <f t="shared" si="7"/>
        <v>1125835.9129166647</v>
      </c>
      <c r="I36" s="38">
        <f t="shared" si="7"/>
        <v>1112664.2118061646</v>
      </c>
      <c r="J36" s="38">
        <f t="shared" si="7"/>
        <v>1099097.3596623496</v>
      </c>
      <c r="K36" s="38">
        <f t="shared" si="7"/>
        <v>1085123.50195422</v>
      </c>
      <c r="L36" s="38">
        <f t="shared" si="7"/>
        <v>1070730.4285148466</v>
      </c>
      <c r="M36" s="38">
        <f t="shared" si="7"/>
        <v>1055905.562872292</v>
      </c>
      <c r="N36" s="38">
        <f t="shared" si="7"/>
        <v>1040635.9512604608</v>
      </c>
      <c r="O36" s="38">
        <f t="shared" si="7"/>
        <v>1024908.2513002746</v>
      </c>
      <c r="P36" s="38">
        <f t="shared" si="7"/>
        <v>1008708.7203412828</v>
      </c>
      <c r="Q36" s="38">
        <f t="shared" si="7"/>
        <v>992023.20345352124</v>
      </c>
      <c r="R36" s="38">
        <f t="shared" si="7"/>
        <v>974837.1210591268</v>
      </c>
      <c r="S36" s="38">
        <f t="shared" si="7"/>
        <v>957135.45619290054</v>
      </c>
      <c r="T36" s="38">
        <f t="shared" si="7"/>
        <v>938902.74138068757</v>
      </c>
      <c r="U36" s="38">
        <f t="shared" si="7"/>
        <v>920123.0451241082</v>
      </c>
      <c r="V36" s="38">
        <f t="shared" si="7"/>
        <v>900779.95797983138</v>
      </c>
      <c r="W36" s="42">
        <f t="shared" si="7"/>
        <v>880856.57822122634</v>
      </c>
    </row>
    <row r="37" spans="1:23" x14ac:dyDescent="0.3">
      <c r="A37" s="32"/>
      <c r="B37" s="95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41"/>
    </row>
    <row r="38" spans="1:23" x14ac:dyDescent="0.3">
      <c r="A38" s="32" t="s">
        <v>37</v>
      </c>
      <c r="B38" s="95" t="s">
        <v>7</v>
      </c>
      <c r="C38" s="37"/>
      <c r="D38" s="38">
        <f t="shared" ref="D38:F38" si="8">-D60</f>
        <v>-232567.32666834103</v>
      </c>
      <c r="E38" s="38">
        <f t="shared" si="8"/>
        <v>-232567.32666834103</v>
      </c>
      <c r="F38" s="38">
        <f t="shared" si="8"/>
        <v>-232567.32666834103</v>
      </c>
      <c r="G38" s="38">
        <f>-G60</f>
        <v>-225727.11117809571</v>
      </c>
      <c r="H38" s="38">
        <f t="shared" ref="H38:W38" si="9">-H60</f>
        <v>-212046.68019760505</v>
      </c>
      <c r="I38" s="38">
        <f t="shared" si="9"/>
        <v>-198366.24921711438</v>
      </c>
      <c r="J38" s="38">
        <f t="shared" si="9"/>
        <v>-184685.81823662372</v>
      </c>
      <c r="K38" s="38">
        <f t="shared" si="9"/>
        <v>-171005.38725613308</v>
      </c>
      <c r="L38" s="38">
        <f t="shared" si="9"/>
        <v>-157324.95627564241</v>
      </c>
      <c r="M38" s="38">
        <f t="shared" si="9"/>
        <v>-143644.52529515175</v>
      </c>
      <c r="N38" s="38">
        <f t="shared" si="9"/>
        <v>-129964.09431466108</v>
      </c>
      <c r="O38" s="38">
        <f t="shared" si="9"/>
        <v>-116283.66333417043</v>
      </c>
      <c r="P38" s="38">
        <f t="shared" si="9"/>
        <v>-102603.23235367978</v>
      </c>
      <c r="Q38" s="38">
        <f t="shared" si="9"/>
        <v>-88922.801373189141</v>
      </c>
      <c r="R38" s="38">
        <f t="shared" si="9"/>
        <v>-75242.370392698489</v>
      </c>
      <c r="S38" s="38">
        <f t="shared" si="9"/>
        <v>-61561.939412207852</v>
      </c>
      <c r="T38" s="38">
        <f t="shared" si="9"/>
        <v>-47881.508431717208</v>
      </c>
      <c r="U38" s="38">
        <f t="shared" si="9"/>
        <v>-34201.077451226556</v>
      </c>
      <c r="V38" s="38">
        <f t="shared" si="9"/>
        <v>-20520.646470735912</v>
      </c>
      <c r="W38" s="38">
        <f t="shared" si="9"/>
        <v>-6840.2154902452648</v>
      </c>
    </row>
    <row r="39" spans="1:23" ht="15" thickBot="1" x14ac:dyDescent="0.35">
      <c r="A39" s="33" t="s">
        <v>27</v>
      </c>
      <c r="B39" s="96" t="s">
        <v>7</v>
      </c>
      <c r="C39" s="45"/>
      <c r="D39" s="46">
        <f>IF(D4&lt;=Parameters!$B$50,Parameters!$B$25/Parameters!$B$50,0)</f>
        <v>-761340.78571428568</v>
      </c>
      <c r="E39" s="46">
        <f>IF(E4&lt;=Parameters!$B$50,Parameters!$B$25/Parameters!$B$50,0)</f>
        <v>-761340.78571428568</v>
      </c>
      <c r="F39" s="46">
        <f>IF(F4&lt;=Parameters!$B$50,Parameters!$B$25/Parameters!$B$50,0)</f>
        <v>-761340.78571428568</v>
      </c>
      <c r="G39" s="46">
        <f>IF(G4&lt;=Parameters!$B$50,Parameters!$B$25/Parameters!$B$50,0)</f>
        <v>-761340.78571428568</v>
      </c>
      <c r="H39" s="46">
        <f>IF(H4&lt;=Parameters!$B$50,Parameters!$B$25/Parameters!$B$50,0)</f>
        <v>-761340.78571428568</v>
      </c>
      <c r="I39" s="46">
        <f>IF(I4&lt;=Parameters!$B$50,Parameters!$B$25/Parameters!$B$50,0)</f>
        <v>-761340.78571428568</v>
      </c>
      <c r="J39" s="46">
        <f>IF(J4&lt;=Parameters!$B$50,Parameters!$B$25/Parameters!$B$50,0)</f>
        <v>-761340.78571428568</v>
      </c>
      <c r="K39" s="46">
        <f>IF(K4&lt;=Parameters!$B$50,Parameters!$B$25/Parameters!$B$50,0)</f>
        <v>-761340.78571428568</v>
      </c>
      <c r="L39" s="46">
        <f>IF(L4&lt;=Parameters!$B$50,Parameters!$B$25/Parameters!$B$50,0)</f>
        <v>-761340.78571428568</v>
      </c>
      <c r="M39" s="46">
        <f>IF(M4&lt;=Parameters!$B$50,Parameters!$B$25/Parameters!$B$50,0)</f>
        <v>-761340.78571428568</v>
      </c>
      <c r="N39" s="46">
        <f>IF(N4&lt;=Parameters!$B$50,Parameters!$B$25/Parameters!$B$50,0)</f>
        <v>-761340.78571428568</v>
      </c>
      <c r="O39" s="46">
        <f>IF(O4&lt;=Parameters!$B$50,Parameters!$B$25/Parameters!$B$50,0)</f>
        <v>-761340.78571428568</v>
      </c>
      <c r="P39" s="46">
        <f>IF(P4&lt;=Parameters!$B$50,Parameters!$B$25/Parameters!$B$50,0)</f>
        <v>-761340.78571428568</v>
      </c>
      <c r="Q39" s="46">
        <f>IF(Q4&lt;=Parameters!$B$50,Parameters!$B$25/Parameters!$B$50,0)</f>
        <v>-761340.78571428568</v>
      </c>
      <c r="R39" s="46">
        <f>IF(R4&lt;=Parameters!$B$50,Parameters!$B$25/Parameters!$B$50,0)</f>
        <v>0</v>
      </c>
      <c r="S39" s="46">
        <f>IF(S4&lt;=Parameters!$B$50,Parameters!$B$25/Parameters!$B$50,0)</f>
        <v>0</v>
      </c>
      <c r="T39" s="46">
        <f>IF(T4&lt;=Parameters!$B$50,Parameters!$B$25/Parameters!$B$50,0)</f>
        <v>0</v>
      </c>
      <c r="U39" s="46">
        <f>IF(U4&lt;=Parameters!$B$50,Parameters!$B$25/Parameters!$B$50,0)</f>
        <v>0</v>
      </c>
      <c r="V39" s="46">
        <f>IF(V4&lt;=Parameters!$B$50,Parameters!$B$25/Parameters!$B$50,0)</f>
        <v>0</v>
      </c>
      <c r="W39" s="47">
        <f>IF(W4&lt;=Parameters!$B$50,Parameters!$B$25/Parameters!$B$50,0)</f>
        <v>0</v>
      </c>
    </row>
    <row r="40" spans="1:23" ht="15" thickBot="1" x14ac:dyDescent="0.35">
      <c r="A40" s="34" t="s">
        <v>63</v>
      </c>
      <c r="B40" s="97" t="s">
        <v>7</v>
      </c>
      <c r="C40" s="49"/>
      <c r="D40" s="50">
        <f>SUM(D36:D39)</f>
        <v>30888.309694173397</v>
      </c>
      <c r="E40" s="50">
        <f t="shared" ref="E40:W40" si="10">SUM(E36:E39)</f>
        <v>19185.423858477385</v>
      </c>
      <c r="F40" s="50">
        <f t="shared" si="10"/>
        <v>7131.4514477105113</v>
      </c>
      <c r="G40" s="50">
        <f t="shared" si="10"/>
        <v>151556.07535486598</v>
      </c>
      <c r="H40" s="50">
        <f t="shared" si="10"/>
        <v>152448.447004774</v>
      </c>
      <c r="I40" s="50">
        <f t="shared" si="10"/>
        <v>152957.1768747645</v>
      </c>
      <c r="J40" s="50">
        <f t="shared" si="10"/>
        <v>153070.75571144023</v>
      </c>
      <c r="K40" s="50">
        <f t="shared" si="10"/>
        <v>152777.32898380118</v>
      </c>
      <c r="L40" s="50">
        <f t="shared" si="10"/>
        <v>152064.68652491854</v>
      </c>
      <c r="M40" s="50">
        <f t="shared" si="10"/>
        <v>150920.25186285458</v>
      </c>
      <c r="N40" s="50">
        <f t="shared" si="10"/>
        <v>149331.07123151398</v>
      </c>
      <c r="O40" s="50">
        <f t="shared" si="10"/>
        <v>147283.80225181847</v>
      </c>
      <c r="P40" s="50">
        <f t="shared" si="10"/>
        <v>144764.70227331738</v>
      </c>
      <c r="Q40" s="50">
        <f t="shared" si="10"/>
        <v>141759.61636604648</v>
      </c>
      <c r="R40" s="50">
        <f t="shared" si="10"/>
        <v>899594.75066642836</v>
      </c>
      <c r="S40" s="50">
        <f t="shared" si="10"/>
        <v>895573.51678069273</v>
      </c>
      <c r="T40" s="50">
        <f t="shared" si="10"/>
        <v>891021.2329489704</v>
      </c>
      <c r="U40" s="50">
        <f t="shared" si="10"/>
        <v>885921.96767288167</v>
      </c>
      <c r="V40" s="50">
        <f t="shared" si="10"/>
        <v>880259.31150909548</v>
      </c>
      <c r="W40" s="50">
        <f t="shared" si="10"/>
        <v>874016.36273098108</v>
      </c>
    </row>
    <row r="41" spans="1:23" x14ac:dyDescent="0.3">
      <c r="A41" s="35" t="s">
        <v>64</v>
      </c>
      <c r="B41" s="98" t="s">
        <v>7</v>
      </c>
      <c r="C41" s="48"/>
      <c r="D41" s="57">
        <v>0</v>
      </c>
      <c r="E41" s="57">
        <f>IF(Parameters!$B$40="yes",IF(Kalkulation!D42&lt;0,Kalkulation!D42,0),0)</f>
        <v>0</v>
      </c>
      <c r="F41" s="57">
        <f>IF(Parameters!$B$40="yes",IF(Kalkulation!E42&lt;0,Kalkulation!E42,0),0)</f>
        <v>0</v>
      </c>
      <c r="G41" s="57">
        <f>IF(Parameters!$B$40="yes",IF(Kalkulation!F42&lt;0,Kalkulation!F42,0),0)</f>
        <v>0</v>
      </c>
      <c r="H41" s="57">
        <f>IF(Parameters!$B$40="yes",IF(Kalkulation!G42&lt;0,Kalkulation!G42,0),0)</f>
        <v>0</v>
      </c>
      <c r="I41" s="57">
        <f>IF(Parameters!$B$40="yes",IF(Kalkulation!H42&lt;0,Kalkulation!H42,0),0)</f>
        <v>0</v>
      </c>
      <c r="J41" s="57">
        <f>IF(Parameters!$B$40="yes",IF(Kalkulation!I42&lt;0,Kalkulation!I42,0),0)</f>
        <v>0</v>
      </c>
      <c r="K41" s="57">
        <f>IF(Parameters!$B$40="yes",IF(Kalkulation!J42&lt;0,Kalkulation!J42,0),0)</f>
        <v>0</v>
      </c>
      <c r="L41" s="57">
        <f>IF(Parameters!$B$40="yes",IF(Kalkulation!K42&lt;0,Kalkulation!K42,0),0)</f>
        <v>0</v>
      </c>
      <c r="M41" s="57">
        <f>IF(Parameters!$B$40="yes",IF(Kalkulation!L42&lt;0,Kalkulation!L42,0),0)</f>
        <v>0</v>
      </c>
      <c r="N41" s="57">
        <f>IF(Parameters!$B$40="yes",IF(Kalkulation!M42&lt;0,Kalkulation!M42,0),0)</f>
        <v>0</v>
      </c>
      <c r="O41" s="57">
        <f>IF(Parameters!$B$40="yes",IF(Kalkulation!N42&lt;0,Kalkulation!N42,0),0)</f>
        <v>0</v>
      </c>
      <c r="P41" s="57">
        <f>IF(Parameters!$B$40="yes",IF(Kalkulation!O42&lt;0,Kalkulation!O42,0),0)</f>
        <v>0</v>
      </c>
      <c r="Q41" s="57">
        <f>IF(Parameters!$B$40="yes",IF(Kalkulation!P42&lt;0,Kalkulation!P42,0),0)</f>
        <v>0</v>
      </c>
      <c r="R41" s="57">
        <f>IF(Parameters!$B$40="yes",IF(Kalkulation!Q42&lt;0,Kalkulation!Q42,0),0)</f>
        <v>0</v>
      </c>
      <c r="S41" s="57">
        <f>IF(Parameters!$B$40="yes",IF(Kalkulation!R42&lt;0,Kalkulation!R42,0),0)</f>
        <v>0</v>
      </c>
      <c r="T41" s="57">
        <f>IF(Parameters!$B$40="yes",IF(Kalkulation!S42&lt;0,Kalkulation!S42,0),0)</f>
        <v>0</v>
      </c>
      <c r="U41" s="57">
        <f>IF(Parameters!$B$40="yes",IF(Kalkulation!T42&lt;0,Kalkulation!T42,0),0)</f>
        <v>0</v>
      </c>
      <c r="V41" s="57">
        <f>IF(Parameters!$B$40="yes",IF(Kalkulation!U42&lt;0,Kalkulation!U42,0),0)</f>
        <v>0</v>
      </c>
      <c r="W41" s="58">
        <f>IF(Parameters!$B$40="yes",IF(Kalkulation!V42&lt;0,Kalkulation!V42,0),0)</f>
        <v>0</v>
      </c>
    </row>
    <row r="42" spans="1:23" ht="15" thickBot="1" x14ac:dyDescent="0.35">
      <c r="A42" s="33" t="s">
        <v>65</v>
      </c>
      <c r="B42" s="96" t="s">
        <v>7</v>
      </c>
      <c r="C42" s="45"/>
      <c r="D42" s="46">
        <f>D40-D41</f>
        <v>30888.309694173397</v>
      </c>
      <c r="E42" s="46">
        <f>E40+E41</f>
        <v>19185.423858477385</v>
      </c>
      <c r="F42" s="46">
        <f t="shared" ref="F42:W42" si="11">F40+F41</f>
        <v>7131.4514477105113</v>
      </c>
      <c r="G42" s="46">
        <f t="shared" si="11"/>
        <v>151556.07535486598</v>
      </c>
      <c r="H42" s="46">
        <f t="shared" si="11"/>
        <v>152448.447004774</v>
      </c>
      <c r="I42" s="46">
        <f t="shared" si="11"/>
        <v>152957.1768747645</v>
      </c>
      <c r="J42" s="46">
        <f t="shared" si="11"/>
        <v>153070.75571144023</v>
      </c>
      <c r="K42" s="46">
        <f t="shared" si="11"/>
        <v>152777.32898380118</v>
      </c>
      <c r="L42" s="46">
        <f t="shared" si="11"/>
        <v>152064.68652491854</v>
      </c>
      <c r="M42" s="46">
        <f t="shared" si="11"/>
        <v>150920.25186285458</v>
      </c>
      <c r="N42" s="46">
        <f t="shared" si="11"/>
        <v>149331.07123151398</v>
      </c>
      <c r="O42" s="46">
        <f t="shared" si="11"/>
        <v>147283.80225181847</v>
      </c>
      <c r="P42" s="46">
        <f t="shared" si="11"/>
        <v>144764.70227331738</v>
      </c>
      <c r="Q42" s="46">
        <f t="shared" si="11"/>
        <v>141759.61636604648</v>
      </c>
      <c r="R42" s="46">
        <f t="shared" si="11"/>
        <v>899594.75066642836</v>
      </c>
      <c r="S42" s="46">
        <f t="shared" si="11"/>
        <v>895573.51678069273</v>
      </c>
      <c r="T42" s="46">
        <f t="shared" si="11"/>
        <v>891021.2329489704</v>
      </c>
      <c r="U42" s="46">
        <f t="shared" si="11"/>
        <v>885921.96767288167</v>
      </c>
      <c r="V42" s="46">
        <f t="shared" si="11"/>
        <v>880259.31150909548</v>
      </c>
      <c r="W42" s="46">
        <f t="shared" si="11"/>
        <v>874016.36273098108</v>
      </c>
    </row>
    <row r="43" spans="1:23" ht="15" thickTop="1" x14ac:dyDescent="0.3">
      <c r="A43" s="137" t="s">
        <v>31</v>
      </c>
      <c r="B43" s="138"/>
      <c r="C43" s="139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</row>
    <row r="44" spans="1:23" x14ac:dyDescent="0.3">
      <c r="A44" s="141" t="s">
        <v>66</v>
      </c>
      <c r="B44" s="145" t="s">
        <v>7</v>
      </c>
      <c r="C44" s="142"/>
      <c r="D44" s="143">
        <f>IF(D42&gt;24500,D42-Parameters!$B$61,0)</f>
        <v>6388.3096941733966</v>
      </c>
      <c r="E44" s="143">
        <f>IF(E42&gt;24500,E42-Parameters!$B$61,0)</f>
        <v>0</v>
      </c>
      <c r="F44" s="143">
        <f>IF(F42&gt;24500,F42-Parameters!$B$61,0)</f>
        <v>0</v>
      </c>
      <c r="G44" s="143">
        <f>IF(G42&gt;24500,G42-Parameters!$B$61,0)</f>
        <v>127056.07535486598</v>
      </c>
      <c r="H44" s="143">
        <f>IF(H42&gt;24500,H42-Parameters!$B$61,0)</f>
        <v>127948.447004774</v>
      </c>
      <c r="I44" s="143">
        <f>IF(I42&gt;24500,I42-Parameters!$B$61,0)</f>
        <v>128457.1768747645</v>
      </c>
      <c r="J44" s="143">
        <f>IF(J42&gt;24500,J42-Parameters!$B$61,0)</f>
        <v>128570.75571144023</v>
      </c>
      <c r="K44" s="143">
        <f>IF(K42&gt;24500,K42-Parameters!$B$61,0)</f>
        <v>128277.32898380118</v>
      </c>
      <c r="L44" s="143">
        <f>IF(L42&gt;24500,L42-Parameters!$B$61,0)</f>
        <v>127564.68652491854</v>
      </c>
      <c r="M44" s="143">
        <f>IF(M42&gt;24500,M42-Parameters!$B$61,0)</f>
        <v>126420.25186285458</v>
      </c>
      <c r="N44" s="143">
        <f>IF(N42&gt;24500,N42-Parameters!$B$61,0)</f>
        <v>124831.07123151398</v>
      </c>
      <c r="O44" s="143">
        <f>IF(O42&gt;24500,O42-Parameters!$B$61,0)</f>
        <v>122783.80225181847</v>
      </c>
      <c r="P44" s="143">
        <f>IF(P42&gt;24500,P42-Parameters!$B$61,0)</f>
        <v>120264.70227331738</v>
      </c>
      <c r="Q44" s="143">
        <f>IF(Q42&gt;24500,Q42-Parameters!$B$61,0)</f>
        <v>117259.61636604648</v>
      </c>
      <c r="R44" s="143">
        <f>IF(R42&gt;24500,R42-Parameters!$B$61,0)</f>
        <v>875094.75066642836</v>
      </c>
      <c r="S44" s="143">
        <f>IF(S42&gt;24500,S42-Parameters!$B$61,0)</f>
        <v>871073.51678069273</v>
      </c>
      <c r="T44" s="143">
        <f>IF(T42&gt;24500,T42-Parameters!$B$61,0)</f>
        <v>866521.2329489704</v>
      </c>
      <c r="U44" s="143">
        <f>IF(U42&gt;24500,U42-Parameters!$B$61,0)</f>
        <v>861421.96767288167</v>
      </c>
      <c r="V44" s="143">
        <f>IF(V42&gt;24500,V42-Parameters!$B$61,0)</f>
        <v>855759.31150909548</v>
      </c>
      <c r="W44" s="143">
        <f>IF(W42&gt;24500,W42-Parameters!$B$61,0)</f>
        <v>849516.36273098108</v>
      </c>
    </row>
    <row r="45" spans="1:23" x14ac:dyDescent="0.3">
      <c r="A45" s="33" t="s">
        <v>67</v>
      </c>
      <c r="B45" s="145" t="s">
        <v>7</v>
      </c>
      <c r="C45" s="45"/>
      <c r="D45" s="46">
        <f>D44*0.7</f>
        <v>4471.8167859213772</v>
      </c>
      <c r="E45" s="46">
        <f t="shared" ref="E45:W45" si="12">E44*0.7</f>
        <v>0</v>
      </c>
      <c r="F45" s="46">
        <f t="shared" si="12"/>
        <v>0</v>
      </c>
      <c r="G45" s="46">
        <f t="shared" si="12"/>
        <v>88939.252748406187</v>
      </c>
      <c r="H45" s="46">
        <f t="shared" si="12"/>
        <v>89563.912903341799</v>
      </c>
      <c r="I45" s="46">
        <f t="shared" si="12"/>
        <v>89920.023812335145</v>
      </c>
      <c r="J45" s="46">
        <f t="shared" si="12"/>
        <v>89999.528998008158</v>
      </c>
      <c r="K45" s="46">
        <f t="shared" si="12"/>
        <v>89794.130288660817</v>
      </c>
      <c r="L45" s="46">
        <f t="shared" si="12"/>
        <v>89295.280567442969</v>
      </c>
      <c r="M45" s="46">
        <f t="shared" si="12"/>
        <v>88494.176303998203</v>
      </c>
      <c r="N45" s="46">
        <f t="shared" si="12"/>
        <v>87381.749862059776</v>
      </c>
      <c r="O45" s="46">
        <f t="shared" si="12"/>
        <v>85948.66157627292</v>
      </c>
      <c r="P45" s="46">
        <f t="shared" si="12"/>
        <v>84185.291591322166</v>
      </c>
      <c r="Q45" s="46">
        <f t="shared" si="12"/>
        <v>82081.731456232534</v>
      </c>
      <c r="R45" s="46">
        <f t="shared" si="12"/>
        <v>612566.32546649978</v>
      </c>
      <c r="S45" s="46">
        <f t="shared" si="12"/>
        <v>609751.46174648486</v>
      </c>
      <c r="T45" s="46">
        <f t="shared" si="12"/>
        <v>606564.8630642792</v>
      </c>
      <c r="U45" s="46">
        <f t="shared" si="12"/>
        <v>602995.37737101712</v>
      </c>
      <c r="V45" s="46">
        <f t="shared" si="12"/>
        <v>599031.51805636683</v>
      </c>
      <c r="W45" s="46">
        <f t="shared" si="12"/>
        <v>594661.45391168667</v>
      </c>
    </row>
    <row r="46" spans="1:23" x14ac:dyDescent="0.3">
      <c r="A46" s="33" t="s">
        <v>68</v>
      </c>
      <c r="B46" s="145" t="s">
        <v>7</v>
      </c>
      <c r="C46" s="45"/>
      <c r="D46" s="46">
        <f>IF(D45=0,0,IF(D45&lt;=65000,120,IF(D45&lt;=80000,200,IF(D45&lt;=105000,300,400))))</f>
        <v>120</v>
      </c>
      <c r="E46" s="46">
        <f t="shared" ref="E46:W46" si="13">IF(E45=0,0,IF(E45&lt;=65000,120,IF(E45&lt;=80000,200,IF(E45&lt;=105000,300,400))))</f>
        <v>0</v>
      </c>
      <c r="F46" s="46">
        <f t="shared" si="13"/>
        <v>0</v>
      </c>
      <c r="G46" s="46">
        <f t="shared" si="13"/>
        <v>300</v>
      </c>
      <c r="H46" s="46">
        <f t="shared" si="13"/>
        <v>300</v>
      </c>
      <c r="I46" s="46">
        <f t="shared" si="13"/>
        <v>300</v>
      </c>
      <c r="J46" s="46">
        <f t="shared" si="13"/>
        <v>300</v>
      </c>
      <c r="K46" s="46">
        <f t="shared" si="13"/>
        <v>300</v>
      </c>
      <c r="L46" s="46">
        <f t="shared" si="13"/>
        <v>300</v>
      </c>
      <c r="M46" s="46">
        <f t="shared" si="13"/>
        <v>300</v>
      </c>
      <c r="N46" s="46">
        <f t="shared" si="13"/>
        <v>300</v>
      </c>
      <c r="O46" s="46">
        <f t="shared" si="13"/>
        <v>300</v>
      </c>
      <c r="P46" s="46">
        <f t="shared" si="13"/>
        <v>300</v>
      </c>
      <c r="Q46" s="46">
        <f t="shared" si="13"/>
        <v>300</v>
      </c>
      <c r="R46" s="46">
        <f t="shared" si="13"/>
        <v>400</v>
      </c>
      <c r="S46" s="46">
        <f t="shared" si="13"/>
        <v>400</v>
      </c>
      <c r="T46" s="46">
        <f t="shared" si="13"/>
        <v>400</v>
      </c>
      <c r="U46" s="46">
        <f t="shared" si="13"/>
        <v>400</v>
      </c>
      <c r="V46" s="46">
        <f t="shared" si="13"/>
        <v>400</v>
      </c>
      <c r="W46" s="46">
        <f t="shared" si="13"/>
        <v>400</v>
      </c>
    </row>
    <row r="47" spans="1:23" x14ac:dyDescent="0.3">
      <c r="A47" s="33" t="s">
        <v>69</v>
      </c>
      <c r="B47" s="145" t="s">
        <v>7</v>
      </c>
      <c r="C47" s="45"/>
      <c r="D47" s="46">
        <f>D45*0.035*3.57</f>
        <v>558.75350740087606</v>
      </c>
      <c r="E47" s="46">
        <f t="shared" ref="E47:W47" si="14">E45*0.035*3.57</f>
        <v>0</v>
      </c>
      <c r="F47" s="46">
        <f t="shared" si="14"/>
        <v>0</v>
      </c>
      <c r="G47" s="46">
        <f t="shared" si="14"/>
        <v>11112.959630913352</v>
      </c>
      <c r="H47" s="46">
        <f t="shared" si="14"/>
        <v>11191.010917272559</v>
      </c>
      <c r="I47" s="46">
        <f t="shared" si="14"/>
        <v>11235.506975351276</v>
      </c>
      <c r="J47" s="46">
        <f t="shared" si="14"/>
        <v>11245.441148301119</v>
      </c>
      <c r="K47" s="46">
        <f t="shared" si="14"/>
        <v>11219.77657956817</v>
      </c>
      <c r="L47" s="46">
        <f t="shared" si="14"/>
        <v>11157.445306901998</v>
      </c>
      <c r="M47" s="46">
        <f t="shared" si="14"/>
        <v>11057.347329184577</v>
      </c>
      <c r="N47" s="46">
        <f t="shared" si="14"/>
        <v>10918.349645264369</v>
      </c>
      <c r="O47" s="46">
        <f t="shared" si="14"/>
        <v>10739.285263955302</v>
      </c>
      <c r="P47" s="46">
        <f t="shared" si="14"/>
        <v>10518.952184335705</v>
      </c>
      <c r="Q47" s="46">
        <f t="shared" si="14"/>
        <v>10256.112345456255</v>
      </c>
      <c r="R47" s="46">
        <f t="shared" si="14"/>
        <v>76540.162367039156</v>
      </c>
      <c r="S47" s="46">
        <f t="shared" si="14"/>
        <v>76188.44514522329</v>
      </c>
      <c r="T47" s="46">
        <f t="shared" si="14"/>
        <v>75790.279639881686</v>
      </c>
      <c r="U47" s="46">
        <f t="shared" si="14"/>
        <v>75344.272402508592</v>
      </c>
      <c r="V47" s="46">
        <f t="shared" si="14"/>
        <v>74848.988181143039</v>
      </c>
      <c r="W47" s="46">
        <f t="shared" si="14"/>
        <v>74302.948666265249</v>
      </c>
    </row>
    <row r="48" spans="1:23" s="25" customFormat="1" ht="15" thickBot="1" x14ac:dyDescent="0.35">
      <c r="A48" s="36" t="s">
        <v>70</v>
      </c>
      <c r="B48" s="145" t="s">
        <v>7</v>
      </c>
      <c r="C48" s="43"/>
      <c r="D48" s="44">
        <f>D46+D47</f>
        <v>678.75350740087606</v>
      </c>
      <c r="E48" s="44">
        <f t="shared" ref="E48:W48" si="15">E46+E47</f>
        <v>0</v>
      </c>
      <c r="F48" s="44">
        <f t="shared" si="15"/>
        <v>0</v>
      </c>
      <c r="G48" s="44">
        <f t="shared" si="15"/>
        <v>11412.959630913352</v>
      </c>
      <c r="H48" s="44">
        <f t="shared" si="15"/>
        <v>11491.010917272559</v>
      </c>
      <c r="I48" s="44">
        <f t="shared" si="15"/>
        <v>11535.506975351276</v>
      </c>
      <c r="J48" s="44">
        <f t="shared" si="15"/>
        <v>11545.441148301119</v>
      </c>
      <c r="K48" s="44">
        <f t="shared" si="15"/>
        <v>11519.77657956817</v>
      </c>
      <c r="L48" s="44">
        <f t="shared" si="15"/>
        <v>11457.445306901998</v>
      </c>
      <c r="M48" s="44">
        <f t="shared" si="15"/>
        <v>11357.347329184577</v>
      </c>
      <c r="N48" s="44">
        <f t="shared" si="15"/>
        <v>11218.349645264369</v>
      </c>
      <c r="O48" s="44">
        <f t="shared" si="15"/>
        <v>11039.285263955302</v>
      </c>
      <c r="P48" s="44">
        <f t="shared" si="15"/>
        <v>10818.952184335705</v>
      </c>
      <c r="Q48" s="44">
        <f t="shared" si="15"/>
        <v>10556.112345456255</v>
      </c>
      <c r="R48" s="44">
        <f t="shared" si="15"/>
        <v>76940.162367039156</v>
      </c>
      <c r="S48" s="44">
        <f t="shared" si="15"/>
        <v>76588.44514522329</v>
      </c>
      <c r="T48" s="44">
        <f t="shared" si="15"/>
        <v>76190.279639881686</v>
      </c>
      <c r="U48" s="44">
        <f t="shared" si="15"/>
        <v>75744.272402508592</v>
      </c>
      <c r="V48" s="44">
        <f t="shared" si="15"/>
        <v>75248.988181143039</v>
      </c>
      <c r="W48" s="44">
        <f t="shared" si="15"/>
        <v>74702.948666265249</v>
      </c>
    </row>
    <row r="49" spans="1:23" x14ac:dyDescent="0.3">
      <c r="A49" s="141" t="s">
        <v>71</v>
      </c>
      <c r="B49" s="146" t="s">
        <v>7</v>
      </c>
      <c r="C49" s="142"/>
      <c r="D49" s="143">
        <f>D44*0.3</f>
        <v>1916.4929082520189</v>
      </c>
      <c r="E49" s="143">
        <f t="shared" ref="E49:W49" si="16">E44*0.3</f>
        <v>0</v>
      </c>
      <c r="F49" s="143">
        <f t="shared" si="16"/>
        <v>0</v>
      </c>
      <c r="G49" s="143">
        <f t="shared" si="16"/>
        <v>38116.822606459791</v>
      </c>
      <c r="H49" s="143">
        <f t="shared" si="16"/>
        <v>38384.534101432197</v>
      </c>
      <c r="I49" s="143">
        <f t="shared" si="16"/>
        <v>38537.153062429345</v>
      </c>
      <c r="J49" s="143">
        <f t="shared" si="16"/>
        <v>38571.226713432065</v>
      </c>
      <c r="K49" s="143">
        <f t="shared" si="16"/>
        <v>38483.198695140352</v>
      </c>
      <c r="L49" s="143">
        <f t="shared" si="16"/>
        <v>38269.405957475559</v>
      </c>
      <c r="M49" s="143">
        <f t="shared" si="16"/>
        <v>37926.07555885637</v>
      </c>
      <c r="N49" s="143">
        <f t="shared" si="16"/>
        <v>37449.321369454192</v>
      </c>
      <c r="O49" s="143">
        <f t="shared" si="16"/>
        <v>36835.140675545539</v>
      </c>
      <c r="P49" s="143">
        <f t="shared" si="16"/>
        <v>36079.410681995214</v>
      </c>
      <c r="Q49" s="143">
        <f t="shared" si="16"/>
        <v>35177.88490981394</v>
      </c>
      <c r="R49" s="143">
        <f t="shared" si="16"/>
        <v>262528.42519992852</v>
      </c>
      <c r="S49" s="143">
        <f t="shared" si="16"/>
        <v>261322.05503420782</v>
      </c>
      <c r="T49" s="143">
        <f t="shared" si="16"/>
        <v>259956.36988469111</v>
      </c>
      <c r="U49" s="143">
        <f t="shared" si="16"/>
        <v>258426.59030186449</v>
      </c>
      <c r="V49" s="143">
        <f t="shared" si="16"/>
        <v>256727.79345272863</v>
      </c>
      <c r="W49" s="143">
        <f t="shared" si="16"/>
        <v>254854.9088192943</v>
      </c>
    </row>
    <row r="50" spans="1:23" x14ac:dyDescent="0.3">
      <c r="A50" s="33" t="s">
        <v>68</v>
      </c>
      <c r="B50" s="145" t="s">
        <v>7</v>
      </c>
      <c r="C50" s="45"/>
      <c r="D50" s="46">
        <f>IF(D49=0,0,IF(D49&lt;=75000,135,IF(D49&lt;=500000,280,575)))</f>
        <v>135</v>
      </c>
      <c r="E50" s="46">
        <f t="shared" ref="E50:W50" si="17">IF(E49=0,0,IF(E49&lt;=75000,135,IF(E49&lt;=500000,280,575)))</f>
        <v>0</v>
      </c>
      <c r="F50" s="46">
        <f t="shared" si="17"/>
        <v>0</v>
      </c>
      <c r="G50" s="46">
        <f t="shared" si="17"/>
        <v>135</v>
      </c>
      <c r="H50" s="46">
        <f t="shared" si="17"/>
        <v>135</v>
      </c>
      <c r="I50" s="46">
        <f t="shared" si="17"/>
        <v>135</v>
      </c>
      <c r="J50" s="46">
        <f t="shared" si="17"/>
        <v>135</v>
      </c>
      <c r="K50" s="46">
        <f t="shared" si="17"/>
        <v>135</v>
      </c>
      <c r="L50" s="46">
        <f t="shared" si="17"/>
        <v>135</v>
      </c>
      <c r="M50" s="46">
        <f t="shared" si="17"/>
        <v>135</v>
      </c>
      <c r="N50" s="46">
        <f t="shared" si="17"/>
        <v>135</v>
      </c>
      <c r="O50" s="46">
        <f t="shared" si="17"/>
        <v>135</v>
      </c>
      <c r="P50" s="46">
        <f t="shared" si="17"/>
        <v>135</v>
      </c>
      <c r="Q50" s="46">
        <f t="shared" si="17"/>
        <v>135</v>
      </c>
      <c r="R50" s="46">
        <f t="shared" si="17"/>
        <v>280</v>
      </c>
      <c r="S50" s="46">
        <f t="shared" si="17"/>
        <v>280</v>
      </c>
      <c r="T50" s="46">
        <f t="shared" si="17"/>
        <v>280</v>
      </c>
      <c r="U50" s="46">
        <f t="shared" si="17"/>
        <v>280</v>
      </c>
      <c r="V50" s="46">
        <f t="shared" si="17"/>
        <v>280</v>
      </c>
      <c r="W50" s="46">
        <f t="shared" si="17"/>
        <v>280</v>
      </c>
    </row>
    <row r="51" spans="1:23" x14ac:dyDescent="0.3">
      <c r="A51" s="33" t="s">
        <v>69</v>
      </c>
      <c r="B51" s="145" t="s">
        <v>7</v>
      </c>
      <c r="C51" s="45"/>
      <c r="D51" s="46">
        <f>D49*0.035*2.7</f>
        <v>181.1085798298158</v>
      </c>
      <c r="E51" s="46">
        <f t="shared" ref="E51:W51" si="18">E49*0.035*2.7</f>
        <v>0</v>
      </c>
      <c r="F51" s="46">
        <f t="shared" si="18"/>
        <v>0</v>
      </c>
      <c r="G51" s="46">
        <f t="shared" si="18"/>
        <v>3602.0397363104507</v>
      </c>
      <c r="H51" s="46">
        <f t="shared" si="18"/>
        <v>3627.338472585343</v>
      </c>
      <c r="I51" s="46">
        <f t="shared" si="18"/>
        <v>3641.7609643995738</v>
      </c>
      <c r="J51" s="46">
        <f t="shared" si="18"/>
        <v>3644.9809244193307</v>
      </c>
      <c r="K51" s="46">
        <f t="shared" si="18"/>
        <v>3636.662276690764</v>
      </c>
      <c r="L51" s="46">
        <f t="shared" si="18"/>
        <v>3616.4588629814407</v>
      </c>
      <c r="M51" s="46">
        <f t="shared" si="18"/>
        <v>3584.0141403119278</v>
      </c>
      <c r="N51" s="46">
        <f t="shared" si="18"/>
        <v>3538.9608694134213</v>
      </c>
      <c r="O51" s="46">
        <f t="shared" si="18"/>
        <v>3480.9207938390541</v>
      </c>
      <c r="P51" s="46">
        <f t="shared" si="18"/>
        <v>3409.5043094485482</v>
      </c>
      <c r="Q51" s="46">
        <f t="shared" si="18"/>
        <v>3324.3101239774178</v>
      </c>
      <c r="R51" s="46">
        <f t="shared" si="18"/>
        <v>24808.936181393252</v>
      </c>
      <c r="S51" s="46">
        <f t="shared" si="18"/>
        <v>24694.934200732641</v>
      </c>
      <c r="T51" s="46">
        <f t="shared" si="18"/>
        <v>24565.876954103314</v>
      </c>
      <c r="U51" s="46">
        <f t="shared" si="18"/>
        <v>24421.312783526198</v>
      </c>
      <c r="V51" s="46">
        <f t="shared" si="18"/>
        <v>24260.776481282861</v>
      </c>
      <c r="W51" s="46">
        <f t="shared" si="18"/>
        <v>24083.788883423313</v>
      </c>
    </row>
    <row r="52" spans="1:23" s="25" customFormat="1" ht="15" thickBot="1" x14ac:dyDescent="0.35">
      <c r="A52" s="36" t="s">
        <v>72</v>
      </c>
      <c r="B52" s="147" t="s">
        <v>7</v>
      </c>
      <c r="C52" s="43"/>
      <c r="D52" s="44">
        <f>D50+D51</f>
        <v>316.10857982981577</v>
      </c>
      <c r="E52" s="44">
        <f t="shared" ref="E52:W52" si="19">E50+E51</f>
        <v>0</v>
      </c>
      <c r="F52" s="44">
        <f t="shared" si="19"/>
        <v>0</v>
      </c>
      <c r="G52" s="44">
        <f t="shared" si="19"/>
        <v>3737.0397363104507</v>
      </c>
      <c r="H52" s="44">
        <f t="shared" si="19"/>
        <v>3762.338472585343</v>
      </c>
      <c r="I52" s="44">
        <f t="shared" si="19"/>
        <v>3776.7609643995738</v>
      </c>
      <c r="J52" s="44">
        <f t="shared" si="19"/>
        <v>3779.9809244193307</v>
      </c>
      <c r="K52" s="44">
        <f t="shared" si="19"/>
        <v>3771.662276690764</v>
      </c>
      <c r="L52" s="44">
        <f t="shared" si="19"/>
        <v>3751.4588629814407</v>
      </c>
      <c r="M52" s="44">
        <f t="shared" si="19"/>
        <v>3719.0141403119278</v>
      </c>
      <c r="N52" s="44">
        <f t="shared" si="19"/>
        <v>3673.9608694134213</v>
      </c>
      <c r="O52" s="44">
        <f t="shared" si="19"/>
        <v>3615.9207938390541</v>
      </c>
      <c r="P52" s="44">
        <f t="shared" si="19"/>
        <v>3544.5043094485482</v>
      </c>
      <c r="Q52" s="44">
        <f t="shared" si="19"/>
        <v>3459.3101239774178</v>
      </c>
      <c r="R52" s="44">
        <f t="shared" si="19"/>
        <v>25088.936181393252</v>
      </c>
      <c r="S52" s="44">
        <f t="shared" si="19"/>
        <v>24974.934200732641</v>
      </c>
      <c r="T52" s="44">
        <f t="shared" si="19"/>
        <v>24845.876954103314</v>
      </c>
      <c r="U52" s="44">
        <f t="shared" si="19"/>
        <v>24701.312783526198</v>
      </c>
      <c r="V52" s="44">
        <f t="shared" si="19"/>
        <v>24540.776481282861</v>
      </c>
      <c r="W52" s="44">
        <f t="shared" si="19"/>
        <v>24363.788883423313</v>
      </c>
    </row>
    <row r="53" spans="1:23" x14ac:dyDescent="0.3">
      <c r="A53" s="141"/>
      <c r="B53" s="146"/>
      <c r="C53" s="142"/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</row>
    <row r="54" spans="1:23" ht="15" thickBot="1" x14ac:dyDescent="0.35">
      <c r="A54" s="36" t="s">
        <v>73</v>
      </c>
      <c r="B54" s="144" t="s">
        <v>7</v>
      </c>
      <c r="C54" s="43"/>
      <c r="D54" s="44">
        <f>D48+D52</f>
        <v>994.86208723069183</v>
      </c>
      <c r="E54" s="44">
        <f t="shared" ref="E54:W54" si="20">E48+E52</f>
        <v>0</v>
      </c>
      <c r="F54" s="44">
        <f t="shared" si="20"/>
        <v>0</v>
      </c>
      <c r="G54" s="44">
        <f t="shared" si="20"/>
        <v>15149.999367223803</v>
      </c>
      <c r="H54" s="44">
        <f t="shared" si="20"/>
        <v>15253.349389857902</v>
      </c>
      <c r="I54" s="44">
        <f t="shared" si="20"/>
        <v>15312.267939750851</v>
      </c>
      <c r="J54" s="44">
        <f t="shared" si="20"/>
        <v>15325.42207272045</v>
      </c>
      <c r="K54" s="44">
        <f t="shared" si="20"/>
        <v>15291.438856258934</v>
      </c>
      <c r="L54" s="44">
        <f t="shared" si="20"/>
        <v>15208.904169883439</v>
      </c>
      <c r="M54" s="44">
        <f t="shared" si="20"/>
        <v>15076.361469496504</v>
      </c>
      <c r="N54" s="44">
        <f t="shared" si="20"/>
        <v>14892.310514677789</v>
      </c>
      <c r="O54" s="44">
        <f t="shared" si="20"/>
        <v>14655.206057794356</v>
      </c>
      <c r="P54" s="44">
        <f t="shared" si="20"/>
        <v>14363.456493784253</v>
      </c>
      <c r="Q54" s="44">
        <f t="shared" si="20"/>
        <v>14015.422469433674</v>
      </c>
      <c r="R54" s="44">
        <f t="shared" si="20"/>
        <v>102029.0985484324</v>
      </c>
      <c r="S54" s="44">
        <f t="shared" si="20"/>
        <v>101563.37934595594</v>
      </c>
      <c r="T54" s="44">
        <f t="shared" si="20"/>
        <v>101036.156593985</v>
      </c>
      <c r="U54" s="44">
        <f t="shared" si="20"/>
        <v>100445.58518603479</v>
      </c>
      <c r="V54" s="44">
        <f t="shared" si="20"/>
        <v>99789.764662425907</v>
      </c>
      <c r="W54" s="44">
        <f t="shared" si="20"/>
        <v>99066.737549688565</v>
      </c>
    </row>
    <row r="55" spans="1:23" ht="15" thickBot="1" x14ac:dyDescent="0.35"/>
    <row r="56" spans="1:23" x14ac:dyDescent="0.3">
      <c r="A56" s="9" t="str">
        <f>Parameters!B32</f>
        <v>Constant Payment</v>
      </c>
      <c r="B56" s="99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1"/>
    </row>
    <row r="57" spans="1:23" x14ac:dyDescent="0.3">
      <c r="A57" s="12"/>
      <c r="B57" s="100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4"/>
    </row>
    <row r="58" spans="1:23" x14ac:dyDescent="0.3">
      <c r="A58" s="12" t="s">
        <v>74</v>
      </c>
      <c r="B58" s="100" t="s">
        <v>7</v>
      </c>
      <c r="C58" s="13"/>
      <c r="D58" s="53">
        <f>IF(Parameters!$B$32=$A$63,D65,IF(Parameters!$B$32=$A$70,D72))</f>
        <v>7752244.2222780343</v>
      </c>
      <c r="E58" s="53">
        <f>IF(Parameters!$B$32=$A$63,E65,IF(Parameters!$B$32=$A$70,E72))</f>
        <v>7752244.2222780343</v>
      </c>
      <c r="F58" s="53">
        <f>IF(Parameters!$B$32=$A$63,F65,IF(Parameters!$B$32=$A$70,F72))</f>
        <v>7752244.2222780343</v>
      </c>
      <c r="G58" s="53">
        <f>IF(Parameters!$B$32=$A$63,G65,IF(Parameters!$B$32=$A$70,G72))</f>
        <v>7752244.2222780343</v>
      </c>
      <c r="H58" s="53">
        <f>IF(Parameters!$B$32=$A$63,H65,IF(Parameters!$B$32=$A$70,H72))</f>
        <v>7296229.856261679</v>
      </c>
      <c r="I58" s="53">
        <f>IF(Parameters!$B$32=$A$63,I65,IF(Parameters!$B$32=$A$70,I72))</f>
        <v>6840215.4902453236</v>
      </c>
      <c r="J58" s="53">
        <f>IF(Parameters!$B$32=$A$63,J65,IF(Parameters!$B$32=$A$70,J72))</f>
        <v>6384201.1242289683</v>
      </c>
      <c r="K58" s="53">
        <f>IF(Parameters!$B$32=$A$63,K65,IF(Parameters!$B$32=$A$70,K72))</f>
        <v>5928186.7582126129</v>
      </c>
      <c r="L58" s="53">
        <f>IF(Parameters!$B$32=$A$63,L65,IF(Parameters!$B$32=$A$70,L72))</f>
        <v>5472172.3921962576</v>
      </c>
      <c r="M58" s="53">
        <f>IF(Parameters!$B$32=$A$63,M65,IF(Parameters!$B$32=$A$70,M72))</f>
        <v>5016158.0261799023</v>
      </c>
      <c r="N58" s="53">
        <f>IF(Parameters!$B$32=$A$63,N65,IF(Parameters!$B$32=$A$70,N72))</f>
        <v>4560143.6601635469</v>
      </c>
      <c r="O58" s="53">
        <f>IF(Parameters!$B$32=$A$63,O65,IF(Parameters!$B$32=$A$70,O72))</f>
        <v>4104129.294147192</v>
      </c>
      <c r="P58" s="53">
        <f>IF(Parameters!$B$32=$A$63,P65,IF(Parameters!$B$32=$A$70,P72))</f>
        <v>3648114.9281308372</v>
      </c>
      <c r="Q58" s="53">
        <f>IF(Parameters!$B$32=$A$63,Q65,IF(Parameters!$B$32=$A$70,Q72))</f>
        <v>3192100.5621144823</v>
      </c>
      <c r="R58" s="53">
        <f>IF(Parameters!$B$32=$A$63,R65,IF(Parameters!$B$32=$A$70,R72))</f>
        <v>2736086.1960981274</v>
      </c>
      <c r="S58" s="53">
        <f>IF(Parameters!$B$32=$A$63,S65,IF(Parameters!$B$32=$A$70,S72))</f>
        <v>2280071.8300817725</v>
      </c>
      <c r="T58" s="53">
        <f>IF(Parameters!$B$32=$A$63,T65,IF(Parameters!$B$32=$A$70,T72))</f>
        <v>1824057.4640654176</v>
      </c>
      <c r="U58" s="53">
        <f>IF(Parameters!$B$32=$A$63,U65,IF(Parameters!$B$32=$A$70,U72))</f>
        <v>1368043.0980490628</v>
      </c>
      <c r="V58" s="53">
        <f>IF(Parameters!$B$32=$A$63,V65,IF(Parameters!$B$32=$A$70,V72))</f>
        <v>912028.73203270789</v>
      </c>
      <c r="W58" s="53">
        <f>IF(Parameters!$B$32=$A$63,W65,IF(Parameters!$B$32=$A$70,W72))</f>
        <v>456014.36601635296</v>
      </c>
    </row>
    <row r="59" spans="1:23" x14ac:dyDescent="0.3">
      <c r="A59" s="12" t="s">
        <v>75</v>
      </c>
      <c r="B59" s="100" t="s">
        <v>7</v>
      </c>
      <c r="C59" s="13"/>
      <c r="D59" s="53">
        <f>IF(Parameters!$B$32=$A$63,D66,IF(Parameters!$B$32=$A$70,D73))</f>
        <v>0</v>
      </c>
      <c r="E59" s="53">
        <f>IF(Parameters!$B$32=$A$63,E66,IF(Parameters!$B$32=$A$70,E73))</f>
        <v>0</v>
      </c>
      <c r="F59" s="53">
        <f>IF(Parameters!$B$32=$A$63,F66,IF(Parameters!$B$32=$A$70,F73))</f>
        <v>0</v>
      </c>
      <c r="G59" s="53">
        <f>IF(Parameters!$B$32=$A$63,G66,IF(Parameters!$B$32=$A$70,G73))</f>
        <v>456014.36601635494</v>
      </c>
      <c r="H59" s="53">
        <f>IF(Parameters!$B$32=$A$63,H66,IF(Parameters!$B$32=$A$70,H73))</f>
        <v>456014.36601635494</v>
      </c>
      <c r="I59" s="53">
        <f>IF(Parameters!$B$32=$A$63,I66,IF(Parameters!$B$32=$A$70,I73))</f>
        <v>456014.36601635494</v>
      </c>
      <c r="J59" s="53">
        <f>IF(Parameters!$B$32=$A$63,J66,IF(Parameters!$B$32=$A$70,J73))</f>
        <v>456014.36601635494</v>
      </c>
      <c r="K59" s="53">
        <f>IF(Parameters!$B$32=$A$63,K66,IF(Parameters!$B$32=$A$70,K73))</f>
        <v>456014.36601635494</v>
      </c>
      <c r="L59" s="53">
        <f>IF(Parameters!$B$32=$A$63,L66,IF(Parameters!$B$32=$A$70,L73))</f>
        <v>456014.36601635494</v>
      </c>
      <c r="M59" s="53">
        <f>IF(Parameters!$B$32=$A$63,M66,IF(Parameters!$B$32=$A$70,M73))</f>
        <v>456014.36601635494</v>
      </c>
      <c r="N59" s="53">
        <f>IF(Parameters!$B$32=$A$63,N66,IF(Parameters!$B$32=$A$70,N73))</f>
        <v>456014.36601635494</v>
      </c>
      <c r="O59" s="53">
        <f>IF(Parameters!$B$32=$A$63,O66,IF(Parameters!$B$32=$A$70,O73))</f>
        <v>456014.36601635494</v>
      </c>
      <c r="P59" s="53">
        <f>IF(Parameters!$B$32=$A$63,P66,IF(Parameters!$B$32=$A$70,P73))</f>
        <v>456014.36601635494</v>
      </c>
      <c r="Q59" s="53">
        <f>IF(Parameters!$B$32=$A$63,Q66,IF(Parameters!$B$32=$A$70,Q73))</f>
        <v>456014.36601635494</v>
      </c>
      <c r="R59" s="53">
        <f>IF(Parameters!$B$32=$A$63,R66,IF(Parameters!$B$32=$A$70,R73))</f>
        <v>456014.36601635494</v>
      </c>
      <c r="S59" s="53">
        <f>IF(Parameters!$B$32=$A$63,S66,IF(Parameters!$B$32=$A$70,S73))</f>
        <v>456014.36601635494</v>
      </c>
      <c r="T59" s="53">
        <f>IF(Parameters!$B$32=$A$63,T66,IF(Parameters!$B$32=$A$70,T73))</f>
        <v>456014.36601635494</v>
      </c>
      <c r="U59" s="53">
        <f>IF(Parameters!$B$32=$A$63,U66,IF(Parameters!$B$32=$A$70,U73))</f>
        <v>456014.36601635494</v>
      </c>
      <c r="V59" s="53">
        <f>IF(Parameters!$B$32=$A$63,V66,IF(Parameters!$B$32=$A$70,V73))</f>
        <v>456014.36601635494</v>
      </c>
      <c r="W59" s="53">
        <f>IF(Parameters!$B$32=$A$63,W66,IF(Parameters!$B$32=$A$70,W73))</f>
        <v>456014.36601635494</v>
      </c>
    </row>
    <row r="60" spans="1:23" ht="15" thickBot="1" x14ac:dyDescent="0.35">
      <c r="A60" s="16" t="s">
        <v>76</v>
      </c>
      <c r="B60" s="101" t="s">
        <v>7</v>
      </c>
      <c r="C60" s="17"/>
      <c r="D60" s="54">
        <f>IF(Parameters!$B$32=$A$63,D67,IF(Parameters!$B$32=$A$70,D74))</f>
        <v>232567.32666834103</v>
      </c>
      <c r="E60" s="54">
        <f>IF(Parameters!$B$32=$A$63,E67,IF(Parameters!$B$32=$A$70,E74))</f>
        <v>232567.32666834103</v>
      </c>
      <c r="F60" s="54">
        <f>IF(Parameters!$B$32=$A$63,F67,IF(Parameters!$B$32=$A$70,F74))</f>
        <v>232567.32666834103</v>
      </c>
      <c r="G60" s="54">
        <f>IF(Parameters!$B$32=$A$63,G67,IF(Parameters!$B$32=$A$70,G74))</f>
        <v>225727.11117809571</v>
      </c>
      <c r="H60" s="54">
        <f>IF(Parameters!$B$32=$A$63,H67,IF(Parameters!$B$32=$A$70,H74))</f>
        <v>212046.68019760505</v>
      </c>
      <c r="I60" s="54">
        <f>IF(Parameters!$B$32=$A$63,I67,IF(Parameters!$B$32=$A$70,I74))</f>
        <v>198366.24921711438</v>
      </c>
      <c r="J60" s="54">
        <f>IF(Parameters!$B$32=$A$63,J67,IF(Parameters!$B$32=$A$70,J74))</f>
        <v>184685.81823662372</v>
      </c>
      <c r="K60" s="54">
        <f>IF(Parameters!$B$32=$A$63,K67,IF(Parameters!$B$32=$A$70,K74))</f>
        <v>171005.38725613308</v>
      </c>
      <c r="L60" s="54">
        <f>IF(Parameters!$B$32=$A$63,L67,IF(Parameters!$B$32=$A$70,L74))</f>
        <v>157324.95627564241</v>
      </c>
      <c r="M60" s="54">
        <f>IF(Parameters!$B$32=$A$63,M67,IF(Parameters!$B$32=$A$70,M74))</f>
        <v>143644.52529515175</v>
      </c>
      <c r="N60" s="54">
        <f>IF(Parameters!$B$32=$A$63,N67,IF(Parameters!$B$32=$A$70,N74))</f>
        <v>129964.09431466108</v>
      </c>
      <c r="O60" s="54">
        <f>IF(Parameters!$B$32=$A$63,O67,IF(Parameters!$B$32=$A$70,O74))</f>
        <v>116283.66333417043</v>
      </c>
      <c r="P60" s="54">
        <f>IF(Parameters!$B$32=$A$63,P67,IF(Parameters!$B$32=$A$70,P74))</f>
        <v>102603.23235367978</v>
      </c>
      <c r="Q60" s="54">
        <f>IF(Parameters!$B$32=$A$63,Q67,IF(Parameters!$B$32=$A$70,Q74))</f>
        <v>88922.801373189141</v>
      </c>
      <c r="R60" s="54">
        <f>IF(Parameters!$B$32=$A$63,R67,IF(Parameters!$B$32=$A$70,R74))</f>
        <v>75242.370392698489</v>
      </c>
      <c r="S60" s="54">
        <f>IF(Parameters!$B$32=$A$63,S67,IF(Parameters!$B$32=$A$70,S74))</f>
        <v>61561.939412207852</v>
      </c>
      <c r="T60" s="54">
        <f>IF(Parameters!$B$32=$A$63,T67,IF(Parameters!$B$32=$A$70,T74))</f>
        <v>47881.508431717208</v>
      </c>
      <c r="U60" s="54">
        <f>IF(Parameters!$B$32=$A$63,U67,IF(Parameters!$B$32=$A$70,U74))</f>
        <v>34201.077451226556</v>
      </c>
      <c r="V60" s="54">
        <f>IF(Parameters!$B$32=$A$63,V67,IF(Parameters!$B$32=$A$70,V74))</f>
        <v>20520.646470735912</v>
      </c>
      <c r="W60" s="54">
        <f>IF(Parameters!$B$32=$A$63,W67,IF(Parameters!$B$32=$A$70,W74))</f>
        <v>6840.2154902452648</v>
      </c>
    </row>
    <row r="61" spans="1:23" ht="15" thickBot="1" x14ac:dyDescent="0.35">
      <c r="A61" s="18" t="s">
        <v>77</v>
      </c>
      <c r="B61" s="102" t="s">
        <v>7</v>
      </c>
      <c r="C61" s="55"/>
      <c r="D61" s="56">
        <f>IF(Parameters!$B$32=$A$63,D68,IF(Parameters!$B$32=$A$70,D75))</f>
        <v>232567.32666834103</v>
      </c>
      <c r="E61" s="56">
        <f>IF(Parameters!$B$32=$A$63,E68,IF(Parameters!$B$32=$A$70,E75))</f>
        <v>232567.32666834103</v>
      </c>
      <c r="F61" s="56">
        <f>IF(Parameters!$B$32=$A$63,F68,IF(Parameters!$B$32=$A$70,F75))</f>
        <v>232567.32666834103</v>
      </c>
      <c r="G61" s="56">
        <f>IF(Parameters!$B$32=$A$63,G68,IF(Parameters!$B$32=$A$70,G75))</f>
        <v>681741.47719445068</v>
      </c>
      <c r="H61" s="56">
        <f>IF(Parameters!$B$32=$A$63,H68,IF(Parameters!$B$32=$A$70,H75))</f>
        <v>668061.04621396004</v>
      </c>
      <c r="I61" s="56">
        <f>IF(Parameters!$B$32=$A$63,I68,IF(Parameters!$B$32=$A$70,I75))</f>
        <v>654380.61523346929</v>
      </c>
      <c r="J61" s="56">
        <f>IF(Parameters!$B$32=$A$63,J68,IF(Parameters!$B$32=$A$70,J75))</f>
        <v>640700.18425297865</v>
      </c>
      <c r="K61" s="56">
        <f>IF(Parameters!$B$32=$A$63,K68,IF(Parameters!$B$32=$A$70,K75))</f>
        <v>627019.75327248801</v>
      </c>
      <c r="L61" s="56">
        <f>IF(Parameters!$B$32=$A$63,L68,IF(Parameters!$B$32=$A$70,L75))</f>
        <v>613339.32229199738</v>
      </c>
      <c r="M61" s="56">
        <f>IF(Parameters!$B$32=$A$63,M68,IF(Parameters!$B$32=$A$70,M75))</f>
        <v>599658.89131150674</v>
      </c>
      <c r="N61" s="56">
        <f>IF(Parameters!$B$32=$A$63,N68,IF(Parameters!$B$32=$A$70,N75))</f>
        <v>585978.46033101599</v>
      </c>
      <c r="O61" s="56">
        <f>IF(Parameters!$B$32=$A$63,O68,IF(Parameters!$B$32=$A$70,O75))</f>
        <v>572298.02935052535</v>
      </c>
      <c r="P61" s="56">
        <f>IF(Parameters!$B$32=$A$63,P68,IF(Parameters!$B$32=$A$70,P75))</f>
        <v>558617.59837003471</v>
      </c>
      <c r="Q61" s="56">
        <f>IF(Parameters!$B$32=$A$63,Q68,IF(Parameters!$B$32=$A$70,Q75))</f>
        <v>544937.16738954408</v>
      </c>
      <c r="R61" s="56">
        <f>IF(Parameters!$B$32=$A$63,R68,IF(Parameters!$B$32=$A$70,R75))</f>
        <v>531256.73640905344</v>
      </c>
      <c r="S61" s="56">
        <f>IF(Parameters!$B$32=$A$63,S68,IF(Parameters!$B$32=$A$70,S75))</f>
        <v>517576.3054285628</v>
      </c>
      <c r="T61" s="56">
        <f>IF(Parameters!$B$32=$A$63,T68,IF(Parameters!$B$32=$A$70,T75))</f>
        <v>503895.87444807217</v>
      </c>
      <c r="U61" s="56">
        <f>IF(Parameters!$B$32=$A$63,U68,IF(Parameters!$B$32=$A$70,U75))</f>
        <v>490215.44346758147</v>
      </c>
      <c r="V61" s="56">
        <f>IF(Parameters!$B$32=$A$63,V68,IF(Parameters!$B$32=$A$70,V75))</f>
        <v>476535.01248709083</v>
      </c>
      <c r="W61" s="56">
        <f>IF(Parameters!$B$32=$A$63,W68,IF(Parameters!$B$32=$A$70,W75))</f>
        <v>462854.5815066002</v>
      </c>
    </row>
    <row r="62" spans="1:23" ht="15" thickBot="1" x14ac:dyDescent="0.35"/>
    <row r="63" spans="1:23" x14ac:dyDescent="0.3">
      <c r="A63" s="9" t="s">
        <v>33</v>
      </c>
      <c r="B63" s="99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1"/>
    </row>
    <row r="64" spans="1:23" x14ac:dyDescent="0.3">
      <c r="A64" s="12"/>
      <c r="B64" s="100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4"/>
    </row>
    <row r="65" spans="1:25" x14ac:dyDescent="0.3">
      <c r="A65" s="12" t="s">
        <v>74</v>
      </c>
      <c r="B65" s="100" t="s">
        <v>7</v>
      </c>
      <c r="C65" s="13"/>
      <c r="D65" s="53">
        <f>Parameters!$B$39</f>
        <v>7752244.2222780343</v>
      </c>
      <c r="E65" s="53">
        <f>Parameters!$B$39</f>
        <v>7752244.2222780343</v>
      </c>
      <c r="F65" s="53">
        <f>Parameters!$B$39</f>
        <v>7752244.2222780343</v>
      </c>
      <c r="G65" s="53">
        <f>Parameters!$B$39</f>
        <v>7752244.2222780343</v>
      </c>
      <c r="H65" s="53">
        <f t="shared" ref="H65:W65" si="21">G65-G66</f>
        <v>7296229.856261679</v>
      </c>
      <c r="I65" s="53">
        <f t="shared" si="21"/>
        <v>6840215.4902453236</v>
      </c>
      <c r="J65" s="53">
        <f t="shared" si="21"/>
        <v>6384201.1242289683</v>
      </c>
      <c r="K65" s="53">
        <f t="shared" si="21"/>
        <v>5928186.7582126129</v>
      </c>
      <c r="L65" s="53">
        <f t="shared" si="21"/>
        <v>5472172.3921962576</v>
      </c>
      <c r="M65" s="53">
        <f t="shared" si="21"/>
        <v>5016158.0261799023</v>
      </c>
      <c r="N65" s="53">
        <f t="shared" si="21"/>
        <v>4560143.6601635469</v>
      </c>
      <c r="O65" s="53">
        <f t="shared" si="21"/>
        <v>4104129.294147192</v>
      </c>
      <c r="P65" s="53">
        <f t="shared" si="21"/>
        <v>3648114.9281308372</v>
      </c>
      <c r="Q65" s="53">
        <f t="shared" si="21"/>
        <v>3192100.5621144823</v>
      </c>
      <c r="R65" s="53">
        <f t="shared" si="21"/>
        <v>2736086.1960981274</v>
      </c>
      <c r="S65" s="53">
        <f t="shared" si="21"/>
        <v>2280071.8300817725</v>
      </c>
      <c r="T65" s="53">
        <f t="shared" si="21"/>
        <v>1824057.4640654176</v>
      </c>
      <c r="U65" s="53">
        <f t="shared" si="21"/>
        <v>1368043.0980490628</v>
      </c>
      <c r="V65" s="53">
        <f t="shared" si="21"/>
        <v>912028.73203270789</v>
      </c>
      <c r="W65" s="53">
        <f t="shared" si="21"/>
        <v>456014.36601635296</v>
      </c>
    </row>
    <row r="66" spans="1:25" x14ac:dyDescent="0.3">
      <c r="A66" s="12" t="s">
        <v>75</v>
      </c>
      <c r="B66" s="100" t="s">
        <v>7</v>
      </c>
      <c r="C66" s="13"/>
      <c r="D66" s="13"/>
      <c r="E66" s="13"/>
      <c r="F66" s="13"/>
      <c r="G66" s="53">
        <f>IF(D4&lt;=Parameters!$B$35,Parameters!$B$39/Parameters!$B$35,0)</f>
        <v>456014.36601635494</v>
      </c>
      <c r="H66" s="53">
        <f>IF(E4&lt;=Parameters!$B$35,Parameters!$B$39/Parameters!$B$35,0)</f>
        <v>456014.36601635494</v>
      </c>
      <c r="I66" s="53">
        <f>IF(F4&lt;=Parameters!$B$35,Parameters!$B$39/Parameters!$B$35,0)</f>
        <v>456014.36601635494</v>
      </c>
      <c r="J66" s="53">
        <f>IF(G4&lt;=Parameters!$B$35,Parameters!$B$39/Parameters!$B$35,0)</f>
        <v>456014.36601635494</v>
      </c>
      <c r="K66" s="53">
        <f>IF(H4&lt;=Parameters!$B$35,Parameters!$B$39/Parameters!$B$35,0)</f>
        <v>456014.36601635494</v>
      </c>
      <c r="L66" s="53">
        <f>IF(I4&lt;=Parameters!$B$35,Parameters!$B$39/Parameters!$B$35,0)</f>
        <v>456014.36601635494</v>
      </c>
      <c r="M66" s="53">
        <f>IF(J4&lt;=Parameters!$B$35,Parameters!$B$39/Parameters!$B$35,0)</f>
        <v>456014.36601635494</v>
      </c>
      <c r="N66" s="53">
        <f>IF(K4&lt;=Parameters!$B$35,Parameters!$B$39/Parameters!$B$35,0)</f>
        <v>456014.36601635494</v>
      </c>
      <c r="O66" s="53">
        <f>IF(L4&lt;=Parameters!$B$35,Parameters!$B$39/Parameters!$B$35,0)</f>
        <v>456014.36601635494</v>
      </c>
      <c r="P66" s="53">
        <f>IF(M4&lt;=Parameters!$B$35,Parameters!$B$39/Parameters!$B$35,0)</f>
        <v>456014.36601635494</v>
      </c>
      <c r="Q66" s="53">
        <f>IF(N4&lt;=Parameters!$B$35,Parameters!$B$39/Parameters!$B$35,0)</f>
        <v>456014.36601635494</v>
      </c>
      <c r="R66" s="53">
        <f>IF(O4&lt;=Parameters!$B$35,Parameters!$B$39/Parameters!$B$35,0)</f>
        <v>456014.36601635494</v>
      </c>
      <c r="S66" s="53">
        <f>IF(P4&lt;=Parameters!$B$35,Parameters!$B$39/Parameters!$B$35,0)</f>
        <v>456014.36601635494</v>
      </c>
      <c r="T66" s="53">
        <f>IF(Q4&lt;=Parameters!$B$35,Parameters!$B$39/Parameters!$B$35,0)</f>
        <v>456014.36601635494</v>
      </c>
      <c r="U66" s="53">
        <f>IF(R4&lt;=Parameters!$B$35,Parameters!$B$39/Parameters!$B$35,0)</f>
        <v>456014.36601635494</v>
      </c>
      <c r="V66" s="53">
        <f>IF(S4&lt;=Parameters!$B$35,Parameters!$B$39/Parameters!$B$35,0)</f>
        <v>456014.36601635494</v>
      </c>
      <c r="W66" s="53">
        <f>IF(T4&lt;=Parameters!$B$35,Parameters!$B$39/Parameters!$B$35,0)</f>
        <v>456014.36601635494</v>
      </c>
    </row>
    <row r="67" spans="1:25" ht="15" thickBot="1" x14ac:dyDescent="0.35">
      <c r="A67" s="16" t="s">
        <v>76</v>
      </c>
      <c r="B67" s="101" t="s">
        <v>7</v>
      </c>
      <c r="C67" s="17"/>
      <c r="D67" s="54">
        <f>(D65-D66/2)*Parameters!$B$38</f>
        <v>232567.32666834103</v>
      </c>
      <c r="E67" s="54">
        <f>(E65-E66/2)*Parameters!$B$38</f>
        <v>232567.32666834103</v>
      </c>
      <c r="F67" s="54">
        <f>(F65-F66/2)*Parameters!$B$38</f>
        <v>232567.32666834103</v>
      </c>
      <c r="G67" s="54">
        <f>(G65-G66/2)*Parameters!$B$38</f>
        <v>225727.11117809571</v>
      </c>
      <c r="H67" s="54">
        <f>(H65-H66/2)*Parameters!$B$38</f>
        <v>212046.68019760505</v>
      </c>
      <c r="I67" s="54">
        <f>(I65-I66/2)*Parameters!$B$38</f>
        <v>198366.24921711438</v>
      </c>
      <c r="J67" s="54">
        <f>(J65-J66/2)*Parameters!$B$38</f>
        <v>184685.81823662372</v>
      </c>
      <c r="K67" s="54">
        <f>(K65-K66/2)*Parameters!$B$38</f>
        <v>171005.38725613308</v>
      </c>
      <c r="L67" s="54">
        <f>(L65-L66/2)*Parameters!$B$38</f>
        <v>157324.95627564241</v>
      </c>
      <c r="M67" s="54">
        <f>(M65-M66/2)*Parameters!$B$38</f>
        <v>143644.52529515175</v>
      </c>
      <c r="N67" s="54">
        <f>(N65-N66/2)*Parameters!$B$38</f>
        <v>129964.09431466108</v>
      </c>
      <c r="O67" s="54">
        <f>(O65-O66/2)*Parameters!$B$38</f>
        <v>116283.66333417043</v>
      </c>
      <c r="P67" s="54">
        <f>(P65-P66/2)*Parameters!$B$38</f>
        <v>102603.23235367978</v>
      </c>
      <c r="Q67" s="54">
        <f>(Q65-Q66/2)*Parameters!$B$38</f>
        <v>88922.801373189141</v>
      </c>
      <c r="R67" s="54">
        <f>(R65-R66/2)*Parameters!$B$38</f>
        <v>75242.370392698489</v>
      </c>
      <c r="S67" s="54">
        <f>(S65-S66/2)*Parameters!$B$38</f>
        <v>61561.939412207852</v>
      </c>
      <c r="T67" s="54">
        <f>(T65-T66/2)*Parameters!$B$38</f>
        <v>47881.508431717208</v>
      </c>
      <c r="U67" s="54">
        <f>(U65-U66/2)*Parameters!$B$38</f>
        <v>34201.077451226556</v>
      </c>
      <c r="V67" s="54">
        <f>(V65-V66/2)*Parameters!$B$38</f>
        <v>20520.646470735912</v>
      </c>
      <c r="W67" s="54">
        <f>(W65-W66/2)*Parameters!$B$38</f>
        <v>6840.2154902452648</v>
      </c>
      <c r="Y67" s="15"/>
    </row>
    <row r="68" spans="1:25" ht="15" thickBot="1" x14ac:dyDescent="0.35">
      <c r="A68" s="18" t="s">
        <v>77</v>
      </c>
      <c r="B68" s="102" t="s">
        <v>7</v>
      </c>
      <c r="C68" s="55"/>
      <c r="D68" s="56">
        <f t="shared" ref="D68:F68" si="22">D66+D67</f>
        <v>232567.32666834103</v>
      </c>
      <c r="E68" s="56">
        <f t="shared" si="22"/>
        <v>232567.32666834103</v>
      </c>
      <c r="F68" s="56">
        <f t="shared" si="22"/>
        <v>232567.32666834103</v>
      </c>
      <c r="G68" s="56">
        <f t="shared" ref="G68:W68" si="23">G66+G67</f>
        <v>681741.47719445068</v>
      </c>
      <c r="H68" s="56">
        <f t="shared" si="23"/>
        <v>668061.04621396004</v>
      </c>
      <c r="I68" s="56">
        <f t="shared" si="23"/>
        <v>654380.61523346929</v>
      </c>
      <c r="J68" s="56">
        <f t="shared" si="23"/>
        <v>640700.18425297865</v>
      </c>
      <c r="K68" s="56">
        <f t="shared" si="23"/>
        <v>627019.75327248801</v>
      </c>
      <c r="L68" s="56">
        <f t="shared" si="23"/>
        <v>613339.32229199738</v>
      </c>
      <c r="M68" s="56">
        <f t="shared" si="23"/>
        <v>599658.89131150674</v>
      </c>
      <c r="N68" s="56">
        <f t="shared" si="23"/>
        <v>585978.46033101599</v>
      </c>
      <c r="O68" s="56">
        <f t="shared" si="23"/>
        <v>572298.02935052535</v>
      </c>
      <c r="P68" s="56">
        <f t="shared" si="23"/>
        <v>558617.59837003471</v>
      </c>
      <c r="Q68" s="56">
        <f t="shared" si="23"/>
        <v>544937.16738954408</v>
      </c>
      <c r="R68" s="56">
        <f t="shared" si="23"/>
        <v>531256.73640905344</v>
      </c>
      <c r="S68" s="56">
        <f t="shared" si="23"/>
        <v>517576.3054285628</v>
      </c>
      <c r="T68" s="56">
        <f t="shared" si="23"/>
        <v>503895.87444807217</v>
      </c>
      <c r="U68" s="56">
        <f t="shared" si="23"/>
        <v>490215.44346758147</v>
      </c>
      <c r="V68" s="56">
        <f t="shared" si="23"/>
        <v>476535.01248709083</v>
      </c>
      <c r="W68" s="56">
        <f t="shared" si="23"/>
        <v>462854.5815066002</v>
      </c>
      <c r="Y68" s="159">
        <f>NPV(Parameters!$B$46,Kalkulation!D68:W68)-Parameters!$B$39</f>
        <v>-20231.556059700437</v>
      </c>
    </row>
    <row r="69" spans="1:25" ht="15" thickBot="1" x14ac:dyDescent="0.35">
      <c r="B69"/>
    </row>
    <row r="70" spans="1:25" x14ac:dyDescent="0.3">
      <c r="A70" s="9" t="s">
        <v>47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1"/>
    </row>
    <row r="71" spans="1:25" x14ac:dyDescent="0.3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4"/>
    </row>
    <row r="72" spans="1:25" x14ac:dyDescent="0.3">
      <c r="A72" s="12" t="s">
        <v>74</v>
      </c>
      <c r="B72" s="13" t="s">
        <v>7</v>
      </c>
      <c r="C72" s="13"/>
      <c r="D72" s="53">
        <f>Parameters!$B$39</f>
        <v>7752244.2222780343</v>
      </c>
      <c r="E72" s="53">
        <f>Parameters!$B$39</f>
        <v>7752244.2222780343</v>
      </c>
      <c r="F72" s="53">
        <f>Parameters!$B$39</f>
        <v>7752244.2222780343</v>
      </c>
      <c r="G72" s="53">
        <f>Parameters!$B$39</f>
        <v>7752244.2222780343</v>
      </c>
      <c r="H72" s="53">
        <f t="shared" ref="H72:W72" si="24">G72-G73</f>
        <v>7396008.9919241108</v>
      </c>
      <c r="I72" s="53">
        <f t="shared" si="24"/>
        <v>7029086.7046595691</v>
      </c>
      <c r="J72" s="53">
        <f t="shared" si="24"/>
        <v>6651156.7487770915</v>
      </c>
      <c r="K72" s="53">
        <f t="shared" si="24"/>
        <v>6261888.8942181394</v>
      </c>
      <c r="L72" s="53">
        <f t="shared" si="24"/>
        <v>5860943.0040224185</v>
      </c>
      <c r="M72" s="53">
        <f t="shared" si="24"/>
        <v>5447968.7371208267</v>
      </c>
      <c r="N72" s="53">
        <f t="shared" si="24"/>
        <v>5022605.2422121866</v>
      </c>
      <c r="O72" s="53">
        <f t="shared" si="24"/>
        <v>4584480.8424562877</v>
      </c>
      <c r="P72" s="53">
        <f t="shared" si="24"/>
        <v>4133212.7107077115</v>
      </c>
      <c r="Q72" s="53">
        <f t="shared" si="24"/>
        <v>3668406.5350066782</v>
      </c>
      <c r="R72" s="53">
        <f t="shared" si="24"/>
        <v>3189656.1740346137</v>
      </c>
      <c r="S72" s="53">
        <f t="shared" si="24"/>
        <v>2696543.3022333873</v>
      </c>
      <c r="T72" s="53">
        <f t="shared" si="24"/>
        <v>2188637.0442781243</v>
      </c>
      <c r="U72" s="53">
        <f t="shared" si="24"/>
        <v>1665493.5985842035</v>
      </c>
      <c r="V72" s="53">
        <f t="shared" si="24"/>
        <v>1126655.8495194649</v>
      </c>
      <c r="W72" s="53">
        <f t="shared" si="24"/>
        <v>571652.96798278415</v>
      </c>
    </row>
    <row r="73" spans="1:25" x14ac:dyDescent="0.3">
      <c r="A73" s="12" t="s">
        <v>75</v>
      </c>
      <c r="B73" s="13" t="s">
        <v>7</v>
      </c>
      <c r="C73" s="13"/>
      <c r="D73" s="13"/>
      <c r="E73" s="13"/>
      <c r="F73" s="13"/>
      <c r="G73" s="53">
        <f t="shared" ref="G73:W73" si="25">IF(G72&lt;&gt;0,G75-G74,0)</f>
        <v>356235.23035392363</v>
      </c>
      <c r="H73" s="53">
        <f t="shared" si="25"/>
        <v>366922.28726454137</v>
      </c>
      <c r="I73" s="53">
        <f t="shared" si="25"/>
        <v>377929.95588247763</v>
      </c>
      <c r="J73" s="53">
        <f t="shared" si="25"/>
        <v>389267.85455895192</v>
      </c>
      <c r="K73" s="53">
        <f t="shared" si="25"/>
        <v>400945.89019572048</v>
      </c>
      <c r="L73" s="53">
        <f t="shared" si="25"/>
        <v>412974.26690159214</v>
      </c>
      <c r="M73" s="53">
        <f t="shared" si="25"/>
        <v>425363.49490863993</v>
      </c>
      <c r="N73" s="53">
        <f t="shared" si="25"/>
        <v>438124.3997558991</v>
      </c>
      <c r="O73" s="53">
        <f t="shared" si="25"/>
        <v>451268.13174857607</v>
      </c>
      <c r="P73" s="53">
        <f t="shared" si="25"/>
        <v>464806.17570103332</v>
      </c>
      <c r="Q73" s="53">
        <f t="shared" si="25"/>
        <v>478750.36097206437</v>
      </c>
      <c r="R73" s="53">
        <f t="shared" si="25"/>
        <v>493112.87180122628</v>
      </c>
      <c r="S73" s="53">
        <f t="shared" si="25"/>
        <v>507906.25795526308</v>
      </c>
      <c r="T73" s="53">
        <f t="shared" si="25"/>
        <v>523143.44569392095</v>
      </c>
      <c r="U73" s="53">
        <f t="shared" si="25"/>
        <v>538837.74906473863</v>
      </c>
      <c r="V73" s="53">
        <f t="shared" si="25"/>
        <v>555002.88153668074</v>
      </c>
      <c r="W73" s="53">
        <f t="shared" si="25"/>
        <v>571652.96798278112</v>
      </c>
    </row>
    <row r="74" spans="1:25" ht="15" thickBot="1" x14ac:dyDescent="0.35">
      <c r="A74" s="12" t="s">
        <v>76</v>
      </c>
      <c r="B74" s="13" t="s">
        <v>7</v>
      </c>
      <c r="C74" s="13"/>
      <c r="D74" s="53">
        <f>D72*Parameters!$B$38</f>
        <v>232567.32666834103</v>
      </c>
      <c r="E74" s="53">
        <f>E72*Parameters!$B$38</f>
        <v>232567.32666834103</v>
      </c>
      <c r="F74" s="53">
        <f>F72*Parameters!$B$38</f>
        <v>232567.32666834103</v>
      </c>
      <c r="G74" s="53">
        <f>G72*Parameters!$B$38</f>
        <v>232567.32666834103</v>
      </c>
      <c r="H74" s="53">
        <f>H72*Parameters!$B$38</f>
        <v>221880.26975772332</v>
      </c>
      <c r="I74" s="53">
        <f>I72*Parameters!$B$38</f>
        <v>210872.60113978706</v>
      </c>
      <c r="J74" s="53">
        <f>J72*Parameters!$B$38</f>
        <v>199534.70246331274</v>
      </c>
      <c r="K74" s="53">
        <f>K72*Parameters!$B$38</f>
        <v>187856.66682654418</v>
      </c>
      <c r="L74" s="53">
        <f>L72*Parameters!$B$38</f>
        <v>175828.29012067255</v>
      </c>
      <c r="M74" s="53">
        <f>M72*Parameters!$B$38</f>
        <v>163439.06211362479</v>
      </c>
      <c r="N74" s="53">
        <f>N72*Parameters!$B$38</f>
        <v>150678.1572663656</v>
      </c>
      <c r="O74" s="53">
        <f>O72*Parameters!$B$38</f>
        <v>137534.42527368863</v>
      </c>
      <c r="P74" s="53">
        <f>P72*Parameters!$B$38</f>
        <v>123996.38132123134</v>
      </c>
      <c r="Q74" s="53">
        <f>Q72*Parameters!$B$38</f>
        <v>110052.19605020033</v>
      </c>
      <c r="R74" s="53">
        <f>R72*Parameters!$B$38</f>
        <v>95689.68522103841</v>
      </c>
      <c r="S74" s="53">
        <f>S72*Parameters!$B$38</f>
        <v>80896.299067001615</v>
      </c>
      <c r="T74" s="53">
        <f>T72*Parameters!$B$38</f>
        <v>65659.11132834373</v>
      </c>
      <c r="U74" s="53">
        <f>U72*Parameters!$B$38</f>
        <v>49964.807957526107</v>
      </c>
      <c r="V74" s="53">
        <f>V72*Parameters!$B$38</f>
        <v>33799.675485583946</v>
      </c>
      <c r="W74" s="53">
        <f>W72*Parameters!$B$38</f>
        <v>17149.589039483522</v>
      </c>
      <c r="Y74" s="15"/>
    </row>
    <row r="75" spans="1:25" s="116" customFormat="1" ht="15" thickBot="1" x14ac:dyDescent="0.35">
      <c r="A75" s="117" t="s">
        <v>78</v>
      </c>
      <c r="B75" s="118" t="s">
        <v>7</v>
      </c>
      <c r="C75" s="119"/>
      <c r="D75" s="120">
        <f>D73+D74</f>
        <v>232567.32666834103</v>
      </c>
      <c r="E75" s="120">
        <f t="shared" ref="E75:F75" si="26">E73+E74</f>
        <v>232567.32666834103</v>
      </c>
      <c r="F75" s="120">
        <f t="shared" si="26"/>
        <v>232567.32666834103</v>
      </c>
      <c r="G75" s="120">
        <f>IF(D4&lt;=Parameters!$B$35,-PMT(Parameters!$B$38,Parameters!$B$35,Parameters!$B$39),0)</f>
        <v>588802.55702226469</v>
      </c>
      <c r="H75" s="120">
        <f>IF(E4&lt;=Parameters!$B$35,-PMT(Parameters!$B$38,Parameters!$B$35,Parameters!$B$39),0)</f>
        <v>588802.55702226469</v>
      </c>
      <c r="I75" s="120">
        <f>IF(F4&lt;=Parameters!$B$35,-PMT(Parameters!$B$38,Parameters!$B$35,Parameters!$B$39),0)</f>
        <v>588802.55702226469</v>
      </c>
      <c r="J75" s="120">
        <f>IF(G4&lt;=Parameters!$B$35,-PMT(Parameters!$B$38,Parameters!$B$35,Parameters!$B$39),0)</f>
        <v>588802.55702226469</v>
      </c>
      <c r="K75" s="120">
        <f>IF(H4&lt;=Parameters!$B$35,-PMT(Parameters!$B$38,Parameters!$B$35,Parameters!$B$39),0)</f>
        <v>588802.55702226469</v>
      </c>
      <c r="L75" s="120">
        <f>IF(I4&lt;=Parameters!$B$35,-PMT(Parameters!$B$38,Parameters!$B$35,Parameters!$B$39),0)</f>
        <v>588802.55702226469</v>
      </c>
      <c r="M75" s="120">
        <f>IF(J4&lt;=Parameters!$B$35,-PMT(Parameters!$B$38,Parameters!$B$35,Parameters!$B$39),0)</f>
        <v>588802.55702226469</v>
      </c>
      <c r="N75" s="120">
        <f>IF(K4&lt;=Parameters!$B$35,-PMT(Parameters!$B$38,Parameters!$B$35,Parameters!$B$39),0)</f>
        <v>588802.55702226469</v>
      </c>
      <c r="O75" s="120">
        <f>IF(L4&lt;=Parameters!$B$35,-PMT(Parameters!$B$38,Parameters!$B$35,Parameters!$B$39),0)</f>
        <v>588802.55702226469</v>
      </c>
      <c r="P75" s="120">
        <f>IF(M4&lt;=Parameters!$B$35,-PMT(Parameters!$B$38,Parameters!$B$35,Parameters!$B$39),0)</f>
        <v>588802.55702226469</v>
      </c>
      <c r="Q75" s="120">
        <f>IF(N4&lt;=Parameters!$B$35,-PMT(Parameters!$B$38,Parameters!$B$35,Parameters!$B$39),0)</f>
        <v>588802.55702226469</v>
      </c>
      <c r="R75" s="120">
        <f>IF(O4&lt;=Parameters!$B$35,-PMT(Parameters!$B$38,Parameters!$B$35,Parameters!$B$39),0)</f>
        <v>588802.55702226469</v>
      </c>
      <c r="S75" s="120">
        <f>IF(P4&lt;=Parameters!$B$35,-PMT(Parameters!$B$38,Parameters!$B$35,Parameters!$B$39),0)</f>
        <v>588802.55702226469</v>
      </c>
      <c r="T75" s="120">
        <f>IF(Q4&lt;=Parameters!$B$35,-PMT(Parameters!$B$38,Parameters!$B$35,Parameters!$B$39),0)</f>
        <v>588802.55702226469</v>
      </c>
      <c r="U75" s="120">
        <f>IF(R4&lt;=Parameters!$B$35,-PMT(Parameters!$B$38,Parameters!$B$35,Parameters!$B$39),0)</f>
        <v>588802.55702226469</v>
      </c>
      <c r="V75" s="120">
        <f>IF(S4&lt;=Parameters!$B$35,-PMT(Parameters!$B$38,Parameters!$B$35,Parameters!$B$39),0)</f>
        <v>588802.55702226469</v>
      </c>
      <c r="W75" s="120">
        <f>IF(T4&lt;=Parameters!$B$35,-PMT(Parameters!$B$38,Parameters!$B$35,Parameters!$B$39),0)</f>
        <v>588802.55702226469</v>
      </c>
      <c r="Y75" s="159">
        <f>NPV(Parameters!$B$46,Kalkulation!D75:W75)-Parameters!$B$39</f>
        <v>66126.85520944465</v>
      </c>
    </row>
    <row r="76" spans="1:25" x14ac:dyDescent="0.3">
      <c r="B76"/>
    </row>
    <row r="78" spans="1:25" x14ac:dyDescent="0.3">
      <c r="A78" t="s">
        <v>79</v>
      </c>
      <c r="B78" t="s">
        <v>7</v>
      </c>
      <c r="C78" s="23">
        <f>-Parameters!B34</f>
        <v>-2906526.7777219652</v>
      </c>
      <c r="D78" s="23">
        <f>D31-D61</f>
        <v>791234.23332122841</v>
      </c>
      <c r="E78" s="23">
        <f t="shared" ref="E78:W78" si="27">E31-E61</f>
        <v>780526.20957276307</v>
      </c>
      <c r="F78" s="23">
        <f t="shared" si="27"/>
        <v>768472.23716199619</v>
      </c>
      <c r="G78" s="23">
        <f t="shared" si="27"/>
        <v>441732.49568557285</v>
      </c>
      <c r="H78" s="23">
        <f t="shared" si="27"/>
        <v>442521.51731284685</v>
      </c>
      <c r="I78" s="23">
        <f t="shared" si="27"/>
        <v>442971.3286329445</v>
      </c>
      <c r="J78" s="23">
        <f t="shared" si="27"/>
        <v>443071.75333665044</v>
      </c>
      <c r="K78" s="23">
        <f t="shared" si="27"/>
        <v>442812.309825473</v>
      </c>
      <c r="L78" s="23">
        <f t="shared" si="27"/>
        <v>442182.20205296588</v>
      </c>
      <c r="M78" s="23">
        <f t="shared" si="27"/>
        <v>441170.31009128876</v>
      </c>
      <c r="N78" s="23">
        <f t="shared" si="27"/>
        <v>439765.180414767</v>
      </c>
      <c r="O78" s="23">
        <f t="shared" si="27"/>
        <v>437955.01589195488</v>
      </c>
      <c r="P78" s="23">
        <f t="shared" si="27"/>
        <v>435727.66547746386</v>
      </c>
      <c r="Q78" s="23">
        <f t="shared" si="27"/>
        <v>433070.61359454354</v>
      </c>
      <c r="R78" s="23">
        <f t="shared" si="27"/>
        <v>341551.2861016409</v>
      </c>
      <c r="S78" s="23">
        <f t="shared" si="27"/>
        <v>337995.77141838183</v>
      </c>
      <c r="T78" s="23">
        <f t="shared" si="27"/>
        <v>333970.71033863036</v>
      </c>
      <c r="U78" s="23">
        <f t="shared" si="27"/>
        <v>329462.01647049194</v>
      </c>
      <c r="V78" s="23">
        <f t="shared" si="27"/>
        <v>324455.18083031458</v>
      </c>
      <c r="W78" s="23">
        <f t="shared" si="27"/>
        <v>318935.2591649376</v>
      </c>
      <c r="Y78" s="23"/>
    </row>
    <row r="80" spans="1:25" s="25" customFormat="1" ht="15" thickBot="1" x14ac:dyDescent="0.35">
      <c r="B80" s="27"/>
      <c r="C80" s="158"/>
    </row>
    <row r="81" spans="1:23" s="1" customFormat="1" x14ac:dyDescent="0.3">
      <c r="A81" s="1" t="s">
        <v>80</v>
      </c>
      <c r="B81" s="83"/>
      <c r="D81" s="24">
        <f>D78</f>
        <v>791234.23332122841</v>
      </c>
      <c r="E81" s="24">
        <f t="shared" ref="E81:W81" si="28">E78</f>
        <v>780526.20957276307</v>
      </c>
      <c r="F81" s="24">
        <f t="shared" si="28"/>
        <v>768472.23716199619</v>
      </c>
      <c r="G81" s="24">
        <f t="shared" si="28"/>
        <v>441732.49568557285</v>
      </c>
      <c r="H81" s="24">
        <f t="shared" si="28"/>
        <v>442521.51731284685</v>
      </c>
      <c r="I81" s="24">
        <f t="shared" si="28"/>
        <v>442971.3286329445</v>
      </c>
      <c r="J81" s="24">
        <f t="shared" si="28"/>
        <v>443071.75333665044</v>
      </c>
      <c r="K81" s="24">
        <f t="shared" si="28"/>
        <v>442812.309825473</v>
      </c>
      <c r="L81" s="24">
        <f t="shared" si="28"/>
        <v>442182.20205296588</v>
      </c>
      <c r="M81" s="24">
        <f t="shared" si="28"/>
        <v>441170.31009128876</v>
      </c>
      <c r="N81" s="24">
        <f t="shared" si="28"/>
        <v>439765.180414767</v>
      </c>
      <c r="O81" s="24">
        <f t="shared" si="28"/>
        <v>437955.01589195488</v>
      </c>
      <c r="P81" s="24">
        <f t="shared" si="28"/>
        <v>435727.66547746386</v>
      </c>
      <c r="Q81" s="24">
        <f t="shared" si="28"/>
        <v>433070.61359454354</v>
      </c>
      <c r="R81" s="24">
        <f t="shared" si="28"/>
        <v>341551.2861016409</v>
      </c>
      <c r="S81" s="24">
        <f t="shared" si="28"/>
        <v>337995.77141838183</v>
      </c>
      <c r="T81" s="24">
        <f t="shared" si="28"/>
        <v>333970.71033863036</v>
      </c>
      <c r="U81" s="24">
        <f t="shared" si="28"/>
        <v>329462.01647049194</v>
      </c>
      <c r="V81" s="24">
        <f t="shared" si="28"/>
        <v>324455.18083031458</v>
      </c>
      <c r="W81" s="24">
        <f t="shared" si="28"/>
        <v>318935.2591649376</v>
      </c>
    </row>
    <row r="82" spans="1:23" s="1" customFormat="1" x14ac:dyDescent="0.3">
      <c r="B82" s="8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</row>
    <row r="84" spans="1:23" x14ac:dyDescent="0.3">
      <c r="A84" s="1" t="s">
        <v>81</v>
      </c>
      <c r="B84" s="83"/>
      <c r="D84" s="19">
        <f>IF(D61&gt;0.01,D31/D61,"-")</f>
        <v>4.40217280155432</v>
      </c>
      <c r="E84" s="19">
        <f t="shared" ref="E84:W84" si="29">IF(E61&gt;0.01,E31/E61,"-")</f>
        <v>4.3561301183371031</v>
      </c>
      <c r="F84" s="19">
        <f t="shared" si="29"/>
        <v>4.3043000844993884</v>
      </c>
      <c r="G84" s="19">
        <f t="shared" si="29"/>
        <v>1.6479472211422734</v>
      </c>
      <c r="H84" s="19">
        <f t="shared" si="29"/>
        <v>1.6623968270874461</v>
      </c>
      <c r="I84" s="19">
        <f t="shared" si="29"/>
        <v>1.676932229227025</v>
      </c>
      <c r="J84" s="19">
        <f t="shared" si="29"/>
        <v>1.6915430402962157</v>
      </c>
      <c r="K84" s="19">
        <f t="shared" si="29"/>
        <v>1.7062174796158889</v>
      </c>
      <c r="L84" s="19">
        <f t="shared" si="29"/>
        <v>1.72094220276073</v>
      </c>
      <c r="M84" s="19">
        <f t="shared" si="29"/>
        <v>1.7357021074538068</v>
      </c>
      <c r="N84" s="19">
        <f t="shared" si="29"/>
        <v>1.7504801117883175</v>
      </c>
      <c r="O84" s="19">
        <f t="shared" si="29"/>
        <v>1.7652569001311604</v>
      </c>
      <c r="P84" s="19">
        <f t="shared" si="29"/>
        <v>1.7800106311524271</v>
      </c>
      <c r="Q84" s="19">
        <f t="shared" si="29"/>
        <v>1.7947166013085807</v>
      </c>
      <c r="R84" s="19">
        <f t="shared" si="29"/>
        <v>1.6429119156404552</v>
      </c>
      <c r="S84" s="19">
        <f t="shared" si="29"/>
        <v>1.6530356352741362</v>
      </c>
      <c r="T84" s="19">
        <f t="shared" si="29"/>
        <v>1.6627772269507775</v>
      </c>
      <c r="U84" s="19">
        <f t="shared" si="29"/>
        <v>1.6720759634580538</v>
      </c>
      <c r="V84" s="19">
        <f t="shared" si="29"/>
        <v>1.6808632573227849</v>
      </c>
      <c r="W84" s="19">
        <f t="shared" si="29"/>
        <v>1.6890614718056749</v>
      </c>
    </row>
    <row r="85" spans="1:23" x14ac:dyDescent="0.3">
      <c r="A85" s="1" t="s">
        <v>17</v>
      </c>
      <c r="B85" s="83"/>
      <c r="C85" s="19">
        <f>AVERAGE(G84:W84)</f>
        <v>1.7019335777891615</v>
      </c>
    </row>
    <row r="87" spans="1:23" x14ac:dyDescent="0.3">
      <c r="F87" s="19"/>
    </row>
    <row r="88" spans="1:23" x14ac:dyDescent="0.3">
      <c r="A88" t="s">
        <v>82</v>
      </c>
      <c r="D88" s="159">
        <f>D21*-1</f>
        <v>540096.19452319993</v>
      </c>
      <c r="E88" s="159">
        <f t="shared" ref="E88:W88" si="30">E21*-1</f>
        <v>551799.08035889594</v>
      </c>
      <c r="F88" s="159">
        <f t="shared" si="30"/>
        <v>563853.05276966281</v>
      </c>
      <c r="G88" s="159">
        <f t="shared" si="30"/>
        <v>426268.64435275277</v>
      </c>
      <c r="H88" s="159">
        <f t="shared" si="30"/>
        <v>439056.70368333533</v>
      </c>
      <c r="I88" s="159">
        <f t="shared" si="30"/>
        <v>452228.40479383542</v>
      </c>
      <c r="J88" s="159">
        <f t="shared" si="30"/>
        <v>465795.2569376505</v>
      </c>
      <c r="K88" s="159">
        <f t="shared" si="30"/>
        <v>479769.11464578006</v>
      </c>
      <c r="L88" s="159">
        <f t="shared" si="30"/>
        <v>494162.18808515347</v>
      </c>
      <c r="M88" s="159">
        <f t="shared" si="30"/>
        <v>508987.05372770806</v>
      </c>
      <c r="N88" s="159">
        <f t="shared" si="30"/>
        <v>524256.66533953929</v>
      </c>
      <c r="O88" s="159">
        <f t="shared" si="30"/>
        <v>539984.36529972544</v>
      </c>
      <c r="P88" s="159">
        <f t="shared" si="30"/>
        <v>556183.89625871729</v>
      </c>
      <c r="Q88" s="159">
        <f t="shared" si="30"/>
        <v>572869.41314647882</v>
      </c>
      <c r="R88" s="159">
        <f t="shared" si="30"/>
        <v>590055.49554087326</v>
      </c>
      <c r="S88" s="159">
        <f t="shared" si="30"/>
        <v>607757.16040709952</v>
      </c>
      <c r="T88" s="159">
        <f t="shared" si="30"/>
        <v>625989.8752193125</v>
      </c>
      <c r="U88" s="159">
        <f t="shared" si="30"/>
        <v>644769.57147589186</v>
      </c>
      <c r="V88" s="159">
        <f t="shared" si="30"/>
        <v>664112.65862016869</v>
      </c>
      <c r="W88" s="159">
        <f t="shared" si="30"/>
        <v>684036.03837877372</v>
      </c>
    </row>
  </sheetData>
  <pageMargins left="0.7" right="0.7" top="0.78740157499999996" bottom="0.78740157499999996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8"/>
  <sheetViews>
    <sheetView topLeftCell="A27" workbookViewId="0">
      <selection activeCell="C77" sqref="C77"/>
    </sheetView>
  </sheetViews>
  <sheetFormatPr defaultColWidth="11.44140625" defaultRowHeight="14.4" x14ac:dyDescent="0.3"/>
  <cols>
    <col min="1" max="1" width="62.44140625" bestFit="1" customWidth="1"/>
    <col min="2" max="2" width="10.6640625" bestFit="1" customWidth="1"/>
    <col min="3" max="3" width="11.109375" bestFit="1" customWidth="1"/>
    <col min="4" max="4" width="14.88671875" customWidth="1"/>
    <col min="6" max="6" width="31.6640625" customWidth="1"/>
    <col min="8" max="8" width="12" customWidth="1"/>
  </cols>
  <sheetData>
    <row r="1" spans="1:10" x14ac:dyDescent="0.3">
      <c r="A1" s="155" t="s">
        <v>83</v>
      </c>
      <c r="B1" s="155"/>
      <c r="C1" s="155"/>
      <c r="D1" s="155"/>
      <c r="E1" s="155"/>
      <c r="F1" s="155"/>
      <c r="G1" s="155"/>
      <c r="H1" s="155"/>
      <c r="I1" s="155"/>
      <c r="J1" s="155"/>
    </row>
    <row r="3" spans="1:10" x14ac:dyDescent="0.3">
      <c r="A3" s="155" t="s">
        <v>191</v>
      </c>
      <c r="B3" s="115"/>
      <c r="C3" s="115"/>
      <c r="D3" s="115"/>
      <c r="E3" s="115"/>
      <c r="F3" s="115"/>
      <c r="G3" s="115"/>
      <c r="H3" s="115"/>
      <c r="I3" s="115"/>
      <c r="J3" s="115"/>
    </row>
    <row r="4" spans="1:10" x14ac:dyDescent="0.3">
      <c r="A4" s="1"/>
    </row>
    <row r="5" spans="1:10" x14ac:dyDescent="0.3">
      <c r="A5" t="s">
        <v>192</v>
      </c>
      <c r="G5" s="4"/>
    </row>
    <row r="6" spans="1:10" x14ac:dyDescent="0.3">
      <c r="A6" t="s">
        <v>193</v>
      </c>
      <c r="B6" s="186" t="s">
        <v>84</v>
      </c>
      <c r="C6" s="186"/>
      <c r="F6" s="5"/>
      <c r="G6" s="4"/>
    </row>
    <row r="7" spans="1:10" x14ac:dyDescent="0.3">
      <c r="A7" t="s">
        <v>194</v>
      </c>
      <c r="B7" s="187" t="s">
        <v>257</v>
      </c>
      <c r="C7" s="187"/>
      <c r="F7" t="s">
        <v>147</v>
      </c>
      <c r="G7" s="4" t="s">
        <v>15</v>
      </c>
      <c r="H7" s="23">
        <v>39924500</v>
      </c>
    </row>
    <row r="8" spans="1:10" x14ac:dyDescent="0.3">
      <c r="A8" t="s">
        <v>258</v>
      </c>
      <c r="B8" s="4"/>
      <c r="C8">
        <v>6</v>
      </c>
      <c r="G8" s="4"/>
      <c r="H8" s="121"/>
    </row>
    <row r="9" spans="1:10" x14ac:dyDescent="0.3">
      <c r="A9" t="s">
        <v>195</v>
      </c>
      <c r="B9" s="4" t="s">
        <v>85</v>
      </c>
      <c r="C9">
        <v>2.1</v>
      </c>
      <c r="F9" t="s">
        <v>260</v>
      </c>
      <c r="G9" s="4"/>
      <c r="H9" s="124">
        <v>2.1999999999999999E-2</v>
      </c>
    </row>
    <row r="10" spans="1:10" x14ac:dyDescent="0.3">
      <c r="A10" t="s">
        <v>196</v>
      </c>
      <c r="B10" s="4"/>
      <c r="C10" s="122">
        <v>45658</v>
      </c>
      <c r="F10" s="171" t="s">
        <v>261</v>
      </c>
      <c r="G10" s="181"/>
      <c r="H10" s="182">
        <v>0</v>
      </c>
    </row>
    <row r="11" spans="1:10" x14ac:dyDescent="0.3">
      <c r="A11" t="s">
        <v>197</v>
      </c>
      <c r="B11" s="4" t="s">
        <v>48</v>
      </c>
      <c r="C11" s="28">
        <v>1470000</v>
      </c>
      <c r="G11" s="4"/>
      <c r="H11" s="23"/>
    </row>
    <row r="12" spans="1:10" x14ac:dyDescent="0.3">
      <c r="A12" t="s">
        <v>259</v>
      </c>
      <c r="B12" s="4" t="s">
        <v>55</v>
      </c>
      <c r="C12" s="23">
        <v>6598300</v>
      </c>
      <c r="F12" t="s">
        <v>151</v>
      </c>
      <c r="G12" s="4" t="s">
        <v>15</v>
      </c>
      <c r="H12" s="23">
        <f>H7*(1-H9)*(1-H10)</f>
        <v>39046161</v>
      </c>
    </row>
    <row r="14" spans="1:10" x14ac:dyDescent="0.3">
      <c r="A14" s="155" t="s">
        <v>198</v>
      </c>
      <c r="B14" s="115"/>
      <c r="C14" s="115"/>
      <c r="D14" s="115"/>
      <c r="E14" s="115"/>
      <c r="F14" s="115"/>
      <c r="G14" s="115"/>
      <c r="H14" s="115"/>
      <c r="I14" s="115"/>
      <c r="J14" s="115"/>
    </row>
    <row r="15" spans="1:10" x14ac:dyDescent="0.3">
      <c r="A15" s="1"/>
    </row>
    <row r="16" spans="1:10" x14ac:dyDescent="0.3">
      <c r="A16" t="s">
        <v>199</v>
      </c>
      <c r="B16" s="4" t="s">
        <v>55</v>
      </c>
      <c r="C16" s="23">
        <f>C12*C8</f>
        <v>39589800</v>
      </c>
    </row>
    <row r="17" spans="1:10" x14ac:dyDescent="0.3">
      <c r="A17" t="s">
        <v>200</v>
      </c>
      <c r="B17" s="4" t="s">
        <v>15</v>
      </c>
      <c r="C17" s="23">
        <f>H12</f>
        <v>39046161</v>
      </c>
    </row>
    <row r="18" spans="1:10" x14ac:dyDescent="0.3">
      <c r="A18" t="s">
        <v>200</v>
      </c>
      <c r="B18" s="4" t="s">
        <v>86</v>
      </c>
      <c r="C18" s="23">
        <f>C17*5</f>
        <v>195230805</v>
      </c>
    </row>
    <row r="19" spans="1:10" x14ac:dyDescent="0.3">
      <c r="A19" t="s">
        <v>152</v>
      </c>
      <c r="B19" s="4"/>
      <c r="C19" s="123">
        <f>IF(C16&lt;&gt;0,C18/C16,0)</f>
        <v>4.9313410272342875</v>
      </c>
    </row>
    <row r="20" spans="1:10" x14ac:dyDescent="0.3">
      <c r="A20" t="s">
        <v>201</v>
      </c>
      <c r="B20" s="4" t="s">
        <v>20</v>
      </c>
      <c r="C20" s="19">
        <f>IF(C16&lt;&gt;0,(((1.5-C19)/0.0075)*2)/12+5,0)</f>
        <v>-71.252022827428604</v>
      </c>
    </row>
    <row r="21" spans="1:10" x14ac:dyDescent="0.3">
      <c r="B21" s="4"/>
    </row>
    <row r="22" spans="1:10" x14ac:dyDescent="0.3">
      <c r="A22" s="171" t="s">
        <v>87</v>
      </c>
      <c r="B22" s="181"/>
      <c r="C22" s="183">
        <v>1.4999999999999999E-2</v>
      </c>
      <c r="F22" t="s">
        <v>88</v>
      </c>
      <c r="G22" s="4" t="s">
        <v>89</v>
      </c>
      <c r="H22" s="23">
        <f>C27/100*H12</f>
        <v>1764886.4771999998</v>
      </c>
    </row>
    <row r="23" spans="1:10" x14ac:dyDescent="0.3">
      <c r="A23" t="s">
        <v>202</v>
      </c>
      <c r="B23" s="4" t="s">
        <v>90</v>
      </c>
      <c r="C23" s="19">
        <v>0</v>
      </c>
      <c r="D23" s="19"/>
      <c r="F23" t="s">
        <v>91</v>
      </c>
      <c r="G23" s="4" t="s">
        <v>89</v>
      </c>
      <c r="H23" s="23">
        <f>C26/100*H12</f>
        <v>3233022.1307999999</v>
      </c>
    </row>
    <row r="24" spans="1:10" x14ac:dyDescent="0.3">
      <c r="A24" t="s">
        <v>203</v>
      </c>
      <c r="B24" s="4" t="s">
        <v>90</v>
      </c>
      <c r="C24" s="19">
        <v>0</v>
      </c>
      <c r="D24" s="19"/>
      <c r="G24" s="4"/>
    </row>
    <row r="25" spans="1:10" x14ac:dyDescent="0.3">
      <c r="A25" t="s">
        <v>204</v>
      </c>
      <c r="B25" s="4" t="s">
        <v>90</v>
      </c>
      <c r="C25" s="19">
        <f>ROUND(8.93*(1-C22)^5,2)</f>
        <v>8.2799999999999994</v>
      </c>
    </row>
    <row r="26" spans="1:10" x14ac:dyDescent="0.3">
      <c r="A26" t="s">
        <v>205</v>
      </c>
      <c r="B26" s="4" t="s">
        <v>90</v>
      </c>
      <c r="C26" s="19">
        <f>C23+C24+C25</f>
        <v>8.2799999999999994</v>
      </c>
      <c r="D26" s="125"/>
    </row>
    <row r="27" spans="1:10" x14ac:dyDescent="0.3">
      <c r="A27" t="s">
        <v>206</v>
      </c>
      <c r="B27" s="4" t="s">
        <v>90</v>
      </c>
      <c r="C27" s="19">
        <f>ROUND(4.87*(1-C22)^5,2)</f>
        <v>4.5199999999999996</v>
      </c>
    </row>
    <row r="30" spans="1:10" x14ac:dyDescent="0.3">
      <c r="A30" s="155" t="s">
        <v>207</v>
      </c>
      <c r="B30" s="155"/>
      <c r="C30" s="155"/>
      <c r="D30" s="155"/>
      <c r="E30" s="155"/>
      <c r="F30" s="155"/>
      <c r="G30" s="155"/>
      <c r="H30" s="155"/>
      <c r="I30" s="155"/>
      <c r="J30" s="155"/>
    </row>
    <row r="31" spans="1:10" x14ac:dyDescent="0.3">
      <c r="E31" s="1" t="s">
        <v>92</v>
      </c>
    </row>
    <row r="32" spans="1:10" x14ac:dyDescent="0.3">
      <c r="A32" t="s">
        <v>208</v>
      </c>
      <c r="B32" s="4" t="s">
        <v>48</v>
      </c>
      <c r="C32" s="23">
        <f>C11*C8</f>
        <v>8820000</v>
      </c>
    </row>
    <row r="33" spans="1:8" x14ac:dyDescent="0.3">
      <c r="B33" s="4"/>
      <c r="C33" s="23"/>
      <c r="E33" t="s">
        <v>94</v>
      </c>
      <c r="F33" t="s">
        <v>95</v>
      </c>
    </row>
    <row r="34" spans="1:8" x14ac:dyDescent="0.3">
      <c r="A34" t="s">
        <v>263</v>
      </c>
      <c r="B34" s="4" t="s">
        <v>48</v>
      </c>
      <c r="C34" s="23">
        <f>F34*C8</f>
        <v>231000</v>
      </c>
      <c r="E34">
        <v>6</v>
      </c>
      <c r="F34" s="23">
        <v>38500</v>
      </c>
      <c r="G34" t="s">
        <v>97</v>
      </c>
    </row>
    <row r="35" spans="1:8" x14ac:dyDescent="0.3">
      <c r="A35" t="s">
        <v>209</v>
      </c>
      <c r="B35" s="4" t="s">
        <v>48</v>
      </c>
      <c r="C35" s="23">
        <f t="shared" ref="C35:C42" si="0">E35*F35</f>
        <v>0</v>
      </c>
      <c r="E35">
        <v>0</v>
      </c>
      <c r="F35" s="23">
        <v>26950</v>
      </c>
      <c r="G35" t="s">
        <v>99</v>
      </c>
    </row>
    <row r="36" spans="1:8" x14ac:dyDescent="0.3">
      <c r="A36" t="s">
        <v>210</v>
      </c>
      <c r="B36" s="4" t="s">
        <v>48</v>
      </c>
      <c r="C36" s="23">
        <f t="shared" si="0"/>
        <v>0</v>
      </c>
      <c r="E36">
        <v>0</v>
      </c>
      <c r="F36" s="23">
        <v>2888</v>
      </c>
      <c r="G36" t="s">
        <v>100</v>
      </c>
    </row>
    <row r="37" spans="1:8" x14ac:dyDescent="0.3">
      <c r="A37" t="s">
        <v>211</v>
      </c>
      <c r="B37" s="4" t="s">
        <v>48</v>
      </c>
      <c r="C37" s="23">
        <f t="shared" si="0"/>
        <v>199974</v>
      </c>
      <c r="E37" s="171">
        <v>6</v>
      </c>
      <c r="F37" s="23">
        <v>33329</v>
      </c>
      <c r="G37" t="s">
        <v>99</v>
      </c>
      <c r="H37" t="s">
        <v>262</v>
      </c>
    </row>
    <row r="38" spans="1:8" x14ac:dyDescent="0.3">
      <c r="A38" t="s">
        <v>212</v>
      </c>
      <c r="B38" s="4" t="s">
        <v>48</v>
      </c>
      <c r="C38" s="23">
        <f t="shared" si="0"/>
        <v>798</v>
      </c>
      <c r="E38">
        <v>7</v>
      </c>
      <c r="F38" s="23">
        <v>114</v>
      </c>
      <c r="G38" t="s">
        <v>100</v>
      </c>
    </row>
    <row r="39" spans="1:8" x14ac:dyDescent="0.3">
      <c r="A39" t="s">
        <v>212</v>
      </c>
      <c r="B39" s="4" t="s">
        <v>48</v>
      </c>
      <c r="C39" s="23">
        <f t="shared" si="0"/>
        <v>867000</v>
      </c>
      <c r="E39">
        <v>3000</v>
      </c>
      <c r="F39" s="23">
        <v>289</v>
      </c>
      <c r="G39" t="s">
        <v>102</v>
      </c>
    </row>
    <row r="40" spans="1:8" x14ac:dyDescent="0.3">
      <c r="A40" t="s">
        <v>213</v>
      </c>
      <c r="B40" s="4" t="s">
        <v>48</v>
      </c>
      <c r="C40" s="23">
        <f t="shared" si="0"/>
        <v>750</v>
      </c>
      <c r="E40">
        <v>1</v>
      </c>
      <c r="F40" s="23">
        <v>750</v>
      </c>
      <c r="G40" t="s">
        <v>103</v>
      </c>
    </row>
    <row r="41" spans="1:8" x14ac:dyDescent="0.3">
      <c r="A41" t="s">
        <v>214</v>
      </c>
      <c r="B41" s="4" t="s">
        <v>48</v>
      </c>
      <c r="C41" s="23">
        <f t="shared" si="0"/>
        <v>38500</v>
      </c>
      <c r="E41">
        <v>1</v>
      </c>
      <c r="F41" s="23">
        <v>38500</v>
      </c>
      <c r="G41" t="s">
        <v>103</v>
      </c>
    </row>
    <row r="42" spans="1:8" x14ac:dyDescent="0.3">
      <c r="A42" t="s">
        <v>215</v>
      </c>
      <c r="B42" s="4" t="s">
        <v>48</v>
      </c>
      <c r="C42" s="23">
        <f t="shared" si="0"/>
        <v>770</v>
      </c>
      <c r="E42">
        <v>1</v>
      </c>
      <c r="F42" s="23">
        <v>770</v>
      </c>
      <c r="G42" t="s">
        <v>105</v>
      </c>
    </row>
    <row r="43" spans="1:8" x14ac:dyDescent="0.3">
      <c r="A43" t="s">
        <v>216</v>
      </c>
      <c r="B43" s="4" t="s">
        <v>48</v>
      </c>
      <c r="C43" s="23">
        <f>F43*E43</f>
        <v>46200</v>
      </c>
      <c r="E43">
        <v>1</v>
      </c>
      <c r="F43" s="23">
        <v>46200</v>
      </c>
      <c r="G43" t="s">
        <v>103</v>
      </c>
    </row>
    <row r="44" spans="1:8" x14ac:dyDescent="0.3">
      <c r="A44" t="s">
        <v>217</v>
      </c>
      <c r="B44" s="4" t="s">
        <v>48</v>
      </c>
      <c r="C44" s="23">
        <f t="shared" ref="C44:C51" si="1">E44*F44</f>
        <v>5775</v>
      </c>
      <c r="E44">
        <v>1</v>
      </c>
      <c r="F44" s="23">
        <v>5775</v>
      </c>
      <c r="G44" t="s">
        <v>103</v>
      </c>
    </row>
    <row r="45" spans="1:8" x14ac:dyDescent="0.3">
      <c r="A45" t="s">
        <v>218</v>
      </c>
      <c r="B45" s="4" t="s">
        <v>48</v>
      </c>
      <c r="C45" s="23">
        <f t="shared" si="1"/>
        <v>7700</v>
      </c>
      <c r="E45">
        <v>1</v>
      </c>
      <c r="F45" s="23">
        <v>7700</v>
      </c>
      <c r="G45" t="s">
        <v>103</v>
      </c>
    </row>
    <row r="46" spans="1:8" x14ac:dyDescent="0.3">
      <c r="A46" t="s">
        <v>219</v>
      </c>
      <c r="B46" s="4" t="s">
        <v>48</v>
      </c>
      <c r="C46" s="23">
        <f t="shared" si="1"/>
        <v>9625</v>
      </c>
      <c r="E46">
        <v>1</v>
      </c>
      <c r="F46" s="23">
        <v>9625</v>
      </c>
      <c r="G46" t="s">
        <v>103</v>
      </c>
    </row>
    <row r="47" spans="1:8" x14ac:dyDescent="0.3">
      <c r="A47" t="s">
        <v>220</v>
      </c>
      <c r="B47" s="4" t="s">
        <v>48</v>
      </c>
      <c r="C47" s="23">
        <f t="shared" si="1"/>
        <v>1926</v>
      </c>
      <c r="E47">
        <v>2</v>
      </c>
      <c r="F47" s="23">
        <v>963</v>
      </c>
      <c r="G47" t="s">
        <v>103</v>
      </c>
    </row>
    <row r="48" spans="1:8" x14ac:dyDescent="0.3">
      <c r="A48" t="s">
        <v>221</v>
      </c>
      <c r="B48" s="4" t="s">
        <v>48</v>
      </c>
      <c r="C48" s="23">
        <f t="shared" si="1"/>
        <v>1078</v>
      </c>
      <c r="E48">
        <v>2</v>
      </c>
      <c r="F48" s="23">
        <v>539</v>
      </c>
      <c r="G48" t="s">
        <v>103</v>
      </c>
    </row>
    <row r="49" spans="1:7" x14ac:dyDescent="0.3">
      <c r="A49" t="s">
        <v>222</v>
      </c>
      <c r="B49" s="4" t="s">
        <v>48</v>
      </c>
      <c r="C49" s="23">
        <f t="shared" si="1"/>
        <v>7700</v>
      </c>
      <c r="E49">
        <v>1</v>
      </c>
      <c r="F49" s="23">
        <v>7700</v>
      </c>
      <c r="G49" t="s">
        <v>103</v>
      </c>
    </row>
    <row r="50" spans="1:7" x14ac:dyDescent="0.3">
      <c r="A50" t="s">
        <v>223</v>
      </c>
      <c r="B50" s="4" t="s">
        <v>48</v>
      </c>
      <c r="C50" s="23">
        <f t="shared" si="1"/>
        <v>19250</v>
      </c>
      <c r="E50">
        <v>1</v>
      </c>
      <c r="F50" s="23">
        <v>19250</v>
      </c>
      <c r="G50" t="s">
        <v>103</v>
      </c>
    </row>
    <row r="51" spans="1:7" x14ac:dyDescent="0.3">
      <c r="A51" t="s">
        <v>224</v>
      </c>
      <c r="B51" s="4" t="s">
        <v>48</v>
      </c>
      <c r="C51" s="23">
        <f t="shared" si="1"/>
        <v>3850</v>
      </c>
      <c r="E51">
        <v>1</v>
      </c>
      <c r="F51" s="23">
        <v>3850</v>
      </c>
      <c r="G51" t="s">
        <v>103</v>
      </c>
    </row>
    <row r="52" spans="1:7" x14ac:dyDescent="0.3">
      <c r="A52" t="s">
        <v>225</v>
      </c>
      <c r="B52" s="4" t="s">
        <v>48</v>
      </c>
      <c r="C52" s="23">
        <v>60000</v>
      </c>
      <c r="F52" s="23"/>
    </row>
    <row r="53" spans="1:7" x14ac:dyDescent="0.3">
      <c r="A53" t="s">
        <v>226</v>
      </c>
      <c r="B53" s="4" t="s">
        <v>48</v>
      </c>
      <c r="C53" s="23">
        <f>E53*F53</f>
        <v>9625</v>
      </c>
      <c r="E53">
        <v>1</v>
      </c>
      <c r="F53" s="23">
        <v>9625</v>
      </c>
      <c r="G53" t="s">
        <v>103</v>
      </c>
    </row>
    <row r="54" spans="1:7" x14ac:dyDescent="0.3">
      <c r="A54" t="s">
        <v>227</v>
      </c>
      <c r="B54" s="4" t="s">
        <v>48</v>
      </c>
      <c r="C54" s="23">
        <f>E54*F54</f>
        <v>57750</v>
      </c>
      <c r="E54">
        <v>5</v>
      </c>
      <c r="F54" s="23">
        <v>11550</v>
      </c>
      <c r="G54" t="s">
        <v>116</v>
      </c>
    </row>
    <row r="55" spans="1:7" x14ac:dyDescent="0.3">
      <c r="A55" t="s">
        <v>228</v>
      </c>
      <c r="B55" s="4" t="s">
        <v>48</v>
      </c>
      <c r="C55" s="23">
        <v>38500</v>
      </c>
      <c r="F55" s="23"/>
    </row>
    <row r="56" spans="1:7" x14ac:dyDescent="0.3">
      <c r="B56" s="4"/>
      <c r="C56" s="23"/>
    </row>
    <row r="57" spans="1:7" x14ac:dyDescent="0.3">
      <c r="A57" t="s">
        <v>229</v>
      </c>
      <c r="B57" s="4"/>
      <c r="C57" s="23"/>
    </row>
    <row r="58" spans="1:7" x14ac:dyDescent="0.3">
      <c r="A58" t="s">
        <v>230</v>
      </c>
      <c r="B58" s="4" t="s">
        <v>48</v>
      </c>
      <c r="C58" s="23">
        <v>115500</v>
      </c>
    </row>
    <row r="59" spans="1:7" x14ac:dyDescent="0.3">
      <c r="A59" t="s">
        <v>231</v>
      </c>
      <c r="B59" s="4" t="s">
        <v>48</v>
      </c>
      <c r="C59" s="23"/>
    </row>
    <row r="60" spans="1:7" x14ac:dyDescent="0.3">
      <c r="B60" s="4"/>
      <c r="C60" s="23"/>
    </row>
    <row r="61" spans="1:7" x14ac:dyDescent="0.3">
      <c r="A61" t="s">
        <v>117</v>
      </c>
      <c r="B61" s="4" t="s">
        <v>48</v>
      </c>
      <c r="C61" s="23">
        <v>115500</v>
      </c>
    </row>
    <row r="62" spans="1:7" x14ac:dyDescent="0.3">
      <c r="B62" s="4"/>
      <c r="C62" s="23"/>
    </row>
    <row r="63" spans="1:7" x14ac:dyDescent="0.3">
      <c r="A63" t="s">
        <v>232</v>
      </c>
      <c r="B63" s="4" t="s">
        <v>48</v>
      </c>
      <c r="C63" s="23">
        <f>SUM(C32:C61)</f>
        <v>10658771</v>
      </c>
    </row>
    <row r="64" spans="1:7" x14ac:dyDescent="0.3">
      <c r="B64" s="4"/>
    </row>
    <row r="65" spans="1:10" x14ac:dyDescent="0.3">
      <c r="A65" t="s">
        <v>233</v>
      </c>
      <c r="B65" s="4" t="s">
        <v>119</v>
      </c>
      <c r="C65" s="126">
        <f>C63/C17</f>
        <v>0.2729787187016926</v>
      </c>
    </row>
    <row r="67" spans="1:10" ht="15" thickBot="1" x14ac:dyDescent="0.35">
      <c r="A67" s="153" t="s">
        <v>234</v>
      </c>
      <c r="B67" s="152" t="s">
        <v>48</v>
      </c>
      <c r="C67" s="154">
        <f>C63</f>
        <v>10658771</v>
      </c>
    </row>
    <row r="68" spans="1:10" ht="15" thickTop="1" x14ac:dyDescent="0.3"/>
    <row r="69" spans="1:10" x14ac:dyDescent="0.3">
      <c r="A69" s="155" t="s">
        <v>241</v>
      </c>
      <c r="B69" s="155"/>
      <c r="C69" s="155"/>
      <c r="D69" s="155"/>
      <c r="E69" s="155"/>
      <c r="F69" s="155"/>
      <c r="G69" s="155"/>
      <c r="H69" s="155"/>
      <c r="I69" s="155"/>
      <c r="J69" s="155"/>
    </row>
    <row r="71" spans="1:10" x14ac:dyDescent="0.3">
      <c r="A71" t="s">
        <v>235</v>
      </c>
      <c r="B71" s="121">
        <v>0.2727</v>
      </c>
      <c r="C71" s="127" t="s">
        <v>48</v>
      </c>
      <c r="D71" s="23">
        <f>B71*C63</f>
        <v>2906646.8517</v>
      </c>
    </row>
    <row r="72" spans="1:10" x14ac:dyDescent="0.3">
      <c r="A72" t="s">
        <v>236</v>
      </c>
      <c r="B72" s="121">
        <v>0.72729999999999995</v>
      </c>
      <c r="C72" s="127" t="s">
        <v>48</v>
      </c>
      <c r="D72" s="23">
        <f>B72*C63</f>
        <v>7752124.1482999995</v>
      </c>
    </row>
    <row r="73" spans="1:10" x14ac:dyDescent="0.3">
      <c r="B73" s="121"/>
      <c r="C73" s="127"/>
      <c r="D73" s="23"/>
    </row>
    <row r="74" spans="1:10" x14ac:dyDescent="0.3">
      <c r="A74" t="s">
        <v>237</v>
      </c>
    </row>
    <row r="76" spans="1:10" x14ac:dyDescent="0.3">
      <c r="A76" t="s">
        <v>238</v>
      </c>
      <c r="B76" s="4" t="s">
        <v>48</v>
      </c>
      <c r="C76" s="128">
        <f>D72</f>
        <v>7752124.1482999995</v>
      </c>
    </row>
    <row r="77" spans="1:10" x14ac:dyDescent="0.3">
      <c r="A77" t="s">
        <v>163</v>
      </c>
      <c r="B77" s="4" t="s">
        <v>20</v>
      </c>
      <c r="C77">
        <v>14</v>
      </c>
    </row>
    <row r="78" spans="1:10" x14ac:dyDescent="0.3">
      <c r="A78" t="s">
        <v>164</v>
      </c>
      <c r="B78" s="4"/>
      <c r="C78" s="123">
        <v>0.03</v>
      </c>
    </row>
    <row r="79" spans="1:10" x14ac:dyDescent="0.3">
      <c r="A79" t="s">
        <v>165</v>
      </c>
      <c r="B79" s="4"/>
      <c r="C79" s="123">
        <v>2.5000000000000001E-2</v>
      </c>
    </row>
    <row r="80" spans="1:10" x14ac:dyDescent="0.3">
      <c r="A80" t="s">
        <v>239</v>
      </c>
      <c r="B80" s="4" t="s">
        <v>20</v>
      </c>
      <c r="C80">
        <v>3</v>
      </c>
    </row>
    <row r="82" spans="1:11" x14ac:dyDescent="0.3">
      <c r="A82" t="s">
        <v>240</v>
      </c>
      <c r="C82" s="122">
        <v>42005</v>
      </c>
    </row>
    <row r="84" spans="1:11" x14ac:dyDescent="0.3">
      <c r="A84" s="155" t="s">
        <v>185</v>
      </c>
      <c r="B84" s="155"/>
      <c r="C84" s="155"/>
      <c r="D84" s="155"/>
      <c r="E84" s="155"/>
      <c r="F84" s="155"/>
      <c r="G84" s="155"/>
      <c r="H84" s="155"/>
      <c r="I84" s="155"/>
      <c r="J84" s="155"/>
    </row>
    <row r="86" spans="1:11" x14ac:dyDescent="0.3">
      <c r="A86" t="s">
        <v>242</v>
      </c>
      <c r="B86" s="4" t="s">
        <v>89</v>
      </c>
      <c r="C86" s="23">
        <f>F86*C63</f>
        <v>159881.565</v>
      </c>
      <c r="F86" s="129">
        <v>1.4999999999999999E-2</v>
      </c>
      <c r="G86" t="s">
        <v>121</v>
      </c>
    </row>
    <row r="87" spans="1:11" x14ac:dyDescent="0.3">
      <c r="A87" t="s">
        <v>243</v>
      </c>
      <c r="B87" s="4" t="s">
        <v>89</v>
      </c>
      <c r="C87" s="130">
        <f>F87*(C8*C9)</f>
        <v>69300.000000000015</v>
      </c>
      <c r="F87" s="23">
        <f>10000*0.55</f>
        <v>5500</v>
      </c>
      <c r="G87" t="s">
        <v>123</v>
      </c>
    </row>
    <row r="88" spans="1:11" x14ac:dyDescent="0.3">
      <c r="A88" t="s">
        <v>244</v>
      </c>
      <c r="B88" s="4" t="s">
        <v>89</v>
      </c>
      <c r="C88" s="23">
        <f>F88*$C$8</f>
        <v>9900.0000000000018</v>
      </c>
      <c r="F88" s="23">
        <f>3000*0.55</f>
        <v>1650.0000000000002</v>
      </c>
      <c r="G88" t="s">
        <v>116</v>
      </c>
    </row>
    <row r="89" spans="1:11" ht="30" customHeight="1" x14ac:dyDescent="0.3">
      <c r="A89" t="s">
        <v>245</v>
      </c>
      <c r="B89" s="4" t="s">
        <v>89</v>
      </c>
      <c r="C89" s="23">
        <f>F89*$C$8</f>
        <v>82500.000000000015</v>
      </c>
      <c r="F89" s="23">
        <f>25000*0.55</f>
        <v>13750.000000000002</v>
      </c>
      <c r="G89" t="s">
        <v>116</v>
      </c>
      <c r="H89" s="185" t="s">
        <v>126</v>
      </c>
      <c r="I89" s="185"/>
      <c r="J89" s="185"/>
      <c r="K89" s="5"/>
    </row>
    <row r="90" spans="1:11" x14ac:dyDescent="0.3">
      <c r="A90" t="s">
        <v>246</v>
      </c>
      <c r="B90" s="4" t="s">
        <v>89</v>
      </c>
      <c r="C90" s="23">
        <v>12000</v>
      </c>
      <c r="D90" s="4"/>
      <c r="E90" s="4"/>
      <c r="F90" s="23"/>
    </row>
    <row r="91" spans="1:11" x14ac:dyDescent="0.3">
      <c r="A91" t="s">
        <v>247</v>
      </c>
      <c r="B91" s="4" t="s">
        <v>89</v>
      </c>
      <c r="C91" s="23">
        <v>16500</v>
      </c>
      <c r="F91" s="23"/>
      <c r="G91" s="188" t="s">
        <v>129</v>
      </c>
      <c r="H91" s="188"/>
      <c r="I91" s="188"/>
    </row>
    <row r="92" spans="1:11" x14ac:dyDescent="0.3">
      <c r="B92" s="4"/>
      <c r="C92" s="23"/>
      <c r="F92" s="23"/>
      <c r="G92" s="188"/>
      <c r="H92" s="188"/>
      <c r="I92" s="188"/>
    </row>
    <row r="93" spans="1:11" x14ac:dyDescent="0.3">
      <c r="A93" t="s">
        <v>248</v>
      </c>
      <c r="B93" s="4" t="s">
        <v>89</v>
      </c>
      <c r="C93" s="23">
        <f>F93*$C$8</f>
        <v>9900.0000000000018</v>
      </c>
      <c r="F93" s="23">
        <f>3000*0.55</f>
        <v>1650.0000000000002</v>
      </c>
      <c r="G93" t="s">
        <v>116</v>
      </c>
    </row>
    <row r="94" spans="1:11" x14ac:dyDescent="0.3">
      <c r="B94" s="4"/>
      <c r="C94" s="23"/>
      <c r="F94" s="23"/>
    </row>
    <row r="95" spans="1:11" x14ac:dyDescent="0.3">
      <c r="A95" s="156" t="s">
        <v>131</v>
      </c>
      <c r="B95" s="4"/>
      <c r="C95" s="23"/>
      <c r="F95" s="23"/>
    </row>
    <row r="96" spans="1:11" x14ac:dyDescent="0.3">
      <c r="A96" t="s">
        <v>249</v>
      </c>
      <c r="B96" s="4" t="s">
        <v>89</v>
      </c>
      <c r="C96" s="23">
        <f>(F96*I96)*E96</f>
        <v>156.77244000000007</v>
      </c>
      <c r="E96">
        <v>0.4</v>
      </c>
      <c r="F96" s="157">
        <f>7.32*0.55</f>
        <v>4.0260000000000007</v>
      </c>
      <c r="G96" t="s">
        <v>132</v>
      </c>
      <c r="H96" t="s">
        <v>133</v>
      </c>
      <c r="I96">
        <f>177*0.55</f>
        <v>97.350000000000009</v>
      </c>
      <c r="J96" t="s">
        <v>134</v>
      </c>
    </row>
    <row r="97" spans="1:10" x14ac:dyDescent="0.3">
      <c r="A97" t="s">
        <v>250</v>
      </c>
      <c r="B97" s="4" t="s">
        <v>89</v>
      </c>
      <c r="C97" s="23">
        <f>(F97*I97)*E97</f>
        <v>95.832000000000022</v>
      </c>
      <c r="E97">
        <v>0.4</v>
      </c>
      <c r="F97" s="23">
        <f>5.5*0.55</f>
        <v>3.0250000000000004</v>
      </c>
      <c r="G97" t="s">
        <v>132</v>
      </c>
      <c r="H97" t="s">
        <v>135</v>
      </c>
      <c r="I97">
        <f>144*0.55</f>
        <v>79.2</v>
      </c>
      <c r="J97" t="s">
        <v>134</v>
      </c>
    </row>
    <row r="98" spans="1:10" x14ac:dyDescent="0.3">
      <c r="A98" t="s">
        <v>251</v>
      </c>
      <c r="B98" s="4" t="s">
        <v>89</v>
      </c>
      <c r="C98" s="23">
        <v>2000</v>
      </c>
      <c r="F98" s="23"/>
    </row>
    <row r="100" spans="1:10" x14ac:dyDescent="0.3">
      <c r="A100" t="s">
        <v>252</v>
      </c>
      <c r="B100" s="4" t="s">
        <v>89</v>
      </c>
      <c r="C100" s="23">
        <f>F100*C8</f>
        <v>16500</v>
      </c>
      <c r="F100" s="23">
        <f>5000*0.55</f>
        <v>2750</v>
      </c>
      <c r="G100" t="s">
        <v>116</v>
      </c>
    </row>
    <row r="101" spans="1:10" x14ac:dyDescent="0.3">
      <c r="B101" s="4"/>
      <c r="C101" s="23"/>
      <c r="D101" s="4"/>
      <c r="E101" s="4"/>
      <c r="F101" s="23"/>
    </row>
    <row r="102" spans="1:10" x14ac:dyDescent="0.3">
      <c r="B102" s="4"/>
      <c r="C102" s="23"/>
      <c r="D102" s="4"/>
      <c r="E102" s="4"/>
      <c r="F102" s="23"/>
    </row>
    <row r="103" spans="1:10" ht="15" thickBot="1" x14ac:dyDescent="0.35">
      <c r="A103" s="149" t="s">
        <v>185</v>
      </c>
      <c r="B103" s="150"/>
      <c r="C103" s="151">
        <f>SUM(C86:C102)</f>
        <v>378734.16943999997</v>
      </c>
      <c r="D103" s="150" t="s">
        <v>136</v>
      </c>
      <c r="E103" s="4"/>
      <c r="F103" s="23"/>
    </row>
    <row r="104" spans="1:10" ht="15" thickTop="1" x14ac:dyDescent="0.3">
      <c r="B104" s="4"/>
      <c r="C104" s="23"/>
      <c r="D104" s="4"/>
      <c r="E104" s="4"/>
      <c r="F104" s="23"/>
    </row>
    <row r="107" spans="1:10" x14ac:dyDescent="0.3">
      <c r="A107" s="155" t="s">
        <v>253</v>
      </c>
      <c r="B107" s="155"/>
      <c r="C107" s="155"/>
      <c r="D107" s="155"/>
      <c r="E107" s="155"/>
      <c r="F107" s="155"/>
      <c r="G107" s="155"/>
      <c r="H107" s="155"/>
    </row>
    <row r="109" spans="1:10" x14ac:dyDescent="0.3">
      <c r="A109" t="s">
        <v>188</v>
      </c>
    </row>
    <row r="110" spans="1:10" x14ac:dyDescent="0.3">
      <c r="A110" s="132" t="s">
        <v>176</v>
      </c>
      <c r="B110" s="133" t="s">
        <v>48</v>
      </c>
      <c r="C110" s="23">
        <v>24500</v>
      </c>
    </row>
    <row r="111" spans="1:10" x14ac:dyDescent="0.3">
      <c r="A111" s="132" t="s">
        <v>254</v>
      </c>
      <c r="B111" s="134"/>
      <c r="C111" s="124">
        <v>3.5000000000000003E-2</v>
      </c>
    </row>
    <row r="112" spans="1:10" x14ac:dyDescent="0.3">
      <c r="A112" s="132" t="s">
        <v>255</v>
      </c>
      <c r="B112" s="132"/>
      <c r="C112" s="135">
        <v>0.7</v>
      </c>
      <c r="D112" s="135"/>
      <c r="E112" s="132"/>
      <c r="F112" s="132"/>
      <c r="G112" s="132"/>
    </row>
    <row r="113" spans="1:7" x14ac:dyDescent="0.3">
      <c r="A113" s="132" t="s">
        <v>265</v>
      </c>
      <c r="B113" s="132"/>
      <c r="C113" s="136">
        <v>0.3</v>
      </c>
      <c r="D113" s="136"/>
      <c r="E113" s="132"/>
      <c r="F113" s="132"/>
      <c r="G113" s="134"/>
    </row>
    <row r="114" spans="1:7" x14ac:dyDescent="0.3">
      <c r="A114" s="132" t="s">
        <v>256</v>
      </c>
      <c r="B114" s="132"/>
      <c r="C114" s="135">
        <v>3.57</v>
      </c>
      <c r="D114" s="135"/>
      <c r="E114" s="132"/>
      <c r="F114" s="132"/>
      <c r="G114" s="132"/>
    </row>
    <row r="115" spans="1:7" x14ac:dyDescent="0.3">
      <c r="A115" s="132" t="s">
        <v>264</v>
      </c>
      <c r="B115" s="132"/>
      <c r="C115" s="136">
        <v>2.7</v>
      </c>
      <c r="D115" s="136"/>
      <c r="E115" s="132"/>
      <c r="F115" s="132"/>
      <c r="G115" s="132"/>
    </row>
    <row r="117" spans="1:7" x14ac:dyDescent="0.3">
      <c r="C117" s="123"/>
    </row>
    <row r="118" spans="1:7" x14ac:dyDescent="0.3">
      <c r="C118" s="123"/>
    </row>
  </sheetData>
  <mergeCells count="4">
    <mergeCell ref="H89:J89"/>
    <mergeCell ref="B6:C6"/>
    <mergeCell ref="B7:C7"/>
    <mergeCell ref="G91:I92"/>
  </mergeCells>
  <pageMargins left="0.7" right="0.7" top="0.78740157499999996" bottom="0.78740157499999996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1:M187"/>
  <sheetViews>
    <sheetView topLeftCell="A172" zoomScale="70" zoomScaleNormal="70" zoomScalePageLayoutView="70" workbookViewId="0">
      <selection activeCell="K64" sqref="K64"/>
    </sheetView>
  </sheetViews>
  <sheetFormatPr defaultColWidth="11.44140625" defaultRowHeight="14.4" x14ac:dyDescent="0.3"/>
  <cols>
    <col min="1" max="1" width="57.44140625" customWidth="1"/>
    <col min="2" max="2" width="16.88671875" customWidth="1"/>
    <col min="3" max="3" width="15" bestFit="1" customWidth="1"/>
  </cols>
  <sheetData>
    <row r="41" spans="12:13" x14ac:dyDescent="0.3">
      <c r="L41" t="s">
        <v>34</v>
      </c>
      <c r="M41" s="2">
        <v>0.2727</v>
      </c>
    </row>
    <row r="42" spans="12:13" x14ac:dyDescent="0.3">
      <c r="L42" t="s">
        <v>38</v>
      </c>
      <c r="M42" s="2">
        <v>0.72729999999999995</v>
      </c>
    </row>
    <row r="139" spans="1:3" x14ac:dyDescent="0.3">
      <c r="A139" t="s">
        <v>137</v>
      </c>
      <c r="B139" s="4" t="s">
        <v>138</v>
      </c>
      <c r="C139" s="23" t="s">
        <v>139</v>
      </c>
    </row>
    <row r="140" spans="1:3" x14ac:dyDescent="0.3">
      <c r="A140" t="s">
        <v>93</v>
      </c>
      <c r="B140" s="4" t="s">
        <v>48</v>
      </c>
      <c r="C140" s="23">
        <v>24000000</v>
      </c>
    </row>
    <row r="141" spans="1:3" x14ac:dyDescent="0.3">
      <c r="B141" s="4"/>
      <c r="C141" s="23"/>
    </row>
    <row r="142" spans="1:3" x14ac:dyDescent="0.3">
      <c r="A142" t="s">
        <v>96</v>
      </c>
      <c r="B142" s="4" t="s">
        <v>48</v>
      </c>
      <c r="C142" s="23">
        <v>500000</v>
      </c>
    </row>
    <row r="143" spans="1:3" x14ac:dyDescent="0.3">
      <c r="A143" t="s">
        <v>98</v>
      </c>
      <c r="B143" s="4" t="s">
        <v>48</v>
      </c>
      <c r="C143" s="23">
        <v>140000</v>
      </c>
    </row>
    <row r="144" spans="1:3" x14ac:dyDescent="0.3">
      <c r="A144" t="s">
        <v>101</v>
      </c>
      <c r="B144" s="4" t="s">
        <v>48</v>
      </c>
      <c r="C144" s="23">
        <v>526200</v>
      </c>
    </row>
    <row r="145" spans="1:3" x14ac:dyDescent="0.3">
      <c r="A145" t="s">
        <v>104</v>
      </c>
      <c r="B145" s="4" t="s">
        <v>48</v>
      </c>
      <c r="C145" s="23">
        <v>100000</v>
      </c>
    </row>
    <row r="146" spans="1:3" x14ac:dyDescent="0.3">
      <c r="A146" t="s">
        <v>106</v>
      </c>
      <c r="B146" s="4" t="s">
        <v>48</v>
      </c>
      <c r="C146" s="23">
        <v>120000</v>
      </c>
    </row>
    <row r="147" spans="1:3" x14ac:dyDescent="0.3">
      <c r="A147" t="s">
        <v>107</v>
      </c>
      <c r="B147" s="4" t="s">
        <v>48</v>
      </c>
      <c r="C147" s="23">
        <v>15000</v>
      </c>
    </row>
    <row r="148" spans="1:3" x14ac:dyDescent="0.3">
      <c r="A148" t="s">
        <v>108</v>
      </c>
      <c r="B148" s="4" t="s">
        <v>48</v>
      </c>
      <c r="C148" s="23">
        <v>20000</v>
      </c>
    </row>
    <row r="149" spans="1:3" x14ac:dyDescent="0.3">
      <c r="A149" t="s">
        <v>113</v>
      </c>
      <c r="B149" s="4" t="s">
        <v>48</v>
      </c>
      <c r="C149" s="23">
        <v>50000</v>
      </c>
    </row>
    <row r="150" spans="1:3" x14ac:dyDescent="0.3">
      <c r="A150" t="s">
        <v>114</v>
      </c>
      <c r="B150" s="4" t="s">
        <v>48</v>
      </c>
      <c r="C150" s="23">
        <v>300000</v>
      </c>
    </row>
    <row r="151" spans="1:3" x14ac:dyDescent="0.3">
      <c r="A151" t="s">
        <v>115</v>
      </c>
      <c r="B151" s="4" t="s">
        <v>48</v>
      </c>
      <c r="C151" s="23">
        <v>25000</v>
      </c>
    </row>
    <row r="152" spans="1:3" x14ac:dyDescent="0.3">
      <c r="A152" t="s">
        <v>112</v>
      </c>
      <c r="B152" s="4" t="s">
        <v>48</v>
      </c>
      <c r="C152" s="23">
        <v>20000</v>
      </c>
    </row>
    <row r="153" spans="1:3" x14ac:dyDescent="0.3">
      <c r="A153" t="s">
        <v>109</v>
      </c>
      <c r="B153" s="4" t="s">
        <v>48</v>
      </c>
      <c r="C153" s="23">
        <v>25000</v>
      </c>
    </row>
    <row r="154" spans="1:3" x14ac:dyDescent="0.3">
      <c r="A154" t="s">
        <v>110</v>
      </c>
      <c r="B154" s="4" t="s">
        <v>48</v>
      </c>
      <c r="C154" s="23">
        <v>5000</v>
      </c>
    </row>
    <row r="155" spans="1:3" x14ac:dyDescent="0.3">
      <c r="A155" t="s">
        <v>111</v>
      </c>
      <c r="B155" s="4" t="s">
        <v>48</v>
      </c>
      <c r="C155" s="23">
        <v>2800</v>
      </c>
    </row>
    <row r="156" spans="1:3" x14ac:dyDescent="0.3">
      <c r="A156" t="s">
        <v>140</v>
      </c>
      <c r="B156" s="4" t="s">
        <v>48</v>
      </c>
      <c r="C156" s="23">
        <v>929350</v>
      </c>
    </row>
    <row r="157" spans="1:3" x14ac:dyDescent="0.3">
      <c r="B157" s="4"/>
      <c r="C157" s="23"/>
    </row>
    <row r="158" spans="1:3" x14ac:dyDescent="0.3">
      <c r="A158" t="s">
        <v>118</v>
      </c>
      <c r="B158" s="4" t="s">
        <v>48</v>
      </c>
      <c r="C158" s="23">
        <v>26778350</v>
      </c>
    </row>
    <row r="164" spans="1:3" x14ac:dyDescent="0.3">
      <c r="A164" t="s">
        <v>137</v>
      </c>
      <c r="B164" t="s">
        <v>138</v>
      </c>
      <c r="C164" t="s">
        <v>139</v>
      </c>
    </row>
    <row r="165" spans="1:3" x14ac:dyDescent="0.3">
      <c r="A165" t="s">
        <v>120</v>
      </c>
      <c r="B165" s="4" t="s">
        <v>89</v>
      </c>
      <c r="C165" s="161">
        <v>401675.25</v>
      </c>
    </row>
    <row r="166" spans="1:3" x14ac:dyDescent="0.3">
      <c r="A166" t="s">
        <v>122</v>
      </c>
      <c r="B166" s="4" t="s">
        <v>89</v>
      </c>
      <c r="C166" s="161">
        <v>150000</v>
      </c>
    </row>
    <row r="167" spans="1:3" x14ac:dyDescent="0.3">
      <c r="A167" t="s">
        <v>124</v>
      </c>
      <c r="B167" s="4" t="s">
        <v>89</v>
      </c>
      <c r="C167" s="161">
        <v>15000</v>
      </c>
    </row>
    <row r="168" spans="1:3" x14ac:dyDescent="0.3">
      <c r="A168" t="s">
        <v>125</v>
      </c>
      <c r="B168" s="4" t="s">
        <v>89</v>
      </c>
      <c r="C168" s="161">
        <v>125000</v>
      </c>
    </row>
    <row r="169" spans="1:3" x14ac:dyDescent="0.3">
      <c r="A169" t="s">
        <v>127</v>
      </c>
      <c r="B169" s="4" t="s">
        <v>89</v>
      </c>
      <c r="C169" s="161">
        <v>12000</v>
      </c>
    </row>
    <row r="170" spans="1:3" x14ac:dyDescent="0.3">
      <c r="A170" t="s">
        <v>128</v>
      </c>
      <c r="B170" s="4" t="s">
        <v>89</v>
      </c>
      <c r="C170" s="161">
        <v>30000</v>
      </c>
    </row>
    <row r="171" spans="1:3" x14ac:dyDescent="0.3">
      <c r="A171" t="s">
        <v>130</v>
      </c>
      <c r="B171" s="4" t="s">
        <v>89</v>
      </c>
      <c r="C171" s="161">
        <v>15000</v>
      </c>
    </row>
    <row r="172" spans="1:3" x14ac:dyDescent="0.3">
      <c r="A172" t="s">
        <v>141</v>
      </c>
      <c r="B172" s="4" t="s">
        <v>89</v>
      </c>
      <c r="C172" s="161">
        <v>2835.06</v>
      </c>
    </row>
    <row r="173" spans="1:3" x14ac:dyDescent="0.3">
      <c r="A173" t="s">
        <v>45</v>
      </c>
      <c r="B173" s="4" t="s">
        <v>89</v>
      </c>
      <c r="C173" s="161">
        <v>25000</v>
      </c>
    </row>
    <row r="174" spans="1:3" x14ac:dyDescent="0.3">
      <c r="B174" s="4"/>
      <c r="C174" s="161"/>
    </row>
    <row r="175" spans="1:3" x14ac:dyDescent="0.3">
      <c r="A175" t="s">
        <v>24</v>
      </c>
      <c r="B175" s="4" t="s">
        <v>136</v>
      </c>
      <c r="C175" s="161">
        <v>776510.3060000001</v>
      </c>
    </row>
    <row r="179" spans="1:3" x14ac:dyDescent="0.3">
      <c r="A179" t="s">
        <v>137</v>
      </c>
      <c r="B179" t="s">
        <v>138</v>
      </c>
      <c r="C179" t="s">
        <v>139</v>
      </c>
    </row>
    <row r="180" spans="1:3" x14ac:dyDescent="0.3">
      <c r="A180" t="s">
        <v>142</v>
      </c>
      <c r="B180" s="163">
        <f>C158</f>
        <v>26778350</v>
      </c>
      <c r="C180" t="s">
        <v>7</v>
      </c>
    </row>
    <row r="181" spans="1:3" x14ac:dyDescent="0.3">
      <c r="A181" t="s">
        <v>143</v>
      </c>
      <c r="B181" s="21">
        <f>Parameters!B15</f>
        <v>38168112.600000001</v>
      </c>
      <c r="C181" t="s">
        <v>55</v>
      </c>
    </row>
    <row r="182" spans="1:3" x14ac:dyDescent="0.3">
      <c r="A182" t="s">
        <v>144</v>
      </c>
      <c r="B182" s="165">
        <f>Parameters!B18</f>
        <v>4.1000000000000002E-2</v>
      </c>
      <c r="C182" t="s">
        <v>7</v>
      </c>
    </row>
    <row r="183" spans="1:3" x14ac:dyDescent="0.3">
      <c r="A183" t="s">
        <v>145</v>
      </c>
      <c r="B183" s="162">
        <v>20</v>
      </c>
      <c r="C183" t="s">
        <v>36</v>
      </c>
    </row>
    <row r="184" spans="1:3" x14ac:dyDescent="0.3">
      <c r="A184" t="s">
        <v>6</v>
      </c>
      <c r="B184" s="21">
        <v>779461.9174177004</v>
      </c>
      <c r="C184" t="s">
        <v>7</v>
      </c>
    </row>
    <row r="185" spans="1:3" x14ac:dyDescent="0.3">
      <c r="A185" t="s">
        <v>12</v>
      </c>
      <c r="B185" s="160">
        <v>5.7226122506694788E-2</v>
      </c>
    </row>
    <row r="186" spans="1:3" x14ac:dyDescent="0.3">
      <c r="A186" t="s">
        <v>16</v>
      </c>
      <c r="B186" s="164">
        <v>1.1004203271360495</v>
      </c>
    </row>
    <row r="187" spans="1:3" x14ac:dyDescent="0.3">
      <c r="A187" t="s">
        <v>17</v>
      </c>
      <c r="B187" s="164">
        <v>1.3204246863262747</v>
      </c>
    </row>
  </sheetData>
  <pageMargins left="0.7" right="0.7" top="0.78740157499999996" bottom="0.78740157499999996" header="0.3" footer="0.3"/>
  <pageSetup paperSize="9" orientation="portrait" horizontalDpi="4294967293" verticalDpi="4294967293"/>
  <drawing r:id="rId1"/>
  <tableParts count="3">
    <tablePart r:id="rId2"/>
    <tablePart r:id="rId3"/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Kalkulation</vt:lpstr>
      <vt:lpstr>Daten</vt:lpstr>
      <vt:lpstr>Grafiken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Matthias Renke;Nils Post</dc:creator>
  <cp:keywords/>
  <dc:description/>
  <cp:lastModifiedBy>Karan Soni</cp:lastModifiedBy>
  <cp:revision/>
  <dcterms:created xsi:type="dcterms:W3CDTF">2014-07-11T08:19:30Z</dcterms:created>
  <dcterms:modified xsi:type="dcterms:W3CDTF">2024-12-25T11:31:54Z</dcterms:modified>
  <cp:category/>
  <cp:contentStatus/>
</cp:coreProperties>
</file>