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C:\Wind_Farm_Project_Development\Wind-Farm-Project-Development\Economic_analysis_of_wind_farms\"/>
    </mc:Choice>
  </mc:AlternateContent>
  <xr:revisionPtr revIDLastSave="0" documentId="13_ncr:1_{195ECA1A-8EB2-4263-BDB6-1E0BB480C0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 l="1"/>
  <c r="B15" i="1"/>
  <c r="S9" i="2"/>
  <c r="S12" i="2"/>
  <c r="S24" i="2"/>
  <c r="S36" i="2"/>
  <c r="S40" i="2"/>
  <c r="R9" i="2"/>
  <c r="R12" i="2"/>
  <c r="R24" i="2"/>
  <c r="R36" i="2"/>
  <c r="R40" i="2"/>
  <c r="Q9" i="2"/>
  <c r="Q12" i="2"/>
  <c r="Q24" i="2"/>
  <c r="Q36" i="2"/>
  <c r="Q40" i="2"/>
  <c r="P9" i="2"/>
  <c r="P12" i="2"/>
  <c r="P24" i="2"/>
  <c r="P36" i="2"/>
  <c r="P40" i="2"/>
  <c r="O9" i="2"/>
  <c r="O12" i="2"/>
  <c r="O24" i="2"/>
  <c r="O36" i="2"/>
  <c r="O40" i="2"/>
  <c r="N9" i="2"/>
  <c r="N12" i="2"/>
  <c r="N24" i="2"/>
  <c r="N36" i="2"/>
  <c r="N40" i="2"/>
  <c r="M9" i="2"/>
  <c r="M12" i="2"/>
  <c r="M24" i="2"/>
  <c r="M36" i="2"/>
  <c r="M40" i="2"/>
  <c r="L9" i="2"/>
  <c r="L12" i="2"/>
  <c r="L24" i="2"/>
  <c r="L36" i="2"/>
  <c r="L40" i="2"/>
  <c r="K9" i="2"/>
  <c r="K12" i="2"/>
  <c r="K24" i="2"/>
  <c r="K36" i="2"/>
  <c r="K40" i="2"/>
  <c r="J9" i="2"/>
  <c r="J12" i="2"/>
  <c r="J24" i="2"/>
  <c r="J36" i="2"/>
  <c r="J40" i="2"/>
  <c r="I9" i="2"/>
  <c r="I12" i="2"/>
  <c r="I24" i="2"/>
  <c r="I36" i="2"/>
  <c r="I40" i="2"/>
  <c r="H9" i="2"/>
  <c r="H12" i="2"/>
  <c r="H24" i="2"/>
  <c r="H36" i="2"/>
  <c r="H40" i="2"/>
  <c r="G9" i="2"/>
  <c r="G12" i="2"/>
  <c r="G24" i="2"/>
  <c r="G36" i="2"/>
  <c r="G40" i="2"/>
  <c r="F9" i="2"/>
  <c r="F12" i="2"/>
  <c r="F24" i="2"/>
  <c r="F36" i="2"/>
  <c r="F40" i="2"/>
  <c r="E9" i="2"/>
  <c r="E12" i="2"/>
  <c r="E24" i="2"/>
  <c r="E36" i="2"/>
  <c r="E40" i="2"/>
  <c r="D9" i="2"/>
  <c r="D12" i="2"/>
  <c r="D24" i="2"/>
  <c r="D36" i="2"/>
  <c r="D40" i="2"/>
  <c r="D42" i="2"/>
  <c r="E41" i="2"/>
  <c r="E42" i="2"/>
  <c r="F41" i="2"/>
  <c r="F42" i="2"/>
  <c r="G41" i="2"/>
  <c r="G42" i="2"/>
  <c r="H41" i="2"/>
  <c r="H42" i="2"/>
  <c r="I41" i="2"/>
  <c r="I42" i="2"/>
  <c r="J41" i="2"/>
  <c r="J42" i="2"/>
  <c r="K41" i="2"/>
  <c r="K42" i="2"/>
  <c r="L41" i="2"/>
  <c r="L42" i="2"/>
  <c r="M41" i="2"/>
  <c r="M42" i="2"/>
  <c r="N41" i="2"/>
  <c r="N42" i="2"/>
  <c r="O41" i="2"/>
  <c r="O42" i="2"/>
  <c r="P41" i="2"/>
  <c r="P42" i="2"/>
  <c r="Q41" i="2"/>
  <c r="Q42" i="2"/>
  <c r="R41" i="2"/>
  <c r="R42" i="2"/>
  <c r="S41" i="2"/>
  <c r="S42" i="2"/>
  <c r="S54" i="2"/>
  <c r="T9" i="2"/>
  <c r="T12" i="2"/>
  <c r="T24" i="2"/>
  <c r="T36" i="2"/>
  <c r="T40" i="2"/>
  <c r="T41" i="2"/>
  <c r="T42" i="2"/>
  <c r="T54" i="2"/>
  <c r="B38" i="1"/>
  <c r="D6" i="2"/>
  <c r="E6" i="2"/>
  <c r="F6" i="2"/>
  <c r="G6" i="2"/>
  <c r="H6" i="2"/>
  <c r="I6" i="2"/>
  <c r="J6" i="2"/>
  <c r="K6" i="2"/>
  <c r="L6" i="2"/>
  <c r="M6" i="2"/>
  <c r="N6" i="2"/>
  <c r="O6" i="2"/>
  <c r="P6" i="2"/>
  <c r="P18" i="2"/>
  <c r="P21" i="2"/>
  <c r="P10" i="2"/>
  <c r="B34" i="1"/>
  <c r="B39" i="1"/>
  <c r="G65" i="2"/>
  <c r="G66" i="2"/>
  <c r="H65" i="2"/>
  <c r="H66" i="2"/>
  <c r="I65" i="2"/>
  <c r="I66" i="2"/>
  <c r="J65" i="2"/>
  <c r="J66" i="2"/>
  <c r="K65" i="2"/>
  <c r="K66" i="2"/>
  <c r="L65" i="2"/>
  <c r="L66" i="2"/>
  <c r="M65" i="2"/>
  <c r="M66" i="2"/>
  <c r="N65" i="2"/>
  <c r="N66" i="2"/>
  <c r="O65" i="2"/>
  <c r="O66" i="2"/>
  <c r="P65" i="2"/>
  <c r="P66" i="2"/>
  <c r="P67" i="2"/>
  <c r="P60" i="2"/>
  <c r="P38" i="2"/>
  <c r="P39" i="2"/>
  <c r="O18" i="2"/>
  <c r="O21" i="2"/>
  <c r="O10" i="2"/>
  <c r="O67" i="2"/>
  <c r="O60" i="2"/>
  <c r="O38" i="2"/>
  <c r="O39" i="2"/>
  <c r="N18" i="2"/>
  <c r="N21" i="2"/>
  <c r="N10" i="2"/>
  <c r="N67" i="2"/>
  <c r="N60" i="2"/>
  <c r="N38" i="2"/>
  <c r="N39" i="2"/>
  <c r="M18" i="2"/>
  <c r="M21" i="2"/>
  <c r="M10" i="2"/>
  <c r="M67" i="2"/>
  <c r="M60" i="2"/>
  <c r="M38" i="2"/>
  <c r="M39" i="2"/>
  <c r="L18" i="2"/>
  <c r="L21" i="2"/>
  <c r="L10" i="2"/>
  <c r="L67" i="2"/>
  <c r="L60" i="2"/>
  <c r="L38" i="2"/>
  <c r="L39" i="2"/>
  <c r="K18" i="2"/>
  <c r="K21" i="2"/>
  <c r="K10" i="2"/>
  <c r="K67" i="2"/>
  <c r="K60" i="2"/>
  <c r="K38" i="2"/>
  <c r="K39" i="2"/>
  <c r="J18" i="2"/>
  <c r="J21" i="2"/>
  <c r="J10" i="2"/>
  <c r="J67" i="2"/>
  <c r="J60" i="2"/>
  <c r="J38" i="2"/>
  <c r="J39" i="2"/>
  <c r="I18" i="2"/>
  <c r="I21" i="2"/>
  <c r="I10" i="2"/>
  <c r="I67" i="2"/>
  <c r="I60" i="2"/>
  <c r="I38" i="2"/>
  <c r="I39" i="2"/>
  <c r="H18" i="2"/>
  <c r="H21" i="2"/>
  <c r="H10" i="2"/>
  <c r="H67" i="2"/>
  <c r="H60" i="2"/>
  <c r="H38" i="2"/>
  <c r="H39" i="2"/>
  <c r="G18" i="2"/>
  <c r="G21" i="2"/>
  <c r="G10" i="2"/>
  <c r="G67" i="2"/>
  <c r="G60" i="2"/>
  <c r="G38" i="2"/>
  <c r="G39" i="2"/>
  <c r="F18" i="2"/>
  <c r="F21" i="2"/>
  <c r="F10" i="2"/>
  <c r="F65" i="2"/>
  <c r="F67" i="2"/>
  <c r="F60" i="2"/>
  <c r="F38" i="2"/>
  <c r="F39" i="2"/>
  <c r="E18" i="2"/>
  <c r="E21" i="2"/>
  <c r="E10" i="2"/>
  <c r="E65" i="2"/>
  <c r="E67" i="2"/>
  <c r="E60" i="2"/>
  <c r="E38" i="2"/>
  <c r="E39" i="2"/>
  <c r="D18" i="2"/>
  <c r="D21" i="2"/>
  <c r="D10" i="2"/>
  <c r="D65" i="2"/>
  <c r="D67" i="2"/>
  <c r="D60" i="2"/>
  <c r="D38" i="2"/>
  <c r="D39" i="2"/>
  <c r="Q6" i="2"/>
  <c r="Q18" i="2"/>
  <c r="Q21" i="2"/>
  <c r="Q10" i="2"/>
  <c r="Q65" i="2"/>
  <c r="Q66" i="2"/>
  <c r="Q67" i="2"/>
  <c r="Q60" i="2"/>
  <c r="Q38" i="2"/>
  <c r="Q39" i="2"/>
  <c r="R6" i="2"/>
  <c r="R18" i="2"/>
  <c r="R21" i="2"/>
  <c r="R10" i="2"/>
  <c r="R65" i="2"/>
  <c r="R66" i="2"/>
  <c r="R67" i="2"/>
  <c r="R60" i="2"/>
  <c r="R38" i="2"/>
  <c r="R39" i="2"/>
  <c r="S6" i="2"/>
  <c r="S18" i="2"/>
  <c r="S21" i="2"/>
  <c r="S10" i="2"/>
  <c r="S65" i="2"/>
  <c r="S66" i="2"/>
  <c r="S67" i="2"/>
  <c r="S60" i="2"/>
  <c r="S38" i="2"/>
  <c r="S39" i="2"/>
  <c r="T6" i="2"/>
  <c r="T18" i="2"/>
  <c r="T21" i="2"/>
  <c r="T10" i="2"/>
  <c r="T65" i="2"/>
  <c r="T66" i="2"/>
  <c r="T67" i="2"/>
  <c r="T60" i="2"/>
  <c r="T38" i="2"/>
  <c r="T39" i="2"/>
  <c r="U6" i="2"/>
  <c r="U18" i="2"/>
  <c r="U21" i="2"/>
  <c r="U9" i="2"/>
  <c r="U10" i="2"/>
  <c r="U12" i="2"/>
  <c r="U24" i="2"/>
  <c r="U36" i="2"/>
  <c r="U65" i="2"/>
  <c r="U66" i="2"/>
  <c r="U67" i="2"/>
  <c r="U60" i="2"/>
  <c r="U38" i="2"/>
  <c r="U39" i="2"/>
  <c r="U40" i="2"/>
  <c r="U41" i="2"/>
  <c r="U42" i="2"/>
  <c r="U54" i="2"/>
  <c r="V6" i="2"/>
  <c r="V18" i="2"/>
  <c r="V21" i="2"/>
  <c r="V9" i="2"/>
  <c r="V10" i="2"/>
  <c r="V12" i="2"/>
  <c r="V24" i="2"/>
  <c r="V36" i="2"/>
  <c r="V65" i="2"/>
  <c r="V66" i="2"/>
  <c r="V67" i="2"/>
  <c r="V60" i="2"/>
  <c r="V38" i="2"/>
  <c r="V39" i="2"/>
  <c r="V40" i="2"/>
  <c r="V41" i="2"/>
  <c r="V42" i="2"/>
  <c r="V54" i="2"/>
  <c r="W6" i="2"/>
  <c r="W18" i="2"/>
  <c r="W21" i="2"/>
  <c r="W9" i="2"/>
  <c r="W10" i="2"/>
  <c r="W12" i="2"/>
  <c r="W24" i="2"/>
  <c r="W36" i="2"/>
  <c r="W65" i="2"/>
  <c r="W66" i="2"/>
  <c r="W67" i="2"/>
  <c r="W60" i="2"/>
  <c r="W38" i="2"/>
  <c r="W39" i="2"/>
  <c r="W40" i="2"/>
  <c r="W41" i="2"/>
  <c r="W42" i="2"/>
  <c r="W54" i="2"/>
  <c r="F100" i="4"/>
  <c r="F89" i="4"/>
  <c r="F87" i="4"/>
  <c r="C37" i="4"/>
  <c r="C41" i="4"/>
  <c r="C43" i="4"/>
  <c r="C54" i="4"/>
  <c r="C46" i="4"/>
  <c r="C50" i="4"/>
  <c r="C39" i="4"/>
  <c r="C63" i="4"/>
  <c r="C86" i="4"/>
  <c r="C32" i="4"/>
  <c r="C53" i="4"/>
  <c r="C87" i="4"/>
  <c r="C89" i="4"/>
  <c r="C100" i="4"/>
  <c r="B26" i="1"/>
  <c r="L21" i="1"/>
  <c r="L20" i="1"/>
  <c r="L22" i="1"/>
  <c r="B25" i="1"/>
  <c r="L23" i="1"/>
  <c r="L24" i="1"/>
  <c r="L25" i="1"/>
  <c r="L26" i="1"/>
  <c r="F45" i="2"/>
  <c r="F46" i="2"/>
  <c r="F47" i="2"/>
  <c r="F48" i="2"/>
  <c r="F49" i="2"/>
  <c r="F50" i="2"/>
  <c r="F51" i="2"/>
  <c r="F52" i="2"/>
  <c r="L27" i="1"/>
  <c r="L28" i="1"/>
  <c r="D45" i="2"/>
  <c r="D46" i="2"/>
  <c r="D47" i="2"/>
  <c r="D48" i="2"/>
  <c r="D49" i="2"/>
  <c r="D50" i="2"/>
  <c r="D51" i="2"/>
  <c r="D52" i="2"/>
  <c r="J27" i="1"/>
  <c r="J20" i="1"/>
  <c r="J21" i="1"/>
  <c r="J22" i="1"/>
  <c r="J23" i="1"/>
  <c r="J24" i="1"/>
  <c r="J25" i="1"/>
  <c r="J26" i="1"/>
  <c r="I97" i="4"/>
  <c r="I96" i="4"/>
  <c r="F97" i="4"/>
  <c r="F96" i="4"/>
  <c r="F93" i="4"/>
  <c r="F88" i="4"/>
  <c r="C34" i="4"/>
  <c r="C35" i="4"/>
  <c r="C36" i="4"/>
  <c r="C38" i="4"/>
  <c r="C42" i="4"/>
  <c r="C44" i="4"/>
  <c r="C45" i="4"/>
  <c r="C47" i="4"/>
  <c r="C48" i="4"/>
  <c r="C49" i="4"/>
  <c r="C51" i="4"/>
  <c r="B14" i="1"/>
  <c r="B9" i="1"/>
  <c r="C40" i="4"/>
  <c r="C88" i="4"/>
  <c r="C93" i="4"/>
  <c r="C96" i="4"/>
  <c r="C97" i="4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8" i="2"/>
  <c r="D59" i="2"/>
  <c r="E59" i="2"/>
  <c r="F59" i="2"/>
  <c r="B180" i="5"/>
  <c r="B182" i="5"/>
  <c r="B70" i="1"/>
  <c r="B181" i="5"/>
  <c r="K43" i="1"/>
  <c r="L43" i="1"/>
  <c r="J43" i="1"/>
  <c r="B44" i="1"/>
  <c r="C27" i="4"/>
  <c r="C25" i="4"/>
  <c r="C26" i="4"/>
  <c r="C16" i="4"/>
  <c r="H12" i="4"/>
  <c r="H22" i="4"/>
  <c r="H23" i="4"/>
  <c r="C17" i="4"/>
  <c r="C18" i="4"/>
  <c r="C19" i="4"/>
  <c r="C20" i="4"/>
  <c r="D71" i="4"/>
  <c r="C67" i="4"/>
  <c r="D72" i="4"/>
  <c r="C76" i="4"/>
  <c r="C65" i="4"/>
  <c r="A56" i="2"/>
  <c r="C78" i="2"/>
  <c r="B46" i="1"/>
  <c r="D72" i="2"/>
  <c r="D74" i="2"/>
  <c r="D75" i="2"/>
  <c r="F72" i="2"/>
  <c r="F74" i="2"/>
  <c r="F75" i="2"/>
  <c r="E72" i="2"/>
  <c r="E74" i="2"/>
  <c r="E75" i="2"/>
  <c r="G7" i="1"/>
  <c r="B52" i="1"/>
  <c r="G72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C17" i="2"/>
  <c r="F58" i="2"/>
  <c r="D58" i="2"/>
  <c r="E58" i="2"/>
  <c r="Y75" i="2"/>
  <c r="G74" i="2"/>
  <c r="J26" i="2"/>
  <c r="P23" i="1"/>
  <c r="L26" i="2"/>
  <c r="R23" i="1"/>
  <c r="D26" i="2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I26" i="2"/>
  <c r="O23" i="1"/>
  <c r="C21" i="2"/>
  <c r="C24" i="2"/>
  <c r="C28" i="2"/>
  <c r="E68" i="2"/>
  <c r="E61" i="2"/>
  <c r="D68" i="2"/>
  <c r="D61" i="2"/>
  <c r="F68" i="2"/>
  <c r="F61" i="2"/>
  <c r="J39" i="1"/>
  <c r="G73" i="2"/>
  <c r="C31" i="2"/>
  <c r="K20" i="1"/>
  <c r="K38" i="1"/>
  <c r="L42" i="1"/>
  <c r="J42" i="1"/>
  <c r="K42" i="1"/>
  <c r="K21" i="1"/>
  <c r="K22" i="1"/>
  <c r="K24" i="1"/>
  <c r="K39" i="1"/>
  <c r="G58" i="2"/>
  <c r="H72" i="2"/>
  <c r="G59" i="2"/>
  <c r="M43" i="1"/>
  <c r="E28" i="2"/>
  <c r="F28" i="2"/>
  <c r="L38" i="1"/>
  <c r="L39" i="1"/>
  <c r="J38" i="1"/>
  <c r="M42" i="1"/>
  <c r="H74" i="2"/>
  <c r="H58" i="2"/>
  <c r="D28" i="2"/>
  <c r="M39" i="1"/>
  <c r="G68" i="2"/>
  <c r="G61" i="2"/>
  <c r="M21" i="1"/>
  <c r="N42" i="1"/>
  <c r="H73" i="2"/>
  <c r="I72" i="2"/>
  <c r="K25" i="1"/>
  <c r="K26" i="1"/>
  <c r="N20" i="1"/>
  <c r="N38" i="1"/>
  <c r="M38" i="1"/>
  <c r="M20" i="1"/>
  <c r="M22" i="1"/>
  <c r="M24" i="1"/>
  <c r="N39" i="1"/>
  <c r="H68" i="2"/>
  <c r="H61" i="2"/>
  <c r="H28" i="2"/>
  <c r="I28" i="2"/>
  <c r="N21" i="1"/>
  <c r="N22" i="1"/>
  <c r="N24" i="1"/>
  <c r="H59" i="2"/>
  <c r="N43" i="1"/>
  <c r="I74" i="2"/>
  <c r="I58" i="2"/>
  <c r="G28" i="2"/>
  <c r="O38" i="1"/>
  <c r="O20" i="1"/>
  <c r="O21" i="1"/>
  <c r="I68" i="2"/>
  <c r="I61" i="2"/>
  <c r="O39" i="1"/>
  <c r="E49" i="2"/>
  <c r="I73" i="2"/>
  <c r="P39" i="1"/>
  <c r="O22" i="1"/>
  <c r="O24" i="1"/>
  <c r="P20" i="1"/>
  <c r="P38" i="1"/>
  <c r="J68" i="2"/>
  <c r="J61" i="2"/>
  <c r="P21" i="1"/>
  <c r="E45" i="2"/>
  <c r="E46" i="2"/>
  <c r="O42" i="1"/>
  <c r="E51" i="2"/>
  <c r="E50" i="2"/>
  <c r="J72" i="2"/>
  <c r="I59" i="2"/>
  <c r="O43" i="1"/>
  <c r="J28" i="2"/>
  <c r="P22" i="1"/>
  <c r="P24" i="1"/>
  <c r="Q38" i="1"/>
  <c r="Q20" i="1"/>
  <c r="Q39" i="1"/>
  <c r="K68" i="2"/>
  <c r="K61" i="2"/>
  <c r="Q21" i="1"/>
  <c r="Q22" i="1"/>
  <c r="Q24" i="1"/>
  <c r="E47" i="2"/>
  <c r="E48" i="2"/>
  <c r="E52" i="2"/>
  <c r="J58" i="2"/>
  <c r="J74" i="2"/>
  <c r="K28" i="2"/>
  <c r="R21" i="1"/>
  <c r="R20" i="1"/>
  <c r="R38" i="1"/>
  <c r="L68" i="2"/>
  <c r="R39" i="1"/>
  <c r="L61" i="2"/>
  <c r="E30" i="2"/>
  <c r="E31" i="2"/>
  <c r="D30" i="2"/>
  <c r="D31" i="2"/>
  <c r="J40" i="1"/>
  <c r="J41" i="1"/>
  <c r="J44" i="1"/>
  <c r="J28" i="1"/>
  <c r="J73" i="2"/>
  <c r="L28" i="2"/>
  <c r="R22" i="1"/>
  <c r="R24" i="1"/>
  <c r="S21" i="1"/>
  <c r="S20" i="1"/>
  <c r="S38" i="1"/>
  <c r="M68" i="2"/>
  <c r="M61" i="2"/>
  <c r="E78" i="2"/>
  <c r="E81" i="2"/>
  <c r="E84" i="2"/>
  <c r="D78" i="2"/>
  <c r="D81" i="2"/>
  <c r="D84" i="2"/>
  <c r="S39" i="1"/>
  <c r="K27" i="1"/>
  <c r="P42" i="1"/>
  <c r="K72" i="2"/>
  <c r="J59" i="2"/>
  <c r="P43" i="1"/>
  <c r="S22" i="1"/>
  <c r="S24" i="1"/>
  <c r="M28" i="2"/>
  <c r="T38" i="1"/>
  <c r="T20" i="1"/>
  <c r="T21" i="1"/>
  <c r="T39" i="1"/>
  <c r="N68" i="2"/>
  <c r="N61" i="2"/>
  <c r="K40" i="1"/>
  <c r="K41" i="1"/>
  <c r="K44" i="1"/>
  <c r="K28" i="1"/>
  <c r="K74" i="2"/>
  <c r="K58" i="2"/>
  <c r="M25" i="1"/>
  <c r="M26" i="1"/>
  <c r="G45" i="2"/>
  <c r="G46" i="2"/>
  <c r="N28" i="2"/>
  <c r="T22" i="1"/>
  <c r="T24" i="1"/>
  <c r="U21" i="1"/>
  <c r="U39" i="1"/>
  <c r="U38" i="1"/>
  <c r="U20" i="1"/>
  <c r="O68" i="2"/>
  <c r="O61" i="2"/>
  <c r="Q42" i="1"/>
  <c r="L40" i="1"/>
  <c r="L41" i="1"/>
  <c r="L44" i="1"/>
  <c r="F30" i="2"/>
  <c r="F31" i="2"/>
  <c r="G49" i="2"/>
  <c r="K73" i="2"/>
  <c r="O28" i="2"/>
  <c r="V21" i="1"/>
  <c r="V39" i="1"/>
  <c r="P28" i="2"/>
  <c r="V20" i="1"/>
  <c r="V38" i="1"/>
  <c r="U22" i="1"/>
  <c r="U24" i="1"/>
  <c r="P68" i="2"/>
  <c r="F78" i="2"/>
  <c r="F81" i="2"/>
  <c r="F84" i="2"/>
  <c r="G51" i="2"/>
  <c r="G50" i="2"/>
  <c r="G47" i="2"/>
  <c r="G48" i="2"/>
  <c r="P61" i="2"/>
  <c r="L72" i="2"/>
  <c r="K59" i="2"/>
  <c r="Q43" i="1"/>
  <c r="N25" i="1"/>
  <c r="N26" i="1"/>
  <c r="V22" i="1"/>
  <c r="V24" i="1"/>
  <c r="W20" i="1"/>
  <c r="W38" i="1"/>
  <c r="W21" i="1"/>
  <c r="Q68" i="2"/>
  <c r="Q61" i="2"/>
  <c r="W39" i="1"/>
  <c r="G52" i="2"/>
  <c r="H45" i="2"/>
  <c r="H46" i="2"/>
  <c r="H49" i="2"/>
  <c r="L74" i="2"/>
  <c r="L58" i="2"/>
  <c r="Q28" i="2"/>
  <c r="X20" i="1"/>
  <c r="X38" i="1"/>
  <c r="X21" i="1"/>
  <c r="W22" i="1"/>
  <c r="W24" i="1"/>
  <c r="R68" i="2"/>
  <c r="R61" i="2"/>
  <c r="X39" i="1"/>
  <c r="R42" i="1"/>
  <c r="G30" i="2"/>
  <c r="G31" i="2"/>
  <c r="M27" i="1"/>
  <c r="H51" i="2"/>
  <c r="H50" i="2"/>
  <c r="H47" i="2"/>
  <c r="H48" i="2"/>
  <c r="L73" i="2"/>
  <c r="R28" i="2"/>
  <c r="X22" i="1"/>
  <c r="X24" i="1"/>
  <c r="Y39" i="1"/>
  <c r="Y38" i="1"/>
  <c r="Y20" i="1"/>
  <c r="S68" i="2"/>
  <c r="S61" i="2"/>
  <c r="Y21" i="1"/>
  <c r="H52" i="2"/>
  <c r="M28" i="1"/>
  <c r="M40" i="1"/>
  <c r="M41" i="1"/>
  <c r="M44" i="1"/>
  <c r="G84" i="2"/>
  <c r="G78" i="2"/>
  <c r="G81" i="2"/>
  <c r="O25" i="1"/>
  <c r="O26" i="1"/>
  <c r="M72" i="2"/>
  <c r="L59" i="2"/>
  <c r="R43" i="1"/>
  <c r="S28" i="2"/>
  <c r="Y22" i="1"/>
  <c r="Y24" i="1"/>
  <c r="Z21" i="1"/>
  <c r="Z39" i="1"/>
  <c r="Z38" i="1"/>
  <c r="Z20" i="1"/>
  <c r="T68" i="2"/>
  <c r="T61" i="2"/>
  <c r="H30" i="2"/>
  <c r="H31" i="2"/>
  <c r="N27" i="1"/>
  <c r="I49" i="2"/>
  <c r="I45" i="2"/>
  <c r="I46" i="2"/>
  <c r="M74" i="2"/>
  <c r="M58" i="2"/>
  <c r="T28" i="2"/>
  <c r="AA39" i="1"/>
  <c r="U28" i="2"/>
  <c r="AA20" i="1"/>
  <c r="AA38" i="1"/>
  <c r="Z22" i="1"/>
  <c r="Z24" i="1"/>
  <c r="U68" i="2"/>
  <c r="AA21" i="1"/>
  <c r="N28" i="1"/>
  <c r="N40" i="1"/>
  <c r="N41" i="1"/>
  <c r="N44" i="1"/>
  <c r="H84" i="2"/>
  <c r="H78" i="2"/>
  <c r="H81" i="2"/>
  <c r="S42" i="1"/>
  <c r="I51" i="2"/>
  <c r="I50" i="2"/>
  <c r="I47" i="2"/>
  <c r="I48" i="2"/>
  <c r="U61" i="2"/>
  <c r="M73" i="2"/>
  <c r="AA22" i="1"/>
  <c r="AA24" i="1"/>
  <c r="AB21" i="1"/>
  <c r="AB39" i="1"/>
  <c r="AB20" i="1"/>
  <c r="AB38" i="1"/>
  <c r="V68" i="2"/>
  <c r="V61" i="2"/>
  <c r="I52" i="2"/>
  <c r="P25" i="1"/>
  <c r="P26" i="1"/>
  <c r="N72" i="2"/>
  <c r="M59" i="2"/>
  <c r="S43" i="1"/>
  <c r="AB22" i="1"/>
  <c r="AB24" i="1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N74" i="2"/>
  <c r="N58" i="2"/>
  <c r="W28" i="2"/>
  <c r="AC22" i="1"/>
  <c r="AC24" i="1"/>
  <c r="O28" i="1"/>
  <c r="O40" i="1"/>
  <c r="O41" i="1"/>
  <c r="O44" i="1"/>
  <c r="T42" i="1"/>
  <c r="J51" i="2"/>
  <c r="J50" i="2"/>
  <c r="J47" i="2"/>
  <c r="J48" i="2"/>
  <c r="N73" i="2"/>
  <c r="N59" i="2"/>
  <c r="T43" i="1"/>
  <c r="J52" i="2"/>
  <c r="O72" i="2"/>
  <c r="O74" i="2"/>
  <c r="Q25" i="1"/>
  <c r="Q26" i="1"/>
  <c r="P27" i="1"/>
  <c r="J30" i="2"/>
  <c r="J31" i="2"/>
  <c r="U42" i="1"/>
  <c r="K49" i="2"/>
  <c r="K45" i="2"/>
  <c r="K46" i="2"/>
  <c r="O58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P72" i="2"/>
  <c r="O59" i="2"/>
  <c r="U43" i="1"/>
  <c r="K52" i="2"/>
  <c r="L45" i="2"/>
  <c r="L46" i="2"/>
  <c r="L49" i="2"/>
  <c r="P74" i="2"/>
  <c r="P58" i="2"/>
  <c r="K30" i="2"/>
  <c r="K31" i="2"/>
  <c r="Q27" i="1"/>
  <c r="V42" i="1"/>
  <c r="L51" i="2"/>
  <c r="L50" i="2"/>
  <c r="L47" i="2"/>
  <c r="L48" i="2"/>
  <c r="P73" i="2"/>
  <c r="L52" i="2"/>
  <c r="Q40" i="1"/>
  <c r="Q41" i="1"/>
  <c r="Q44" i="1"/>
  <c r="Q28" i="1"/>
  <c r="K84" i="2"/>
  <c r="K78" i="2"/>
  <c r="K81" i="2"/>
  <c r="Q72" i="2"/>
  <c r="P59" i="2"/>
  <c r="V43" i="1"/>
  <c r="S25" i="1"/>
  <c r="S26" i="1"/>
  <c r="L30" i="2"/>
  <c r="L31" i="2"/>
  <c r="R27" i="1"/>
  <c r="M49" i="2"/>
  <c r="M45" i="2"/>
  <c r="M46" i="2"/>
  <c r="Q74" i="2"/>
  <c r="Q58" i="2"/>
  <c r="R28" i="1"/>
  <c r="R40" i="1"/>
  <c r="R41" i="1"/>
  <c r="R44" i="1"/>
  <c r="W42" i="1"/>
  <c r="L84" i="2"/>
  <c r="L78" i="2"/>
  <c r="L81" i="2"/>
  <c r="M51" i="2"/>
  <c r="M50" i="2"/>
  <c r="M47" i="2"/>
  <c r="M48" i="2"/>
  <c r="Q73" i="2"/>
  <c r="Q59" i="2"/>
  <c r="W43" i="1"/>
  <c r="M52" i="2"/>
  <c r="R72" i="2"/>
  <c r="R74" i="2"/>
  <c r="T25" i="1"/>
  <c r="T26" i="1"/>
  <c r="X42" i="1"/>
  <c r="S27" i="1"/>
  <c r="M30" i="2"/>
  <c r="M31" i="2"/>
  <c r="M84" i="2"/>
  <c r="N49" i="2"/>
  <c r="R58" i="2"/>
  <c r="R73" i="2"/>
  <c r="M78" i="2"/>
  <c r="M81" i="2"/>
  <c r="S40" i="1"/>
  <c r="S41" i="1"/>
  <c r="S44" i="1"/>
  <c r="S28" i="1"/>
  <c r="N51" i="2"/>
  <c r="N50" i="2"/>
  <c r="S72" i="2"/>
  <c r="R59" i="2"/>
  <c r="X43" i="1"/>
  <c r="U25" i="1"/>
  <c r="U26" i="1"/>
  <c r="N52" i="2"/>
  <c r="O49" i="2"/>
  <c r="O45" i="2"/>
  <c r="O46" i="2"/>
  <c r="S74" i="2"/>
  <c r="S58" i="2"/>
  <c r="T27" i="1"/>
  <c r="T28" i="1"/>
  <c r="N30" i="2"/>
  <c r="N31" i="2"/>
  <c r="N84" i="2"/>
  <c r="Y42" i="1"/>
  <c r="O51" i="2"/>
  <c r="O50" i="2"/>
  <c r="O47" i="2"/>
  <c r="O48" i="2"/>
  <c r="S73" i="2"/>
  <c r="N78" i="2"/>
  <c r="N81" i="2"/>
  <c r="T40" i="1"/>
  <c r="T41" i="1"/>
  <c r="T44" i="1"/>
  <c r="O52" i="2"/>
  <c r="T72" i="2"/>
  <c r="S59" i="2"/>
  <c r="Y43" i="1"/>
  <c r="V25" i="1"/>
  <c r="V26" i="1"/>
  <c r="O30" i="2"/>
  <c r="O31" i="2"/>
  <c r="O84" i="2"/>
  <c r="U27" i="1"/>
  <c r="U40" i="1"/>
  <c r="U41" i="1"/>
  <c r="U44" i="1"/>
  <c r="P45" i="2"/>
  <c r="P46" i="2"/>
  <c r="P49" i="2"/>
  <c r="T74" i="2"/>
  <c r="T58" i="2"/>
  <c r="U28" i="1"/>
  <c r="O78" i="2"/>
  <c r="O81" i="2"/>
  <c r="Z42" i="1"/>
  <c r="P51" i="2"/>
  <c r="P50" i="2"/>
  <c r="P47" i="2"/>
  <c r="P48" i="2"/>
  <c r="T73" i="2"/>
  <c r="T59" i="2"/>
  <c r="Z43" i="1"/>
  <c r="P52" i="2"/>
  <c r="U72" i="2"/>
  <c r="U74" i="2"/>
  <c r="U58" i="2"/>
  <c r="W25" i="1"/>
  <c r="W26" i="1"/>
  <c r="AA42" i="1"/>
  <c r="P30" i="2"/>
  <c r="P31" i="2"/>
  <c r="V27" i="1"/>
  <c r="Q49" i="2"/>
  <c r="Q45" i="2"/>
  <c r="Q46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Q52" i="2"/>
  <c r="V74" i="2"/>
  <c r="V58" i="2"/>
  <c r="AB42" i="1"/>
  <c r="W27" i="1"/>
  <c r="Q30" i="2"/>
  <c r="Q31" i="2"/>
  <c r="V73" i="2"/>
  <c r="Q84" i="2"/>
  <c r="Q78" i="2"/>
  <c r="Q81" i="2"/>
  <c r="W28" i="1"/>
  <c r="W40" i="1"/>
  <c r="W41" i="1"/>
  <c r="W44" i="1"/>
  <c r="W72" i="2"/>
  <c r="V59" i="2"/>
  <c r="AB43" i="1"/>
  <c r="Y25" i="1"/>
  <c r="Y26" i="1"/>
  <c r="R30" i="2"/>
  <c r="R31" i="2"/>
  <c r="R84" i="2"/>
  <c r="X27" i="1"/>
  <c r="X40" i="1"/>
  <c r="X41" i="1"/>
  <c r="X44" i="1"/>
  <c r="W74" i="2"/>
  <c r="G6" i="1"/>
  <c r="G9" i="1"/>
  <c r="W58" i="2"/>
  <c r="X28" i="1"/>
  <c r="R78" i="2"/>
  <c r="R81" i="2"/>
  <c r="AC42" i="1"/>
  <c r="W73" i="2"/>
  <c r="Z25" i="1"/>
  <c r="Z26" i="1"/>
  <c r="W59" i="2"/>
  <c r="AC43" i="1"/>
  <c r="Y27" i="1"/>
  <c r="S30" i="2"/>
  <c r="S31" i="2"/>
  <c r="S84" i="2"/>
  <c r="S78" i="2"/>
  <c r="S81" i="2"/>
  <c r="Y28" i="1"/>
  <c r="Y40" i="1"/>
  <c r="Y41" i="1"/>
  <c r="Y44" i="1"/>
  <c r="Z27" i="1"/>
  <c r="AA25" i="1"/>
  <c r="AA26" i="1"/>
  <c r="Z28" i="1"/>
  <c r="Z40" i="1"/>
  <c r="Z41" i="1"/>
  <c r="Z44" i="1"/>
  <c r="T30" i="2"/>
  <c r="T31" i="2"/>
  <c r="T84" i="2"/>
  <c r="T78" i="2"/>
  <c r="T81" i="2"/>
  <c r="AB25" i="1"/>
  <c r="AB26" i="1"/>
  <c r="AA27" i="1"/>
  <c r="U30" i="2"/>
  <c r="U31" i="2"/>
  <c r="AC25" i="1"/>
  <c r="AC26" i="1"/>
  <c r="AB27" i="1"/>
  <c r="U84" i="2"/>
  <c r="U78" i="2"/>
  <c r="U81" i="2"/>
  <c r="AA40" i="1"/>
  <c r="AA41" i="1"/>
  <c r="AA44" i="1"/>
  <c r="AA28" i="1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<sst xmlns="http://schemas.openxmlformats.org/spreadsheetml/2006/main" count="494" uniqueCount="274">
  <si>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</si>
  <si>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</si>
  <si>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</si>
  <si>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</si>
  <si>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</si>
  <si>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</si>
  <si>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</si>
  <si>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</si>
  <si>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</si>
  <si>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</si>
  <si>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</si>
  <si>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</si>
  <si>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</si>
  <si>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</si>
  <si>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</si>
  <si>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</si>
  <si>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</si>
  <si>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</si>
  <si>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</si>
  <si>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</si>
  <si>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</si>
  <si>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</si>
  <si>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</si>
  <si>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</si>
  <si>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</si>
  <si>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</si>
  <si>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</si>
  <si>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</si>
  <si>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</si>
  <si>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</si>
  <si>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</si>
  <si>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</si>
  <si>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</si>
  <si>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</si>
  <si>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</si>
  <si>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</si>
  <si>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</si>
  <si>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</si>
  <si>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</si>
  <si>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</si>
  <si>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</si>
  <si>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</si>
  <si>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</si>
  <si>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</si>
  <si>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</si>
  <si>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</si>
  <si>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</si>
  <si>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</si>
  <si>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</si>
  <si>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</si>
  <si>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</si>
  <si>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</si>
  <si>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</si>
  <si>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</si>
  <si>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</si>
  <si>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</si>
  <si>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</si>
  <si>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</si>
  <si>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</si>
  <si>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</si>
  <si>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</si>
  <si>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</si>
  <si>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</si>
  <si>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</si>
  <si>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</si>
  <si>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</si>
  <si>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</si>
  <si>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</si>
  <si>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</si>
  <si>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</si>
  <si>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</si>
  <si>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</si>
  <si>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</si>
  <si>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</si>
  <si>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</si>
  <si>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</si>
  <si>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</si>
  <si>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</si>
  <si>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</si>
  <si>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</si>
  <si>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</si>
  <si>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</si>
  <si>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</si>
  <si>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</si>
  <si>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</si>
  <si>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</si>
  <si>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</si>
  <si>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</si>
  <si>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</si>
  <si>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</si>
  <si>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</si>
  <si>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</si>
  <si>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</si>
  <si>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</si>
  <si>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</si>
  <si>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</si>
  <si>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</si>
  <si>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</si>
  <si>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</si>
  <si>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</si>
  <si>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</si>
  <si>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</si>
  <si>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</si>
  <si>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</si>
  <si>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</si>
  <si>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</si>
  <si>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</si>
  <si>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</si>
  <si>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</si>
  <si>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</si>
  <si>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</si>
  <si>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</si>
  <si>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</si>
  <si>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</si>
  <si>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</si>
  <si>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</si>
  <si>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</si>
  <si>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</si>
  <si>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</si>
  <si>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</si>
  <si>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</si>
  <si>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</si>
  <si>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</si>
  <si>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</si>
  <si>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</si>
  <si>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</si>
  <si>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</si>
  <si>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</si>
  <si>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</si>
  <si>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</si>
  <si>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</si>
  <si>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</si>
  <si>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</si>
  <si>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</si>
  <si>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</si>
  <si>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</si>
  <si>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</si>
  <si>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</si>
  <si>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</si>
  <si>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</si>
  <si>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</si>
  <si>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</si>
  <si>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</si>
  <si>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</si>
  <si>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</si>
  <si>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</si>
  <si>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</si>
  <si>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</si>
  <si>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</si>
  <si>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</si>
  <si>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</si>
  <si>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</si>
  <si>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</si>
  <si>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</si>
  <si>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</si>
  <si>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</si>
  <si>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</si>
  <si>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</si>
  <si>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</si>
  <si>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</si>
  <si>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</si>
  <si>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</si>
  <si>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</si>
  <si>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</si>
  <si>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</si>
  <si>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</si>
  <si>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</si>
  <si>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</si>
  <si>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</si>
  <si>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</si>
  <si>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</si>
  <si>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</si>
  <si>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</si>
  <si>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</si>
  <si>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</si>
  <si>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</si>
  <si>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</si>
  <si>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</si>
  <si>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</si>
  <si>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</si>
  <si>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</si>
  <si>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</si>
  <si>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</si>
  <si>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</si>
  <si>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</si>
  <si>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</si>
  <si>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</si>
  <si>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</si>
  <si>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</si>
  <si>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</si>
  <si>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</si>
  <si>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</si>
  <si>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</si>
  <si>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</si>
  <si>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</si>
  <si>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</si>
  <si>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</si>
  <si>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</si>
  <si>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</si>
  <si>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</si>
  <si>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</si>
  <si>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</si>
  <si>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</si>
  <si>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</si>
  <si>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</si>
  <si>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</si>
  <si>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</si>
  <si>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</si>
  <si>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</si>
  <si>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</si>
  <si>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</si>
  <si>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</si>
  <si>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</si>
  <si>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</si>
  <si>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</si>
  <si>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</si>
  <si>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</si>
  <si>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</si>
  <si>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</si>
  <si>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</si>
  <si>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</si>
  <si>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</si>
  <si>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</si>
  <si>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</si>
  <si>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</si>
  <si>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</si>
  <si>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</si>
  <si>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</si>
  <si>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</si>
  <si>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</si>
  <si>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</si>
  <si>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</si>
  <si>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</si>
  <si>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</si>
  <si>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</si>
  <si>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</si>
  <si>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</si>
  <si>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</si>
  <si>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</si>
  <si>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</si>
  <si>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</si>
  <si>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</si>
  <si>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</si>
  <si>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</si>
  <si>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</si>
  <si>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</si>
  <si>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</si>
  <si>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</si>
  <si>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</si>
  <si>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</si>
  <si>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</si>
  <si>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</si>
  <si>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</si>
  <si>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</si>
  <si>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</si>
  <si>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</si>
  <si>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</si>
  <si>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</si>
  <si>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</si>
  <si>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</si>
  <si>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</si>
  <si>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</si>
  <si>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</si>
  <si>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</si>
  <si>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</si>
  <si>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</si>
  <si>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India Inflation Rate 1960-2024 | MacroTrends</t>
  </si>
  <si>
    <t>Ref. PDF</t>
  </si>
  <si>
    <t>https://www.mercomindia.com/gujarat-tariff-wind-projects-2027</t>
  </si>
  <si>
    <t>GERC Updates Regulations for Small Wind Projects - Asia Pacific | Energetica India Magazine</t>
  </si>
  <si>
    <t>(Last 10 years averages)</t>
  </si>
  <si>
    <t>TIC/ DP</t>
  </si>
  <si>
    <t>https://www.utilitysmarts.com/renewables/wind-power/what-is-the-cost-of-wind-turbine-in-india/#google_vignette</t>
  </si>
  <si>
    <t>3 Rs/kwh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</si>
</sst>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16" fillId="0" borderId="0" xfId="3"/>
    <xf numFmtId="0" fontId="0" fillId="9" borderId="0" xfId="0" applyFill="1" applyAlignment="1">
      <alignment horizontal="right"/>
    </xf>
    <xf numFmtId="167" fontId="0" fillId="9" borderId="0" xfId="1" applyNumberFormat="1" applyFont="1" applyFill="1"/>
    <xf numFmtId="3" fontId="0" fillId="9" borderId="0" xfId="0" applyNumberFormat="1" applyFill="1"/>
    <xf numFmtId="3" fontId="2" fillId="9" borderId="35" xfId="0" applyNumberFormat="1" applyFont="1" applyFill="1" applyBorder="1"/>
    <xf numFmtId="0" fontId="2" fillId="9" borderId="35" xfId="0" applyFont="1" applyFill="1" applyBorder="1" applyAlignment="1">
      <alignment horizontal="right"/>
    </xf>
    <xf numFmtId="0" fontId="16" fillId="0" borderId="0" xfId="3" applyFill="1" applyBorder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1288523.3130000001</c:v>
                </c:pt>
                <c:pt idx="1">
                  <c:v>1288523.3130000001</c:v>
                </c:pt>
                <c:pt idx="2">
                  <c:v>1288523.3130000001</c:v>
                </c:pt>
                <c:pt idx="3">
                  <c:v>1288523.3130000001</c:v>
                </c:pt>
                <c:pt idx="4">
                  <c:v>1288523.3130000001</c:v>
                </c:pt>
                <c:pt idx="5">
                  <c:v>1288523.3130000001</c:v>
                </c:pt>
                <c:pt idx="6">
                  <c:v>1288523.3130000001</c:v>
                </c:pt>
                <c:pt idx="7">
                  <c:v>1288523.3130000001</c:v>
                </c:pt>
                <c:pt idx="8">
                  <c:v>1288523.3130000001</c:v>
                </c:pt>
                <c:pt idx="9">
                  <c:v>1288523.3130000001</c:v>
                </c:pt>
                <c:pt idx="10">
                  <c:v>1288523.3130000001</c:v>
                </c:pt>
                <c:pt idx="11">
                  <c:v>1288523.3130000001</c:v>
                </c:pt>
                <c:pt idx="12">
                  <c:v>1288523.3130000001</c:v>
                </c:pt>
                <c:pt idx="13">
                  <c:v>1288523.3130000001</c:v>
                </c:pt>
                <c:pt idx="14">
                  <c:v>1288523.3130000001</c:v>
                </c:pt>
                <c:pt idx="15">
                  <c:v>1288523.3130000001</c:v>
                </c:pt>
                <c:pt idx="16">
                  <c:v>1288523.3130000001</c:v>
                </c:pt>
                <c:pt idx="17">
                  <c:v>1288523.3130000001</c:v>
                </c:pt>
                <c:pt idx="18">
                  <c:v>1288523.3130000001</c:v>
                </c:pt>
                <c:pt idx="19">
                  <c:v>1288523.3130000001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Income in 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260419.05</c:v>
                </c:pt>
                <c:pt idx="1">
                  <c:v>266117.77717050002</c:v>
                </c:pt>
                <c:pt idx="2">
                  <c:v>272110.61565026949</c:v>
                </c:pt>
                <c:pt idx="3">
                  <c:v>128412.7445239799</c:v>
                </c:pt>
                <c:pt idx="4">
                  <c:v>135040.12626886248</c:v>
                </c:pt>
                <c:pt idx="5">
                  <c:v>142009.54718559847</c:v>
                </c:pt>
                <c:pt idx="6">
                  <c:v>149338.65991584721</c:v>
                </c:pt>
                <c:pt idx="7">
                  <c:v>157046.02815410407</c:v>
                </c:pt>
                <c:pt idx="8">
                  <c:v>165151.17366713737</c:v>
                </c:pt>
                <c:pt idx="9">
                  <c:v>173674.6257400983</c:v>
                </c:pt>
                <c:pt idx="10">
                  <c:v>182637.97317454478</c:v>
                </c:pt>
                <c:pt idx="11">
                  <c:v>192063.91897008303</c:v>
                </c:pt>
                <c:pt idx="12">
                  <c:v>201976.33782812901</c:v>
                </c:pt>
                <c:pt idx="13">
                  <c:v>212400.33662343872</c:v>
                </c:pt>
                <c:pt idx="14">
                  <c:v>223362.31799657439</c:v>
                </c:pt>
                <c:pt idx="15">
                  <c:v>234890.04722837757</c:v>
                </c:pt>
                <c:pt idx="16">
                  <c:v>247012.72256583412</c:v>
                </c:pt>
                <c:pt idx="17">
                  <c:v>259761.04917745676</c:v>
                </c:pt>
                <c:pt idx="18">
                  <c:v>273167.31692550529</c:v>
                </c:pt>
                <c:pt idx="19">
                  <c:v>287265.48215203057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Costs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419583.85813495715</c:v>
                </c:pt>
                <c:pt idx="4" formatCode="#,##0">
                  <c:v>419583.85813495715</c:v>
                </c:pt>
                <c:pt idx="5" formatCode="#,##0">
                  <c:v>419583.85813495715</c:v>
                </c:pt>
                <c:pt idx="6" formatCode="#,##0">
                  <c:v>419583.85813495715</c:v>
                </c:pt>
                <c:pt idx="7" formatCode="#,##0">
                  <c:v>419583.85813495715</c:v>
                </c:pt>
                <c:pt idx="8" formatCode="#,##0">
                  <c:v>419583.85813495715</c:v>
                </c:pt>
                <c:pt idx="9" formatCode="#,##0">
                  <c:v>419583.85813495715</c:v>
                </c:pt>
                <c:pt idx="10" formatCode="#,##0">
                  <c:v>419583.85813495715</c:v>
                </c:pt>
                <c:pt idx="11" formatCode="#,##0">
                  <c:v>419583.85813495715</c:v>
                </c:pt>
                <c:pt idx="12" formatCode="#,##0">
                  <c:v>419583.85813495715</c:v>
                </c:pt>
                <c:pt idx="13" formatCode="#,##0">
                  <c:v>419583.85813495715</c:v>
                </c:pt>
                <c:pt idx="14" formatCode="#,##0">
                  <c:v>419583.85813495715</c:v>
                </c:pt>
                <c:pt idx="15" formatCode="#,##0">
                  <c:v>419583.85813495715</c:v>
                </c:pt>
                <c:pt idx="16" formatCode="#,##0">
                  <c:v>419583.85813495715</c:v>
                </c:pt>
                <c:pt idx="17" formatCode="#,##0">
                  <c:v>419583.85813495715</c:v>
                </c:pt>
                <c:pt idx="18" formatCode="#,##0">
                  <c:v>419583.85813495715</c:v>
                </c:pt>
                <c:pt idx="19" formatCode="#,##0">
                  <c:v>419583.85813495715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623082.02933041134</c:v>
                </c:pt>
                <c:pt idx="4">
                  <c:v>585319.4820982652</c:v>
                </c:pt>
                <c:pt idx="5">
                  <c:v>547556.93486611906</c:v>
                </c:pt>
                <c:pt idx="6">
                  <c:v>509794.38763397292</c:v>
                </c:pt>
                <c:pt idx="7">
                  <c:v>472031.84040182683</c:v>
                </c:pt>
                <c:pt idx="8">
                  <c:v>434269.29316968069</c:v>
                </c:pt>
                <c:pt idx="9">
                  <c:v>396506.74593753455</c:v>
                </c:pt>
                <c:pt idx="10">
                  <c:v>358744.19870538841</c:v>
                </c:pt>
                <c:pt idx="11">
                  <c:v>320981.65147324227</c:v>
                </c:pt>
                <c:pt idx="12">
                  <c:v>283219.10424109618</c:v>
                </c:pt>
                <c:pt idx="13">
                  <c:v>245456.55700895001</c:v>
                </c:pt>
                <c:pt idx="14">
                  <c:v>207694.0097768039</c:v>
                </c:pt>
                <c:pt idx="15">
                  <c:v>169931.46254465776</c:v>
                </c:pt>
                <c:pt idx="16">
                  <c:v>132168.91531251161</c:v>
                </c:pt>
                <c:pt idx="17">
                  <c:v>94406.368080365501</c:v>
                </c:pt>
                <c:pt idx="18">
                  <c:v>56643.820848219344</c:v>
                </c:pt>
                <c:pt idx="19">
                  <c:v>18881.273616073206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Debt service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Annuity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192918.87770715926</c:v>
                </c:pt>
                <c:pt idx="4" formatCode="#,##0">
                  <c:v>210281.57670080359</c:v>
                </c:pt>
                <c:pt idx="5" formatCode="#,##0">
                  <c:v>229206.91860387591</c:v>
                </c:pt>
                <c:pt idx="6" formatCode="#,##0">
                  <c:v>249835.54127822479</c:v>
                </c:pt>
                <c:pt idx="7" formatCode="#,##0">
                  <c:v>272320.7399932649</c:v>
                </c:pt>
                <c:pt idx="8" formatCode="#,##0">
                  <c:v>296829.60659265879</c:v>
                </c:pt>
                <c:pt idx="9" formatCode="#,##0">
                  <c:v>323544.27118599811</c:v>
                </c:pt>
                <c:pt idx="10" formatCode="#,##0">
                  <c:v>352663.25559273793</c:v>
                </c:pt>
                <c:pt idx="11" formatCode="#,##0">
                  <c:v>384402.94859608432</c:v>
                </c:pt>
                <c:pt idx="12" formatCode="#,##0">
                  <c:v>418999.21396973194</c:v>
                </c:pt>
                <c:pt idx="13" formatCode="#,##0">
                  <c:v>456709.14322700782</c:v>
                </c:pt>
                <c:pt idx="14" formatCode="#,##0">
                  <c:v>497812.96611743851</c:v>
                </c:pt>
                <c:pt idx="15" formatCode="#,##0">
                  <c:v>542616.13306800788</c:v>
                </c:pt>
                <c:pt idx="16" formatCode="#,##0">
                  <c:v>591451.58504412859</c:v>
                </c:pt>
                <c:pt idx="17" formatCode="#,##0">
                  <c:v>644682.22769810027</c:v>
                </c:pt>
                <c:pt idx="18" formatCode="#,##0">
                  <c:v>702703.62819092919</c:v>
                </c:pt>
                <c:pt idx="19" formatCode="#,##0">
                  <c:v>765946.95472811279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641963.30294648441</c:v>
                </c:pt>
                <c:pt idx="4">
                  <c:v>624600.60395284009</c:v>
                </c:pt>
                <c:pt idx="5">
                  <c:v>605675.26204976777</c:v>
                </c:pt>
                <c:pt idx="6">
                  <c:v>585046.63937541889</c:v>
                </c:pt>
                <c:pt idx="7">
                  <c:v>562561.44066037878</c:v>
                </c:pt>
                <c:pt idx="8">
                  <c:v>538052.57406098489</c:v>
                </c:pt>
                <c:pt idx="9">
                  <c:v>511337.90946764557</c:v>
                </c:pt>
                <c:pt idx="10">
                  <c:v>482218.92506090575</c:v>
                </c:pt>
                <c:pt idx="11">
                  <c:v>450479.23205755936</c:v>
                </c:pt>
                <c:pt idx="12">
                  <c:v>415882.96668391174</c:v>
                </c:pt>
                <c:pt idx="13">
                  <c:v>378173.03742663586</c:v>
                </c:pt>
                <c:pt idx="14">
                  <c:v>337069.21453620517</c:v>
                </c:pt>
                <c:pt idx="15">
                  <c:v>292266.04758563574</c:v>
                </c:pt>
                <c:pt idx="16">
                  <c:v>243430.59560951503</c:v>
                </c:pt>
                <c:pt idx="17">
                  <c:v>190199.95295554347</c:v>
                </c:pt>
                <c:pt idx="18">
                  <c:v>132178.55246271446</c:v>
                </c:pt>
                <c:pt idx="19">
                  <c:v>68935.225925530831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Debt service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Taxes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189597.33656251605</c:v>
                </c:pt>
                <c:pt idx="16">
                  <c:v>272802.50253649626</c:v>
                </c:pt>
                <c:pt idx="17">
                  <c:v>280306.76872265333</c:v>
                </c:pt>
                <c:pt idx="18">
                  <c:v>287613.65256788261</c:v>
                </c:pt>
                <c:pt idx="19">
                  <c:v>294712.96716956887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Taxes in euros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 Cooperative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386140.96005351562</c:v>
                </c:pt>
                <c:pt idx="1">
                  <c:v>380442.23288301565</c:v>
                </c:pt>
                <c:pt idx="2">
                  <c:v>374449.39440324623</c:v>
                </c:pt>
                <c:pt idx="3">
                  <c:v>117444.68101065164</c:v>
                </c:pt>
                <c:pt idx="4">
                  <c:v>148579.84649791522</c:v>
                </c:pt>
                <c:pt idx="5">
                  <c:v>179372.97281332547</c:v>
                </c:pt>
                <c:pt idx="6">
                  <c:v>209806.40731522278</c:v>
                </c:pt>
                <c:pt idx="7">
                  <c:v>239861.58630911214</c:v>
                </c:pt>
                <c:pt idx="8">
                  <c:v>269518.98802822502</c:v>
                </c:pt>
                <c:pt idx="9">
                  <c:v>298758.08318741014</c:v>
                </c:pt>
                <c:pt idx="10">
                  <c:v>327557.28298510984</c:v>
                </c:pt>
                <c:pt idx="11">
                  <c:v>355893.88442171761</c:v>
                </c:pt>
                <c:pt idx="12">
                  <c:v>383744.01279581769</c:v>
                </c:pt>
                <c:pt idx="13">
                  <c:v>411082.56123265426</c:v>
                </c:pt>
                <c:pt idx="14">
                  <c:v>437883.1270916647</c:v>
                </c:pt>
                <c:pt idx="15">
                  <c:v>274520.60852949158</c:v>
                </c:pt>
                <c:pt idx="16">
                  <c:v>216955.31445020088</c:v>
                </c:pt>
                <c:pt idx="17">
                  <c:v>234465.26888456743</c:v>
                </c:pt>
                <c:pt idx="18">
                  <c:v>251514.66452343564</c:v>
                </c:pt>
                <c:pt idx="19">
                  <c:v>268079.7319273703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in 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0-11/AppData/Local/Temp/Investment%20and%20Finance/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tilitysmarts.com/renewables/wind-power/what-is-the-cost-of-wind-turbine-in-india/" TargetMode="External"/><Relationship Id="rId2" Type="http://schemas.openxmlformats.org/officeDocument/2006/relationships/hyperlink" Target="https://www.mercomindia.com/gujarat-tariff-wind-projects-2027" TargetMode="External"/><Relationship Id="rId1" Type="http://schemas.openxmlformats.org/officeDocument/2006/relationships/hyperlink" Target="https://www.macrotrends.net/global-metrics/countries/IND/india/inflation-rate-cp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etica-india.net/news/gerc-updates-regulations-for-small-wind-projec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zoomScale="83" zoomScaleNormal="85" zoomScalePageLayoutView="85" workbookViewId="0">
      <pane xSplit="4" topLeftCell="E1" activePane="topRight" state="frozen"/>
      <selection pane="topRight" activeCell="B12" sqref="B12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303893.00839264411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2542245.6008218876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404782498.12010139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8.7303700542436857E-2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1.7947928660251859E-2</v>
      </c>
      <c r="H9" t="s">
        <v>7</v>
      </c>
    </row>
    <row r="10" spans="1:29" ht="15" customHeight="1" x14ac:dyDescent="0.3">
      <c r="A10" s="5" t="s">
        <v>147</v>
      </c>
      <c r="B10" s="66">
        <v>39924500</v>
      </c>
      <c r="C10" t="s">
        <v>15</v>
      </c>
      <c r="F10" t="s">
        <v>16</v>
      </c>
      <c r="G10" s="148">
        <f>MIN(Kalkulation!D84:W84)</f>
        <v>1.1126388447368789</v>
      </c>
    </row>
    <row r="11" spans="1:29" ht="15" customHeight="1" x14ac:dyDescent="0.3">
      <c r="A11" s="167" t="s">
        <v>148</v>
      </c>
      <c r="B11" s="171">
        <v>2.1999999999999999E-2</v>
      </c>
      <c r="F11" t="s">
        <v>17</v>
      </c>
      <c r="G11" s="148">
        <f>Kalkulation!C85</f>
        <v>1.4023938603749029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39046161</v>
      </c>
      <c r="C15" t="s">
        <v>18</v>
      </c>
    </row>
    <row r="16" spans="1:29" ht="25.8" x14ac:dyDescent="0.5">
      <c r="A16" s="165" t="s">
        <v>152</v>
      </c>
      <c r="B16" s="166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8" t="s">
        <v>153</v>
      </c>
      <c r="B17" s="169">
        <v>22</v>
      </c>
      <c r="C17" t="s">
        <v>20</v>
      </c>
      <c r="F17" s="79"/>
    </row>
    <row r="18" spans="1:31" x14ac:dyDescent="0.3">
      <c r="A18" t="s">
        <v>154</v>
      </c>
      <c r="B18" s="66">
        <v>3.3000000000000002E-2</v>
      </c>
      <c r="C18" t="s">
        <v>21</v>
      </c>
      <c r="D18" s="70" t="s">
        <v>273</v>
      </c>
      <c r="E18" s="190" t="s">
        <v>268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3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1288523.3130000001</v>
      </c>
      <c r="K20" s="23">
        <f>Kalkulation!E12</f>
        <v>1288523.3130000001</v>
      </c>
      <c r="L20" s="23">
        <f>Kalkulation!F12</f>
        <v>1288523.3130000001</v>
      </c>
      <c r="M20" s="23">
        <f>Kalkulation!G12</f>
        <v>1288523.3130000001</v>
      </c>
      <c r="N20" s="23">
        <f>Kalkulation!H12</f>
        <v>1288523.3130000001</v>
      </c>
      <c r="O20" s="23">
        <f>Kalkulation!I12</f>
        <v>1288523.3130000001</v>
      </c>
      <c r="P20" s="23">
        <f>Kalkulation!J12</f>
        <v>1288523.3130000001</v>
      </c>
      <c r="Q20" s="23">
        <f>Kalkulation!K12</f>
        <v>1288523.3130000001</v>
      </c>
      <c r="R20" s="23">
        <f>Kalkulation!L12</f>
        <v>1288523.3130000001</v>
      </c>
      <c r="S20" s="23">
        <f>Kalkulation!M12</f>
        <v>1288523.3130000001</v>
      </c>
      <c r="T20" s="23">
        <f>Kalkulation!N12</f>
        <v>1288523.3130000001</v>
      </c>
      <c r="U20" s="23">
        <f>Kalkulation!O12</f>
        <v>1288523.3130000001</v>
      </c>
      <c r="V20" s="23">
        <f>Kalkulation!P12</f>
        <v>1288523.3130000001</v>
      </c>
      <c r="W20" s="23">
        <f>Kalkulation!Q12</f>
        <v>1288523.3130000001</v>
      </c>
      <c r="X20" s="23">
        <f>Kalkulation!R12</f>
        <v>1288523.3130000001</v>
      </c>
      <c r="Y20" s="23">
        <f>Kalkulation!S12</f>
        <v>1288523.3130000001</v>
      </c>
      <c r="Z20" s="23">
        <f>Kalkulation!T12</f>
        <v>1288523.3130000001</v>
      </c>
      <c r="AA20" s="23">
        <f>Kalkulation!U12</f>
        <v>1288523.3130000001</v>
      </c>
      <c r="AB20" s="23">
        <f>Kalkulation!V12</f>
        <v>1288523.3130000001</v>
      </c>
      <c r="AC20" s="23">
        <f>Kalkulation!W12</f>
        <v>1288523.3130000001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-260419.05</v>
      </c>
      <c r="K21" s="88">
        <f>Kalkulation!E21</f>
        <v>-266117.77717050002</v>
      </c>
      <c r="L21" s="88">
        <f>Kalkulation!F21</f>
        <v>-272110.61565026949</v>
      </c>
      <c r="M21" s="88">
        <f>Kalkulation!G21</f>
        <v>-128412.7445239799</v>
      </c>
      <c r="N21" s="88">
        <f>Kalkulation!H21</f>
        <v>-135040.12626886248</v>
      </c>
      <c r="O21" s="88">
        <f>Kalkulation!I21</f>
        <v>-142009.54718559847</v>
      </c>
      <c r="P21" s="88">
        <f>Kalkulation!J21</f>
        <v>-149338.65991584721</v>
      </c>
      <c r="Q21" s="88">
        <f>Kalkulation!K21</f>
        <v>-157046.02815410407</v>
      </c>
      <c r="R21" s="88">
        <f>Kalkulation!L21</f>
        <v>-165151.17366713737</v>
      </c>
      <c r="S21" s="88">
        <f>Kalkulation!M21</f>
        <v>-173674.6257400983</v>
      </c>
      <c r="T21" s="88">
        <f>Kalkulation!N21</f>
        <v>-182637.97317454478</v>
      </c>
      <c r="U21" s="88">
        <f>Kalkulation!O21</f>
        <v>-192063.91897008303</v>
      </c>
      <c r="V21" s="88">
        <f>Kalkulation!P21</f>
        <v>-201976.33782812901</v>
      </c>
      <c r="W21" s="88">
        <f>Kalkulation!Q21</f>
        <v>-212400.33662343872</v>
      </c>
      <c r="X21" s="88">
        <f>Kalkulation!R21</f>
        <v>-223362.31799657439</v>
      </c>
      <c r="Y21" s="88">
        <f>Kalkulation!S21</f>
        <v>-234890.04722837757</v>
      </c>
      <c r="Z21" s="88">
        <f>Kalkulation!T21</f>
        <v>-247012.72256583412</v>
      </c>
      <c r="AA21" s="88">
        <f>Kalkulation!U21</f>
        <v>-259761.04917745676</v>
      </c>
      <c r="AB21" s="88">
        <f>Kalkulation!V21</f>
        <v>-273167.31692550529</v>
      </c>
      <c r="AC21" s="88">
        <f>Kalkulation!W21</f>
        <v>-287265.48215203057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1028104.263</v>
      </c>
      <c r="K22" s="88">
        <f t="shared" ref="K22:AC22" si="0">SUM(K20:K21)</f>
        <v>1022405.5358295001</v>
      </c>
      <c r="L22" s="88">
        <f t="shared" si="0"/>
        <v>1016412.6973497306</v>
      </c>
      <c r="M22" s="88">
        <f t="shared" si="0"/>
        <v>1160110.5684760201</v>
      </c>
      <c r="N22" s="88">
        <f t="shared" si="0"/>
        <v>1153483.1867311376</v>
      </c>
      <c r="O22" s="88">
        <f t="shared" si="0"/>
        <v>1146513.7658144017</v>
      </c>
      <c r="P22" s="88">
        <f t="shared" si="0"/>
        <v>1139184.6530841528</v>
      </c>
      <c r="Q22" s="88">
        <f t="shared" si="0"/>
        <v>1131477.2848458961</v>
      </c>
      <c r="R22" s="88">
        <f t="shared" si="0"/>
        <v>1123372.1393328628</v>
      </c>
      <c r="S22" s="88">
        <f t="shared" si="0"/>
        <v>1114848.6872599018</v>
      </c>
      <c r="T22" s="88">
        <f t="shared" si="0"/>
        <v>1105885.3398254553</v>
      </c>
      <c r="U22" s="88">
        <f t="shared" si="0"/>
        <v>1096459.394029917</v>
      </c>
      <c r="V22" s="88">
        <f t="shared" si="0"/>
        <v>1086546.975171871</v>
      </c>
      <c r="W22" s="88">
        <f t="shared" si="0"/>
        <v>1076122.9763765614</v>
      </c>
      <c r="X22" s="88">
        <f t="shared" si="0"/>
        <v>1065160.9950034257</v>
      </c>
      <c r="Y22" s="88">
        <f t="shared" si="0"/>
        <v>1053633.2657716225</v>
      </c>
      <c r="Z22" s="88">
        <f t="shared" si="0"/>
        <v>1041510.5904341659</v>
      </c>
      <c r="AA22" s="88">
        <f t="shared" si="0"/>
        <v>1028762.2638225433</v>
      </c>
      <c r="AB22" s="88">
        <f t="shared" si="0"/>
        <v>1015355.9960744948</v>
      </c>
      <c r="AC22" s="88">
        <f t="shared" si="0"/>
        <v>1001257.8308479695</v>
      </c>
    </row>
    <row r="23" spans="1:31" x14ac:dyDescent="0.3">
      <c r="A23" s="3" t="s">
        <v>26</v>
      </c>
      <c r="E23" t="s">
        <v>271</v>
      </c>
      <c r="F23" s="81" t="s">
        <v>186</v>
      </c>
      <c r="G23" s="84" t="s">
        <v>23</v>
      </c>
      <c r="H23" s="84"/>
      <c r="I23" s="84"/>
      <c r="J23" s="88">
        <f>Kalkulation!D39</f>
        <v>-700518.07142857148</v>
      </c>
      <c r="K23" s="88">
        <f>Kalkulation!E39</f>
        <v>-700518.07142857148</v>
      </c>
      <c r="L23" s="88">
        <f>Kalkulation!F39</f>
        <v>-700518.07142857148</v>
      </c>
      <c r="M23" s="88">
        <f>Kalkulation!G39</f>
        <v>-700518.07142857148</v>
      </c>
      <c r="N23" s="88">
        <f>Kalkulation!H39</f>
        <v>-700518.07142857148</v>
      </c>
      <c r="O23" s="88">
        <f>Kalkulation!I39</f>
        <v>-700518.07142857148</v>
      </c>
      <c r="P23" s="88">
        <f>Kalkulation!J39</f>
        <v>-700518.07142857148</v>
      </c>
      <c r="Q23" s="88">
        <f>Kalkulation!K39</f>
        <v>-700518.07142857148</v>
      </c>
      <c r="R23" s="88">
        <f>Kalkulation!L39</f>
        <v>-700518.07142857148</v>
      </c>
      <c r="S23" s="88">
        <f>Kalkulation!M39</f>
        <v>-700518.07142857148</v>
      </c>
      <c r="T23" s="88">
        <f>Kalkulation!N39</f>
        <v>-700518.07142857148</v>
      </c>
      <c r="U23" s="88">
        <f>Kalkulation!O39</f>
        <v>-700518.07142857148</v>
      </c>
      <c r="V23" s="88">
        <f>Kalkulation!P39</f>
        <v>-700518.07142857148</v>
      </c>
      <c r="W23" s="88">
        <f>Kalkulation!Q39</f>
        <v>-700518.07142857148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327586.19157142856</v>
      </c>
      <c r="K24" s="88">
        <f t="shared" ref="K24:AC24" si="1">SUM(K22:K23)</f>
        <v>321887.46440092858</v>
      </c>
      <c r="L24" s="88">
        <f t="shared" si="1"/>
        <v>315894.62592115917</v>
      </c>
      <c r="M24" s="88">
        <f t="shared" si="1"/>
        <v>459592.49704744865</v>
      </c>
      <c r="N24" s="88">
        <f t="shared" si="1"/>
        <v>452965.11530256609</v>
      </c>
      <c r="O24" s="88">
        <f t="shared" si="1"/>
        <v>445995.6943858302</v>
      </c>
      <c r="P24" s="88">
        <f t="shared" si="1"/>
        <v>438666.58165558137</v>
      </c>
      <c r="Q24" s="88">
        <f t="shared" si="1"/>
        <v>430959.21341732459</v>
      </c>
      <c r="R24" s="88">
        <f t="shared" si="1"/>
        <v>422854.06790429133</v>
      </c>
      <c r="S24" s="88">
        <f t="shared" si="1"/>
        <v>414330.6158313303</v>
      </c>
      <c r="T24" s="88">
        <f t="shared" si="1"/>
        <v>405367.26839688385</v>
      </c>
      <c r="U24" s="88">
        <f t="shared" si="1"/>
        <v>395941.32260134548</v>
      </c>
      <c r="V24" s="88">
        <f t="shared" si="1"/>
        <v>386028.90374329954</v>
      </c>
      <c r="W24" s="88">
        <f t="shared" si="1"/>
        <v>375604.90494798997</v>
      </c>
      <c r="X24" s="88">
        <f t="shared" si="1"/>
        <v>1065160.9950034257</v>
      </c>
      <c r="Y24" s="88">
        <f t="shared" si="1"/>
        <v>1053633.2657716225</v>
      </c>
      <c r="Z24" s="88">
        <f t="shared" si="1"/>
        <v>1041510.5904341659</v>
      </c>
      <c r="AA24" s="88">
        <f t="shared" si="1"/>
        <v>1028762.2638225433</v>
      </c>
      <c r="AB24" s="88">
        <f t="shared" si="1"/>
        <v>1015355.9960744948</v>
      </c>
      <c r="AC24" s="88">
        <f t="shared" si="1"/>
        <v>1001257.8308479695</v>
      </c>
    </row>
    <row r="25" spans="1:31" x14ac:dyDescent="0.3">
      <c r="A25" s="172"/>
      <c r="B25" s="173">
        <f>-Daten!C63</f>
        <v>-9807253</v>
      </c>
      <c r="F25" s="81" t="s">
        <v>29</v>
      </c>
      <c r="G25" s="84" t="s">
        <v>23</v>
      </c>
      <c r="H25" s="84"/>
      <c r="I25" s="84"/>
      <c r="J25" s="88">
        <f>Kalkulation!D38</f>
        <v>-641963.30294648441</v>
      </c>
      <c r="K25" s="88">
        <f>Kalkulation!E38</f>
        <v>-641963.30294648441</v>
      </c>
      <c r="L25" s="88">
        <f>Kalkulation!F38</f>
        <v>-641963.30294648441</v>
      </c>
      <c r="M25" s="88">
        <f>Kalkulation!G38</f>
        <v>-623082.02933041134</v>
      </c>
      <c r="N25" s="88">
        <f>Kalkulation!H38</f>
        <v>-585319.4820982652</v>
      </c>
      <c r="O25" s="88">
        <f>Kalkulation!I38</f>
        <v>-547556.93486611906</v>
      </c>
      <c r="P25" s="88">
        <f>Kalkulation!J38</f>
        <v>-509794.38763397292</v>
      </c>
      <c r="Q25" s="88">
        <f>Kalkulation!K38</f>
        <v>-472031.84040182683</v>
      </c>
      <c r="R25" s="88">
        <f>Kalkulation!L38</f>
        <v>-434269.29316968069</v>
      </c>
      <c r="S25" s="88">
        <f>Kalkulation!M38</f>
        <v>-396506.74593753455</v>
      </c>
      <c r="T25" s="88">
        <f>Kalkulation!N38</f>
        <v>-358744.19870538841</v>
      </c>
      <c r="U25" s="88">
        <f>Kalkulation!O38</f>
        <v>-320981.65147324227</v>
      </c>
      <c r="V25" s="88">
        <f>Kalkulation!P38</f>
        <v>-283219.10424109618</v>
      </c>
      <c r="W25" s="88">
        <f>Kalkulation!Q38</f>
        <v>-245456.55700895001</v>
      </c>
      <c r="X25" s="88">
        <f>Kalkulation!R38</f>
        <v>-207694.0097768039</v>
      </c>
      <c r="Y25" s="88">
        <f>Kalkulation!S38</f>
        <v>-169931.46254465776</v>
      </c>
      <c r="Z25" s="88">
        <f>Kalkulation!T38</f>
        <v>-132168.91531251161</v>
      </c>
      <c r="AA25" s="88">
        <f>Kalkulation!U38</f>
        <v>-94406.368080365501</v>
      </c>
      <c r="AB25" s="88">
        <f>Kalkulation!V38</f>
        <v>-56643.820848219344</v>
      </c>
      <c r="AC25" s="88">
        <f>Kalkulation!W38</f>
        <v>-18881.273616073206</v>
      </c>
    </row>
    <row r="26" spans="1:31" x14ac:dyDescent="0.3">
      <c r="A26" s="1" t="s">
        <v>159</v>
      </c>
      <c r="B26" s="131">
        <f>-Daten!C103</f>
        <v>-105000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-314377.11137505586</v>
      </c>
      <c r="K26" s="88">
        <f t="shared" ref="K26:AC26" si="2">SUM(K24:K25)</f>
        <v>-320075.83854555583</v>
      </c>
      <c r="L26" s="88">
        <f t="shared" si="2"/>
        <v>-326068.67702532525</v>
      </c>
      <c r="M26" s="88">
        <f t="shared" si="2"/>
        <v>-163489.5322829627</v>
      </c>
      <c r="N26" s="88">
        <f t="shared" si="2"/>
        <v>-132354.36679569911</v>
      </c>
      <c r="O26" s="88">
        <f t="shared" si="2"/>
        <v>-101561.24048028886</v>
      </c>
      <c r="P26" s="88">
        <f t="shared" si="2"/>
        <v>-71127.805978391552</v>
      </c>
      <c r="Q26" s="88">
        <f t="shared" si="2"/>
        <v>-41072.626984502247</v>
      </c>
      <c r="R26" s="88">
        <f t="shared" si="2"/>
        <v>-11415.225265389367</v>
      </c>
      <c r="S26" s="88">
        <f t="shared" si="2"/>
        <v>17823.869893795752</v>
      </c>
      <c r="T26" s="88">
        <f t="shared" si="2"/>
        <v>46623.069691495446</v>
      </c>
      <c r="U26" s="88">
        <f t="shared" si="2"/>
        <v>74959.671128103219</v>
      </c>
      <c r="V26" s="88">
        <f t="shared" si="2"/>
        <v>102809.79950220336</v>
      </c>
      <c r="W26" s="88">
        <f t="shared" si="2"/>
        <v>130148.34793903996</v>
      </c>
      <c r="X26" s="88">
        <f t="shared" si="2"/>
        <v>857466.98522662185</v>
      </c>
      <c r="Y26" s="88">
        <f t="shared" si="2"/>
        <v>883701.80322696478</v>
      </c>
      <c r="Z26" s="88">
        <f t="shared" si="2"/>
        <v>909341.67512165429</v>
      </c>
      <c r="AA26" s="88">
        <f t="shared" si="2"/>
        <v>934355.89574217785</v>
      </c>
      <c r="AB26" s="88">
        <f t="shared" si="2"/>
        <v>958712.17522627546</v>
      </c>
      <c r="AC26" s="88">
        <f t="shared" si="2"/>
        <v>982376.55723189632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-189597.33656251605</v>
      </c>
      <c r="Z27" s="88">
        <f>-Kalkulation!T54</f>
        <v>-272802.50253649626</v>
      </c>
      <c r="AA27" s="88">
        <f>-Kalkulation!U54</f>
        <v>-280306.76872265333</v>
      </c>
      <c r="AB27" s="88">
        <f>-Kalkulation!V54</f>
        <v>-287613.65256788261</v>
      </c>
      <c r="AC27" s="88">
        <f>-Kalkulation!W54</f>
        <v>-294712.96716956887</v>
      </c>
    </row>
    <row r="28" spans="1:31" x14ac:dyDescent="0.3">
      <c r="F28" s="1" t="s">
        <v>32</v>
      </c>
      <c r="G28" t="s">
        <v>23</v>
      </c>
      <c r="J28" s="23">
        <f>SUM(J26:J27)</f>
        <v>-314377.11137505586</v>
      </c>
      <c r="K28" s="23">
        <f t="shared" ref="K28:AC28" si="3">SUM(K26:K27)</f>
        <v>-320075.83854555583</v>
      </c>
      <c r="L28" s="23">
        <f t="shared" si="3"/>
        <v>-326068.67702532525</v>
      </c>
      <c r="M28" s="23">
        <f t="shared" si="3"/>
        <v>-163489.5322829627</v>
      </c>
      <c r="N28" s="23">
        <f t="shared" si="3"/>
        <v>-132354.36679569911</v>
      </c>
      <c r="O28" s="23">
        <f t="shared" si="3"/>
        <v>-101561.24048028886</v>
      </c>
      <c r="P28" s="23">
        <f t="shared" si="3"/>
        <v>-71127.805978391552</v>
      </c>
      <c r="Q28" s="23">
        <f t="shared" si="3"/>
        <v>-41072.626984502247</v>
      </c>
      <c r="R28" s="23">
        <f t="shared" si="3"/>
        <v>-11415.225265389367</v>
      </c>
      <c r="S28" s="23">
        <f t="shared" si="3"/>
        <v>17823.869893795752</v>
      </c>
      <c r="T28" s="23">
        <f t="shared" si="3"/>
        <v>46623.069691495446</v>
      </c>
      <c r="U28" s="23">
        <f t="shared" si="3"/>
        <v>74959.671128103219</v>
      </c>
      <c r="V28" s="23">
        <f t="shared" si="3"/>
        <v>102809.79950220336</v>
      </c>
      <c r="W28" s="23">
        <f t="shared" si="3"/>
        <v>130148.34793903996</v>
      </c>
      <c r="X28" s="23">
        <f t="shared" si="3"/>
        <v>857466.98522662185</v>
      </c>
      <c r="Y28" s="23">
        <f t="shared" si="3"/>
        <v>694104.46666444873</v>
      </c>
      <c r="Z28" s="23">
        <f t="shared" si="3"/>
        <v>636539.17258515803</v>
      </c>
      <c r="AA28" s="23">
        <f t="shared" si="3"/>
        <v>654049.12701952457</v>
      </c>
      <c r="AB28" s="23">
        <f t="shared" si="3"/>
        <v>671098.52265839279</v>
      </c>
      <c r="AC28" s="23">
        <f t="shared" si="3"/>
        <v>687663.59006232745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0" t="s">
        <v>161</v>
      </c>
      <c r="B33" s="171">
        <v>0.72731126527420797</v>
      </c>
    </row>
    <row r="34" spans="1:29" ht="25.8" x14ac:dyDescent="0.5">
      <c r="A34" t="s">
        <v>162</v>
      </c>
      <c r="B34" s="28">
        <f>-B25*(1-B33)</f>
        <v>2674327.4117057282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0" t="s">
        <v>163</v>
      </c>
      <c r="B35" s="174">
        <v>17</v>
      </c>
      <c r="C35" s="170" t="s">
        <v>36</v>
      </c>
    </row>
    <row r="36" spans="1:29" x14ac:dyDescent="0.3">
      <c r="A36" t="s">
        <v>164</v>
      </c>
      <c r="B36" s="67">
        <v>0.09</v>
      </c>
      <c r="C36" s="184" t="s">
        <v>272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</v>
      </c>
      <c r="G37" s="1"/>
    </row>
    <row r="38" spans="1:29" ht="18" customHeight="1" x14ac:dyDescent="0.3">
      <c r="A38" t="s">
        <v>166</v>
      </c>
      <c r="B38" s="2">
        <f>SUM(B36:B37)</f>
        <v>0.09</v>
      </c>
      <c r="C38" s="184" t="s">
        <v>266</v>
      </c>
      <c r="F38" s="80" t="s">
        <v>184</v>
      </c>
      <c r="G38" t="s">
        <v>23</v>
      </c>
      <c r="J38" s="23">
        <f>Kalkulation!D12</f>
        <v>1288523.3130000001</v>
      </c>
      <c r="K38" s="23">
        <f>Kalkulation!E12</f>
        <v>1288523.3130000001</v>
      </c>
      <c r="L38" s="23">
        <f>Kalkulation!F12</f>
        <v>1288523.3130000001</v>
      </c>
      <c r="M38" s="23">
        <f>Kalkulation!G12</f>
        <v>1288523.3130000001</v>
      </c>
      <c r="N38" s="23">
        <f>Kalkulation!H12</f>
        <v>1288523.3130000001</v>
      </c>
      <c r="O38" s="23">
        <f>Kalkulation!I12</f>
        <v>1288523.3130000001</v>
      </c>
      <c r="P38" s="23">
        <f>Kalkulation!J12</f>
        <v>1288523.3130000001</v>
      </c>
      <c r="Q38" s="23">
        <f>Kalkulation!K12</f>
        <v>1288523.3130000001</v>
      </c>
      <c r="R38" s="23">
        <f>Kalkulation!L12</f>
        <v>1288523.3130000001</v>
      </c>
      <c r="S38" s="23">
        <f>Kalkulation!M12</f>
        <v>1288523.3130000001</v>
      </c>
      <c r="T38" s="23">
        <f>Kalkulation!N12</f>
        <v>1288523.3130000001</v>
      </c>
      <c r="U38" s="23">
        <f>Kalkulation!O12</f>
        <v>1288523.3130000001</v>
      </c>
      <c r="V38" s="23">
        <f>Kalkulation!P12</f>
        <v>1288523.3130000001</v>
      </c>
      <c r="W38" s="23">
        <f>Kalkulation!Q12</f>
        <v>1288523.3130000001</v>
      </c>
      <c r="X38" s="23">
        <f>Kalkulation!R12</f>
        <v>1288523.3130000001</v>
      </c>
      <c r="Y38" s="23">
        <f>Kalkulation!S12</f>
        <v>1288523.3130000001</v>
      </c>
      <c r="Z38" s="23">
        <f>Kalkulation!T12</f>
        <v>1288523.3130000001</v>
      </c>
      <c r="AA38" s="23">
        <f>Kalkulation!U12</f>
        <v>1288523.3130000001</v>
      </c>
      <c r="AB38" s="23">
        <f>Kalkulation!V12</f>
        <v>1288523.3130000001</v>
      </c>
      <c r="AC38" s="23">
        <f>Kalkulation!W12</f>
        <v>1288523.3130000001</v>
      </c>
    </row>
    <row r="39" spans="1:29" x14ac:dyDescent="0.3">
      <c r="A39" t="s">
        <v>167</v>
      </c>
      <c r="B39" s="29">
        <f>-(B25+B34)</f>
        <v>7132925.5882942714</v>
      </c>
      <c r="F39" s="80" t="s">
        <v>185</v>
      </c>
      <c r="G39" t="s">
        <v>7</v>
      </c>
      <c r="J39" s="23">
        <f>Kalkulation!D21</f>
        <v>-260419.05</v>
      </c>
      <c r="K39" s="23">
        <f>Kalkulation!E21</f>
        <v>-266117.77717050002</v>
      </c>
      <c r="L39" s="23">
        <f>Kalkulation!F21</f>
        <v>-272110.61565026949</v>
      </c>
      <c r="M39" s="23">
        <f>Kalkulation!G21</f>
        <v>-128412.7445239799</v>
      </c>
      <c r="N39" s="23">
        <f>Kalkulation!H21</f>
        <v>-135040.12626886248</v>
      </c>
      <c r="O39" s="23">
        <f>Kalkulation!I21</f>
        <v>-142009.54718559847</v>
      </c>
      <c r="P39" s="23">
        <f>Kalkulation!J21</f>
        <v>-149338.65991584721</v>
      </c>
      <c r="Q39" s="23">
        <f>Kalkulation!K21</f>
        <v>-157046.02815410407</v>
      </c>
      <c r="R39" s="23">
        <f>Kalkulation!L21</f>
        <v>-165151.17366713737</v>
      </c>
      <c r="S39" s="23">
        <f>Kalkulation!M21</f>
        <v>-173674.6257400983</v>
      </c>
      <c r="T39" s="23">
        <f>Kalkulation!N21</f>
        <v>-182637.97317454478</v>
      </c>
      <c r="U39" s="23">
        <f>Kalkulation!O21</f>
        <v>-192063.91897008303</v>
      </c>
      <c r="V39" s="23">
        <f>Kalkulation!P21</f>
        <v>-201976.33782812901</v>
      </c>
      <c r="W39" s="23">
        <f>Kalkulation!Q21</f>
        <v>-212400.33662343872</v>
      </c>
      <c r="X39" s="23">
        <f>Kalkulation!R21</f>
        <v>-223362.31799657439</v>
      </c>
      <c r="Y39" s="23">
        <f>Kalkulation!S21</f>
        <v>-234890.04722837757</v>
      </c>
      <c r="Z39" s="23">
        <f>Kalkulation!T21</f>
        <v>-247012.72256583412</v>
      </c>
      <c r="AA39" s="23">
        <f>Kalkulation!U21</f>
        <v>-259761.04917745676</v>
      </c>
      <c r="AB39" s="23">
        <f>Kalkulation!V21</f>
        <v>-273167.31692550529</v>
      </c>
      <c r="AC39" s="23">
        <f>Kalkulation!W21</f>
        <v>-287265.48215203057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-189597.33656251605</v>
      </c>
      <c r="Z40" s="88">
        <f t="shared" si="4"/>
        <v>-272802.50253649626</v>
      </c>
      <c r="AA40" s="88">
        <f t="shared" si="4"/>
        <v>-280306.76872265333</v>
      </c>
      <c r="AB40" s="88">
        <f t="shared" si="4"/>
        <v>-287613.65256788261</v>
      </c>
      <c r="AC40" s="88">
        <f t="shared" si="4"/>
        <v>-294712.96716956887</v>
      </c>
    </row>
    <row r="41" spans="1:29" x14ac:dyDescent="0.3">
      <c r="A41" s="170" t="s">
        <v>40</v>
      </c>
      <c r="B41" s="171">
        <v>1.15E-2</v>
      </c>
      <c r="F41" s="85" t="s">
        <v>41</v>
      </c>
      <c r="G41" s="84" t="s">
        <v>7</v>
      </c>
      <c r="H41" s="84"/>
      <c r="I41" s="84"/>
      <c r="J41" s="88">
        <f>SUM(J38:J40)</f>
        <v>1028104.263</v>
      </c>
      <c r="K41" s="88">
        <f t="shared" ref="K41:AC41" si="5">SUM(K38:K40)</f>
        <v>1022405.5358295001</v>
      </c>
      <c r="L41" s="88">
        <f t="shared" si="5"/>
        <v>1016412.6973497306</v>
      </c>
      <c r="M41" s="88">
        <f t="shared" si="5"/>
        <v>1160110.5684760201</v>
      </c>
      <c r="N41" s="88">
        <f t="shared" si="5"/>
        <v>1153483.1867311376</v>
      </c>
      <c r="O41" s="88">
        <f t="shared" si="5"/>
        <v>1146513.7658144017</v>
      </c>
      <c r="P41" s="88">
        <f t="shared" si="5"/>
        <v>1139184.6530841528</v>
      </c>
      <c r="Q41" s="88">
        <f t="shared" si="5"/>
        <v>1131477.2848458961</v>
      </c>
      <c r="R41" s="88">
        <f t="shared" si="5"/>
        <v>1123372.1393328628</v>
      </c>
      <c r="S41" s="88">
        <f t="shared" si="5"/>
        <v>1114848.6872599018</v>
      </c>
      <c r="T41" s="88">
        <f t="shared" si="5"/>
        <v>1105885.3398254553</v>
      </c>
      <c r="U41" s="88">
        <f t="shared" si="5"/>
        <v>1096459.394029917</v>
      </c>
      <c r="V41" s="88">
        <f t="shared" si="5"/>
        <v>1086546.975171871</v>
      </c>
      <c r="W41" s="88">
        <f t="shared" si="5"/>
        <v>1076122.9763765614</v>
      </c>
      <c r="X41" s="88">
        <f t="shared" si="5"/>
        <v>1065160.9950034257</v>
      </c>
      <c r="Y41" s="88">
        <f t="shared" si="5"/>
        <v>864035.92920910649</v>
      </c>
      <c r="Z41" s="88">
        <f t="shared" si="5"/>
        <v>768708.08789766964</v>
      </c>
      <c r="AA41" s="88">
        <f t="shared" si="5"/>
        <v>748455.49509989005</v>
      </c>
      <c r="AB41" s="88">
        <f t="shared" si="5"/>
        <v>727742.34350661212</v>
      </c>
      <c r="AC41" s="88">
        <f t="shared" si="5"/>
        <v>706544.86367840064</v>
      </c>
    </row>
    <row r="42" spans="1:29" x14ac:dyDescent="0.3">
      <c r="A42" s="170" t="s">
        <v>42</v>
      </c>
      <c r="B42" s="171">
        <v>5.1499999999999997E-2</v>
      </c>
      <c r="F42" s="82" t="s">
        <v>189</v>
      </c>
      <c r="G42" t="s">
        <v>7</v>
      </c>
      <c r="J42" s="23">
        <f>-Kalkulation!D60</f>
        <v>-641963.30294648441</v>
      </c>
      <c r="K42" s="23">
        <f>-Kalkulation!E60</f>
        <v>-641963.30294648441</v>
      </c>
      <c r="L42" s="23">
        <f>-Kalkulation!F60</f>
        <v>-641963.30294648441</v>
      </c>
      <c r="M42" s="23">
        <f>-Kalkulation!G60</f>
        <v>-623082.02933041134</v>
      </c>
      <c r="N42" s="23">
        <f>-Kalkulation!H60</f>
        <v>-585319.4820982652</v>
      </c>
      <c r="O42" s="23">
        <f>-Kalkulation!I60</f>
        <v>-547556.93486611906</v>
      </c>
      <c r="P42" s="23">
        <f>-Kalkulation!J60</f>
        <v>-509794.38763397292</v>
      </c>
      <c r="Q42" s="23">
        <f>-Kalkulation!K60</f>
        <v>-472031.84040182683</v>
      </c>
      <c r="R42" s="23">
        <f>-Kalkulation!L60</f>
        <v>-434269.29316968069</v>
      </c>
      <c r="S42" s="23">
        <f>-Kalkulation!M60</f>
        <v>-396506.74593753455</v>
      </c>
      <c r="T42" s="23">
        <f>-Kalkulation!N60</f>
        <v>-358744.19870538841</v>
      </c>
      <c r="U42" s="23">
        <f>-Kalkulation!O60</f>
        <v>-320981.65147324227</v>
      </c>
      <c r="V42" s="23">
        <f>-Kalkulation!P60</f>
        <v>-283219.10424109618</v>
      </c>
      <c r="W42" s="23">
        <f>-Kalkulation!Q60</f>
        <v>-245456.55700895001</v>
      </c>
      <c r="X42" s="23">
        <f>-Kalkulation!R60</f>
        <v>-207694.0097768039</v>
      </c>
      <c r="Y42" s="23">
        <f>-Kalkulation!S60</f>
        <v>-169931.46254465776</v>
      </c>
      <c r="Z42" s="23">
        <f>-Kalkulation!T60</f>
        <v>-132168.91531251161</v>
      </c>
      <c r="AA42" s="23">
        <f>-Kalkulation!U60</f>
        <v>-94406.368080365501</v>
      </c>
      <c r="AB42" s="23">
        <f>-Kalkulation!V60</f>
        <v>-56643.820848219344</v>
      </c>
      <c r="AC42" s="23">
        <f>-Kalkulation!W60</f>
        <v>-18881.273616073206</v>
      </c>
    </row>
    <row r="43" spans="1:29" x14ac:dyDescent="0.3">
      <c r="A43" s="170" t="s">
        <v>169</v>
      </c>
      <c r="B43" s="174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-419583.85813495715</v>
      </c>
      <c r="N43" s="88">
        <f>-Kalkulation!H59</f>
        <v>-419583.85813495715</v>
      </c>
      <c r="O43" s="88">
        <f>-Kalkulation!I59</f>
        <v>-419583.85813495715</v>
      </c>
      <c r="P43" s="88">
        <f>-Kalkulation!J59</f>
        <v>-419583.85813495715</v>
      </c>
      <c r="Q43" s="88">
        <f>-Kalkulation!K59</f>
        <v>-419583.85813495715</v>
      </c>
      <c r="R43" s="88">
        <f>-Kalkulation!L59</f>
        <v>-419583.85813495715</v>
      </c>
      <c r="S43" s="88">
        <f>-Kalkulation!M59</f>
        <v>-419583.85813495715</v>
      </c>
      <c r="T43" s="88">
        <f>-Kalkulation!N59</f>
        <v>-419583.85813495715</v>
      </c>
      <c r="U43" s="88">
        <f>-Kalkulation!O59</f>
        <v>-419583.85813495715</v>
      </c>
      <c r="V43" s="88">
        <f>-Kalkulation!P59</f>
        <v>-419583.85813495715</v>
      </c>
      <c r="W43" s="88">
        <f>-Kalkulation!Q59</f>
        <v>-419583.85813495715</v>
      </c>
      <c r="X43" s="88">
        <f>-Kalkulation!R59</f>
        <v>-419583.85813495715</v>
      </c>
      <c r="Y43" s="88">
        <f>-Kalkulation!S59</f>
        <v>-419583.85813495715</v>
      </c>
      <c r="Z43" s="88">
        <f>-Kalkulation!T59</f>
        <v>-419583.85813495715</v>
      </c>
      <c r="AA43" s="88">
        <f>-Kalkulation!U59</f>
        <v>-419583.85813495715</v>
      </c>
      <c r="AB43" s="88">
        <f>-Kalkulation!V59</f>
        <v>-419583.85813495715</v>
      </c>
      <c r="AC43" s="88">
        <f>-Kalkulation!W59</f>
        <v>-419583.85813495715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386140.96005351562</v>
      </c>
      <c r="K44" s="23">
        <f t="shared" ref="K44:AC44" si="6">SUM(K41:K43)</f>
        <v>380442.23288301565</v>
      </c>
      <c r="L44" s="23">
        <f t="shared" si="6"/>
        <v>374449.39440324623</v>
      </c>
      <c r="M44" s="23">
        <f t="shared" si="6"/>
        <v>117444.68101065164</v>
      </c>
      <c r="N44" s="23">
        <f t="shared" si="6"/>
        <v>148579.84649791522</v>
      </c>
      <c r="O44" s="23">
        <f t="shared" si="6"/>
        <v>179372.97281332547</v>
      </c>
      <c r="P44" s="23">
        <f t="shared" si="6"/>
        <v>209806.40731522278</v>
      </c>
      <c r="Q44" s="23">
        <f t="shared" si="6"/>
        <v>239861.58630911203</v>
      </c>
      <c r="R44" s="23">
        <f t="shared" si="6"/>
        <v>269518.98802822491</v>
      </c>
      <c r="S44" s="23">
        <f t="shared" si="6"/>
        <v>298758.08318741003</v>
      </c>
      <c r="T44" s="23">
        <f t="shared" si="6"/>
        <v>327557.28298510972</v>
      </c>
      <c r="U44" s="23">
        <f t="shared" si="6"/>
        <v>355893.88442171749</v>
      </c>
      <c r="V44" s="23">
        <f t="shared" si="6"/>
        <v>383744.01279581769</v>
      </c>
      <c r="W44" s="23">
        <f t="shared" si="6"/>
        <v>411082.56123265426</v>
      </c>
      <c r="X44" s="23">
        <f t="shared" si="6"/>
        <v>437883.1270916647</v>
      </c>
      <c r="Y44" s="23">
        <f t="shared" si="6"/>
        <v>274520.60852949158</v>
      </c>
      <c r="Z44" s="23">
        <f t="shared" si="6"/>
        <v>216955.31445020088</v>
      </c>
      <c r="AA44" s="23">
        <f t="shared" si="6"/>
        <v>234465.26888456743</v>
      </c>
      <c r="AB44" s="23">
        <f t="shared" si="6"/>
        <v>251514.66452343564</v>
      </c>
      <c r="AC44" s="23">
        <f t="shared" si="6"/>
        <v>268079.7319273703</v>
      </c>
    </row>
    <row r="46" spans="1:29" x14ac:dyDescent="0.3">
      <c r="A46" t="s">
        <v>44</v>
      </c>
      <c r="B46" s="2">
        <f>(((1-B33)/1)*B44)+(((B33/1)*B38))</f>
        <v>7.280697527553881E-2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5.1610000000000003E-2</v>
      </c>
      <c r="C51" t="s">
        <v>270</v>
      </c>
    </row>
    <row r="52" spans="1:5" x14ac:dyDescent="0.3">
      <c r="A52" s="170" t="s">
        <v>173</v>
      </c>
      <c r="B52" s="171">
        <f>B46</f>
        <v>7.280697527553881E-2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5" t="s">
        <v>176</v>
      </c>
      <c r="B61" s="176">
        <v>0</v>
      </c>
      <c r="C61" s="23" t="s">
        <v>48</v>
      </c>
      <c r="D61"/>
    </row>
    <row r="62" spans="1:5" x14ac:dyDescent="0.3">
      <c r="A62" s="175" t="s">
        <v>177</v>
      </c>
      <c r="B62" s="177">
        <v>3.5000000000000003E-2</v>
      </c>
      <c r="C62" s="23"/>
      <c r="D62"/>
    </row>
    <row r="63" spans="1:5" x14ac:dyDescent="0.3">
      <c r="A63" s="175" t="s">
        <v>178</v>
      </c>
      <c r="B63" s="178">
        <v>0.7</v>
      </c>
      <c r="C63" s="124"/>
      <c r="D63"/>
      <c r="E63" s="132"/>
    </row>
    <row r="64" spans="1:5" x14ac:dyDescent="0.3">
      <c r="A64" s="175" t="s">
        <v>179</v>
      </c>
      <c r="B64" s="179">
        <v>0.3</v>
      </c>
      <c r="C64" s="135"/>
      <c r="D64" s="135"/>
      <c r="E64" s="132"/>
    </row>
    <row r="65" spans="1:5" x14ac:dyDescent="0.3">
      <c r="A65" s="175" t="s">
        <v>180</v>
      </c>
      <c r="B65" s="178">
        <v>3.57</v>
      </c>
      <c r="C65" s="135" t="s">
        <v>49</v>
      </c>
      <c r="D65" s="136"/>
      <c r="E65" s="132"/>
    </row>
    <row r="66" spans="1:5" x14ac:dyDescent="0.3">
      <c r="A66" s="175" t="s">
        <v>181</v>
      </c>
      <c r="B66" s="179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39046161</v>
      </c>
    </row>
    <row r="70" spans="1:5" x14ac:dyDescent="0.3">
      <c r="A70" s="132" t="s">
        <v>183</v>
      </c>
      <c r="B70">
        <f>B10*(1-B11-B12)</f>
        <v>39046161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  <hyperlink ref="E18" r:id="rId2" xr:uid="{CA8A5249-5DC9-409F-99D2-B0195CBF1D1C}"/>
    <hyperlink ref="C36" r:id="rId3" location="google_vignette" xr:uid="{CDA9C5D6-5D24-42AA-80E5-EAFF4C3BB5DB}"/>
  </hyperlinks>
  <pageMargins left="0.7" right="0.7" top="0.78740157499999996" bottom="0.78740157499999996" header="0.3" footer="0.3"/>
  <pageSetup paperSize="9" orientation="portrait" horizontalDpi="4294967293" verticalDpi="429496729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H26" activePane="bottomRight" state="frozen"/>
      <selection pane="topRight" activeCell="C1" sqref="C1"/>
      <selection pane="bottomLeft" activeCell="A2" sqref="A2"/>
      <selection pane="bottomRight" activeCell="T42" sqref="T42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1.0516099999999999</v>
      </c>
      <c r="E6" s="19">
        <f>D6*(1+Parameters!$B$51)</f>
        <v>1.1058835920999999</v>
      </c>
      <c r="F6" s="19">
        <f>E6*(1+Parameters!$B$51)</f>
        <v>1.1629582442882809</v>
      </c>
      <c r="G6" s="19">
        <f>F6*(1+Parameters!$B$51)</f>
        <v>1.222978519275999</v>
      </c>
      <c r="H6" s="19">
        <f>G6*(1+Parameters!$B$51)</f>
        <v>1.2860964406558333</v>
      </c>
      <c r="I6" s="19">
        <f>H6*(1+Parameters!$B$51)</f>
        <v>1.3524718779580807</v>
      </c>
      <c r="J6" s="19">
        <f>I6*(1+Parameters!$B$51)</f>
        <v>1.4222729515794972</v>
      </c>
      <c r="K6" s="19">
        <f>J6*(1+Parameters!$B$51)</f>
        <v>1.4956764586105149</v>
      </c>
      <c r="L6" s="19">
        <f>K6*(1+Parameters!$B$51)</f>
        <v>1.5728683206394034</v>
      </c>
      <c r="M6" s="19">
        <f>L6*(1+Parameters!$B$51)</f>
        <v>1.654044054667603</v>
      </c>
      <c r="N6" s="19">
        <f>M6*(1+Parameters!$B$51)</f>
        <v>1.7394092683289979</v>
      </c>
      <c r="O6" s="19">
        <f>N6*(1+Parameters!$B$51)</f>
        <v>1.8291801806674575</v>
      </c>
      <c r="P6" s="19">
        <f>O6*(1+Parameters!$B$51)</f>
        <v>1.9235841697917049</v>
      </c>
      <c r="Q6" s="19">
        <f>P6*(1+Parameters!$B$51)</f>
        <v>2.0228603487946546</v>
      </c>
      <c r="R6" s="19">
        <f>Q6*(1+Parameters!$B$51)</f>
        <v>2.1272601713959465</v>
      </c>
      <c r="S6" s="19">
        <f>R6*(1+Parameters!$B$51)</f>
        <v>2.2370480688416912</v>
      </c>
      <c r="T6" s="19">
        <f>S6*(1+Parameters!$B$51)</f>
        <v>2.3525021196746105</v>
      </c>
      <c r="U6" s="19">
        <f>T6*(1+Parameters!$B$51)</f>
        <v>2.4739147540710169</v>
      </c>
      <c r="V6" s="19">
        <f>U6*(1+Parameters!$B$51)</f>
        <v>2.6015934945286219</v>
      </c>
      <c r="W6" s="19">
        <f>V6*(1+Parameters!$B$51)</f>
        <v>2.7358617347812437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39046161</v>
      </c>
      <c r="E9" s="23">
        <f>Parameters!$B$15</f>
        <v>39046161</v>
      </c>
      <c r="F9" s="23">
        <f>Parameters!$B$15</f>
        <v>39046161</v>
      </c>
      <c r="G9" s="23">
        <f>Parameters!$B$15</f>
        <v>39046161</v>
      </c>
      <c r="H9" s="23">
        <f>Parameters!$B$15</f>
        <v>39046161</v>
      </c>
      <c r="I9" s="23">
        <f>Parameters!$B$15</f>
        <v>39046161</v>
      </c>
      <c r="J9" s="23">
        <f>Parameters!$B$15</f>
        <v>39046161</v>
      </c>
      <c r="K9" s="23">
        <f>Parameters!$B$15</f>
        <v>39046161</v>
      </c>
      <c r="L9" s="23">
        <f>Parameters!$B$15</f>
        <v>39046161</v>
      </c>
      <c r="M9" s="23">
        <f>Parameters!$B$15</f>
        <v>39046161</v>
      </c>
      <c r="N9" s="23">
        <f>Parameters!$B$15</f>
        <v>39046161</v>
      </c>
      <c r="O9" s="23">
        <f>Parameters!$B$15</f>
        <v>39046161</v>
      </c>
      <c r="P9" s="23">
        <f>Parameters!$B$15</f>
        <v>39046161</v>
      </c>
      <c r="Q9" s="23">
        <f>Parameters!$B$15</f>
        <v>39046161</v>
      </c>
      <c r="R9" s="23">
        <f>Parameters!$B$15</f>
        <v>39046161</v>
      </c>
      <c r="S9" s="23">
        <f>Parameters!$B$15</f>
        <v>39046161</v>
      </c>
      <c r="T9" s="23">
        <f>Parameters!$B$15</f>
        <v>39046161</v>
      </c>
      <c r="U9" s="23">
        <f>Parameters!$B$15</f>
        <v>39046161</v>
      </c>
      <c r="V9" s="23">
        <f>Parameters!$B$15</f>
        <v>39046161</v>
      </c>
      <c r="W9" s="23">
        <f>Parameters!$B$15</f>
        <v>39046161</v>
      </c>
    </row>
    <row r="10" spans="1:25" ht="28.8" x14ac:dyDescent="0.3">
      <c r="A10" s="65" t="s">
        <v>56</v>
      </c>
      <c r="B10" s="92" t="s">
        <v>21</v>
      </c>
      <c r="D10">
        <f>Parameters!$B$18</f>
        <v>3.3000000000000002E-2</v>
      </c>
      <c r="E10">
        <f>Parameters!$B$18</f>
        <v>3.3000000000000002E-2</v>
      </c>
      <c r="F10">
        <f>Parameters!$B$18</f>
        <v>3.3000000000000002E-2</v>
      </c>
      <c r="G10">
        <f>Parameters!$B$18</f>
        <v>3.3000000000000002E-2</v>
      </c>
      <c r="H10">
        <f>Parameters!$B$18</f>
        <v>3.3000000000000002E-2</v>
      </c>
      <c r="I10">
        <f>Parameters!$B$18</f>
        <v>3.3000000000000002E-2</v>
      </c>
      <c r="J10">
        <f>Parameters!$B$18</f>
        <v>3.3000000000000002E-2</v>
      </c>
      <c r="K10">
        <f>Parameters!$B$18</f>
        <v>3.3000000000000002E-2</v>
      </c>
      <c r="L10">
        <f>Parameters!$B$18</f>
        <v>3.3000000000000002E-2</v>
      </c>
      <c r="M10">
        <f>Parameters!$B$18</f>
        <v>3.3000000000000002E-2</v>
      </c>
      <c r="N10">
        <f>Parameters!$B$18</f>
        <v>3.3000000000000002E-2</v>
      </c>
      <c r="O10">
        <f>Parameters!$B$18</f>
        <v>3.3000000000000002E-2</v>
      </c>
      <c r="P10">
        <f>Parameters!$B$18</f>
        <v>3.3000000000000002E-2</v>
      </c>
      <c r="Q10">
        <f>Parameters!$B$18</f>
        <v>3.3000000000000002E-2</v>
      </c>
      <c r="R10">
        <f>Parameters!$B$18</f>
        <v>3.3000000000000002E-2</v>
      </c>
      <c r="S10">
        <f>Parameters!$B$18</f>
        <v>3.3000000000000002E-2</v>
      </c>
      <c r="T10">
        <f>Parameters!$B$18</f>
        <v>3.3000000000000002E-2</v>
      </c>
      <c r="U10">
        <f>Parameters!$B$18</f>
        <v>3.3000000000000002E-2</v>
      </c>
      <c r="V10">
        <f>Parameters!$B$18</f>
        <v>3.3000000000000002E-2</v>
      </c>
      <c r="W10">
        <f>Parameters!$B$18</f>
        <v>3.3000000000000002E-2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1288523.3130000001</v>
      </c>
      <c r="E12" s="30">
        <f t="shared" ref="E12:W12" si="0">E9*E10</f>
        <v>1288523.3130000001</v>
      </c>
      <c r="F12" s="30">
        <f t="shared" si="0"/>
        <v>1288523.3130000001</v>
      </c>
      <c r="G12" s="30">
        <f t="shared" si="0"/>
        <v>1288523.3130000001</v>
      </c>
      <c r="H12" s="30">
        <f t="shared" si="0"/>
        <v>1288523.3130000001</v>
      </c>
      <c r="I12" s="30">
        <f t="shared" si="0"/>
        <v>1288523.3130000001</v>
      </c>
      <c r="J12" s="30">
        <f t="shared" si="0"/>
        <v>1288523.3130000001</v>
      </c>
      <c r="K12" s="30">
        <f t="shared" si="0"/>
        <v>1288523.3130000001</v>
      </c>
      <c r="L12" s="30">
        <f t="shared" si="0"/>
        <v>1288523.3130000001</v>
      </c>
      <c r="M12" s="30">
        <f t="shared" si="0"/>
        <v>1288523.3130000001</v>
      </c>
      <c r="N12" s="30">
        <f t="shared" si="0"/>
        <v>1288523.3130000001</v>
      </c>
      <c r="O12" s="30">
        <f t="shared" si="0"/>
        <v>1288523.3130000001</v>
      </c>
      <c r="P12" s="30">
        <f t="shared" si="0"/>
        <v>1288523.3130000001</v>
      </c>
      <c r="Q12" s="30">
        <f t="shared" si="0"/>
        <v>1288523.3130000001</v>
      </c>
      <c r="R12" s="30">
        <f t="shared" si="0"/>
        <v>1288523.3130000001</v>
      </c>
      <c r="S12" s="30">
        <f t="shared" si="0"/>
        <v>1288523.3130000001</v>
      </c>
      <c r="T12" s="30">
        <f t="shared" si="0"/>
        <v>1288523.3130000001</v>
      </c>
      <c r="U12" s="30">
        <f t="shared" si="0"/>
        <v>1288523.3130000001</v>
      </c>
      <c r="V12" s="30">
        <f t="shared" si="0"/>
        <v>1288523.3130000001</v>
      </c>
      <c r="W12" s="30">
        <f t="shared" si="0"/>
        <v>1288523.3130000001</v>
      </c>
      <c r="Y12" s="30">
        <f>SUM(D12:W12)</f>
        <v>25770466.260000013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-9807253</v>
      </c>
    </row>
    <row r="18" spans="1:23" x14ac:dyDescent="0.3">
      <c r="A18" s="4" t="s">
        <v>24</v>
      </c>
      <c r="B18" s="26" t="s">
        <v>23</v>
      </c>
      <c r="D18" s="23">
        <f>Parameters!$B$26*D$6</f>
        <v>-110419.04999999999</v>
      </c>
      <c r="E18" s="23">
        <f>Parameters!$B$26*E$6</f>
        <v>-116117.77717049999</v>
      </c>
      <c r="F18" s="23">
        <f>Parameters!$B$26*F$6</f>
        <v>-122110.61565026949</v>
      </c>
      <c r="G18" s="23">
        <f>Parameters!$B$26*G$6</f>
        <v>-128412.7445239799</v>
      </c>
      <c r="H18" s="23">
        <f>Parameters!$B$26*H$6</f>
        <v>-135040.12626886248</v>
      </c>
      <c r="I18" s="23">
        <f>Parameters!$B$26*I$6</f>
        <v>-142009.54718559847</v>
      </c>
      <c r="J18" s="23">
        <f>Parameters!$B$26*J$6</f>
        <v>-149338.65991584721</v>
      </c>
      <c r="K18" s="23">
        <f>Parameters!$B$26*K$6</f>
        <v>-157046.02815410407</v>
      </c>
      <c r="L18" s="23">
        <f>Parameters!$B$26*L$6</f>
        <v>-165151.17366713737</v>
      </c>
      <c r="M18" s="23">
        <f>Parameters!$B$26*M$6</f>
        <v>-173674.6257400983</v>
      </c>
      <c r="N18" s="23">
        <f>Parameters!$B$26*N$6</f>
        <v>-182637.97317454478</v>
      </c>
      <c r="O18" s="23">
        <f>Parameters!$B$26*O$6</f>
        <v>-192063.91897008303</v>
      </c>
      <c r="P18" s="23">
        <f>Parameters!$B$26*P$6</f>
        <v>-201976.33782812901</v>
      </c>
      <c r="Q18" s="23">
        <f>Parameters!$B$26*Q$6</f>
        <v>-212400.33662343872</v>
      </c>
      <c r="R18" s="23">
        <f>Parameters!$B$26*R$6</f>
        <v>-223362.31799657439</v>
      </c>
      <c r="S18" s="23">
        <f>Parameters!$B$26*S$6</f>
        <v>-234890.04722837757</v>
      </c>
      <c r="T18" s="23">
        <f>Parameters!$B$26*T$6</f>
        <v>-247012.72256583412</v>
      </c>
      <c r="U18" s="23">
        <f>Parameters!$B$26*U$6</f>
        <v>-259761.04917745676</v>
      </c>
      <c r="V18" s="23">
        <f>Parameters!$B$26*V$6</f>
        <v>-273167.31692550529</v>
      </c>
      <c r="W18" s="23">
        <f>Parameters!$B$26*W$6</f>
        <v>-287265.48215203057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-9807253</v>
      </c>
      <c r="D21" s="23">
        <f>D17+D18+D19</f>
        <v>-260419.05</v>
      </c>
      <c r="E21" s="23">
        <f t="shared" ref="E21:W21" si="1">E17+E18+E19</f>
        <v>-266117.77717050002</v>
      </c>
      <c r="F21" s="23">
        <f t="shared" si="1"/>
        <v>-272110.61565026949</v>
      </c>
      <c r="G21" s="23">
        <f t="shared" si="1"/>
        <v>-128412.7445239799</v>
      </c>
      <c r="H21" s="23">
        <f t="shared" si="1"/>
        <v>-135040.12626886248</v>
      </c>
      <c r="I21" s="23">
        <f t="shared" si="1"/>
        <v>-142009.54718559847</v>
      </c>
      <c r="J21" s="23">
        <f t="shared" si="1"/>
        <v>-149338.65991584721</v>
      </c>
      <c r="K21" s="23">
        <f t="shared" si="1"/>
        <v>-157046.02815410407</v>
      </c>
      <c r="L21" s="23">
        <f t="shared" si="1"/>
        <v>-165151.17366713737</v>
      </c>
      <c r="M21" s="23">
        <f t="shared" si="1"/>
        <v>-173674.6257400983</v>
      </c>
      <c r="N21" s="23">
        <f t="shared" si="1"/>
        <v>-182637.97317454478</v>
      </c>
      <c r="O21" s="23">
        <f t="shared" si="1"/>
        <v>-192063.91897008303</v>
      </c>
      <c r="P21" s="23">
        <f t="shared" si="1"/>
        <v>-201976.33782812901</v>
      </c>
      <c r="Q21" s="23">
        <f t="shared" si="1"/>
        <v>-212400.33662343872</v>
      </c>
      <c r="R21" s="23">
        <f t="shared" si="1"/>
        <v>-223362.31799657439</v>
      </c>
      <c r="S21" s="23">
        <f t="shared" si="1"/>
        <v>-234890.04722837757</v>
      </c>
      <c r="T21" s="23">
        <f t="shared" si="1"/>
        <v>-247012.72256583412</v>
      </c>
      <c r="U21" s="23">
        <f t="shared" si="1"/>
        <v>-259761.04917745676</v>
      </c>
      <c r="V21" s="23">
        <f t="shared" si="1"/>
        <v>-273167.31692550529</v>
      </c>
      <c r="W21" s="23">
        <f t="shared" si="1"/>
        <v>-287265.48215203057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-9807253</v>
      </c>
      <c r="D24" s="105">
        <f>D12+D21</f>
        <v>1028104.263</v>
      </c>
      <c r="E24" s="105">
        <f t="shared" ref="E24:W24" si="2">E12+E21</f>
        <v>1022405.5358295001</v>
      </c>
      <c r="F24" s="105">
        <f t="shared" si="2"/>
        <v>1016412.6973497306</v>
      </c>
      <c r="G24" s="105">
        <f t="shared" si="2"/>
        <v>1160110.5684760201</v>
      </c>
      <c r="H24" s="105">
        <f t="shared" si="2"/>
        <v>1153483.1867311376</v>
      </c>
      <c r="I24" s="105">
        <f t="shared" si="2"/>
        <v>1146513.7658144017</v>
      </c>
      <c r="J24" s="105">
        <f t="shared" si="2"/>
        <v>1139184.6530841528</v>
      </c>
      <c r="K24" s="105">
        <f t="shared" si="2"/>
        <v>1131477.2848458961</v>
      </c>
      <c r="L24" s="105">
        <f t="shared" si="2"/>
        <v>1123372.1393328628</v>
      </c>
      <c r="M24" s="105">
        <f t="shared" si="2"/>
        <v>1114848.6872599018</v>
      </c>
      <c r="N24" s="105">
        <f t="shared" si="2"/>
        <v>1105885.3398254553</v>
      </c>
      <c r="O24" s="105">
        <f t="shared" si="2"/>
        <v>1096459.394029917</v>
      </c>
      <c r="P24" s="105">
        <f t="shared" si="2"/>
        <v>1086546.975171871</v>
      </c>
      <c r="Q24" s="105">
        <f t="shared" si="2"/>
        <v>1076122.9763765614</v>
      </c>
      <c r="R24" s="105">
        <f t="shared" si="2"/>
        <v>1065160.9950034257</v>
      </c>
      <c r="S24" s="105">
        <f t="shared" si="2"/>
        <v>1053633.2657716225</v>
      </c>
      <c r="T24" s="105">
        <f t="shared" si="2"/>
        <v>1041510.5904341659</v>
      </c>
      <c r="U24" s="105">
        <f t="shared" si="2"/>
        <v>1028762.2638225433</v>
      </c>
      <c r="V24" s="105">
        <f t="shared" si="2"/>
        <v>1015355.9960744948</v>
      </c>
      <c r="W24" s="105">
        <f t="shared" si="2"/>
        <v>1001257.8308479695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-700518.07142857148</v>
      </c>
      <c r="E26" s="108">
        <f t="shared" ref="E26:W26" si="3">E39</f>
        <v>-700518.07142857148</v>
      </c>
      <c r="F26" s="108">
        <f t="shared" si="3"/>
        <v>-700518.07142857148</v>
      </c>
      <c r="G26" s="108">
        <f t="shared" si="3"/>
        <v>-700518.07142857148</v>
      </c>
      <c r="H26" s="108">
        <f t="shared" si="3"/>
        <v>-700518.07142857148</v>
      </c>
      <c r="I26" s="108">
        <f t="shared" si="3"/>
        <v>-700518.07142857148</v>
      </c>
      <c r="J26" s="108">
        <f t="shared" si="3"/>
        <v>-700518.07142857148</v>
      </c>
      <c r="K26" s="108">
        <f t="shared" si="3"/>
        <v>-700518.07142857148</v>
      </c>
      <c r="L26" s="108">
        <f t="shared" si="3"/>
        <v>-700518.07142857148</v>
      </c>
      <c r="M26" s="108">
        <f t="shared" si="3"/>
        <v>-700518.07142857148</v>
      </c>
      <c r="N26" s="108">
        <f t="shared" si="3"/>
        <v>-700518.07142857148</v>
      </c>
      <c r="O26" s="108">
        <f t="shared" si="3"/>
        <v>-700518.07142857148</v>
      </c>
      <c r="P26" s="108">
        <f t="shared" si="3"/>
        <v>-700518.07142857148</v>
      </c>
      <c r="Q26" s="108">
        <f t="shared" si="3"/>
        <v>-700518.07142857148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-9807253</v>
      </c>
      <c r="D28" s="108">
        <f t="shared" ref="D28:W28" si="4">D24+D26</f>
        <v>327586.19157142856</v>
      </c>
      <c r="E28" s="108">
        <f t="shared" si="4"/>
        <v>321887.46440092858</v>
      </c>
      <c r="F28" s="108">
        <f t="shared" si="4"/>
        <v>315894.62592115917</v>
      </c>
      <c r="G28" s="108">
        <f t="shared" si="4"/>
        <v>459592.49704744865</v>
      </c>
      <c r="H28" s="108">
        <f t="shared" si="4"/>
        <v>452965.11530256609</v>
      </c>
      <c r="I28" s="108">
        <f t="shared" si="4"/>
        <v>445995.6943858302</v>
      </c>
      <c r="J28" s="108">
        <f t="shared" si="4"/>
        <v>438666.58165558137</v>
      </c>
      <c r="K28" s="108">
        <f t="shared" si="4"/>
        <v>430959.21341732459</v>
      </c>
      <c r="L28" s="108">
        <f t="shared" si="4"/>
        <v>422854.06790429133</v>
      </c>
      <c r="M28" s="108">
        <f t="shared" si="4"/>
        <v>414330.6158313303</v>
      </c>
      <c r="N28" s="108">
        <f t="shared" si="4"/>
        <v>405367.26839688385</v>
      </c>
      <c r="O28" s="108">
        <f t="shared" si="4"/>
        <v>395941.32260134548</v>
      </c>
      <c r="P28" s="108">
        <f t="shared" si="4"/>
        <v>386028.90374329954</v>
      </c>
      <c r="Q28" s="108">
        <f t="shared" si="4"/>
        <v>375604.90494798997</v>
      </c>
      <c r="R28" s="108">
        <f t="shared" si="4"/>
        <v>1065160.9950034257</v>
      </c>
      <c r="S28" s="108">
        <f t="shared" si="4"/>
        <v>1053633.2657716225</v>
      </c>
      <c r="T28" s="108">
        <f t="shared" si="4"/>
        <v>1041510.5904341659</v>
      </c>
      <c r="U28" s="108">
        <f t="shared" si="4"/>
        <v>1028762.2638225433</v>
      </c>
      <c r="V28" s="108">
        <f t="shared" si="4"/>
        <v>1015355.9960744948</v>
      </c>
      <c r="W28" s="109">
        <f t="shared" si="4"/>
        <v>1001257.8308479695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189597.33656251605</v>
      </c>
      <c r="T30" s="23">
        <f t="shared" si="5"/>
        <v>272802.50253649626</v>
      </c>
      <c r="U30" s="23">
        <f t="shared" si="5"/>
        <v>280306.76872265333</v>
      </c>
      <c r="V30" s="23">
        <f t="shared" si="5"/>
        <v>287613.65256788261</v>
      </c>
      <c r="W30" s="23">
        <f t="shared" si="5"/>
        <v>294712.96716956887</v>
      </c>
    </row>
    <row r="31" spans="1:23" x14ac:dyDescent="0.3">
      <c r="A31" s="51" t="s">
        <v>41</v>
      </c>
      <c r="B31" s="93" t="s">
        <v>7</v>
      </c>
      <c r="C31" s="52">
        <f>C24-C30</f>
        <v>-9807253</v>
      </c>
      <c r="D31" s="52">
        <f t="shared" ref="D31:W31" si="6">D24-D30</f>
        <v>1028104.263</v>
      </c>
      <c r="E31" s="52">
        <f t="shared" si="6"/>
        <v>1022405.5358295001</v>
      </c>
      <c r="F31" s="52">
        <f t="shared" si="6"/>
        <v>1016412.6973497306</v>
      </c>
      <c r="G31" s="52">
        <f t="shared" si="6"/>
        <v>1160110.5684760201</v>
      </c>
      <c r="H31" s="52">
        <f t="shared" si="6"/>
        <v>1153483.1867311376</v>
      </c>
      <c r="I31" s="52">
        <f t="shared" si="6"/>
        <v>1146513.7658144017</v>
      </c>
      <c r="J31" s="52">
        <f t="shared" si="6"/>
        <v>1139184.6530841528</v>
      </c>
      <c r="K31" s="52">
        <f t="shared" si="6"/>
        <v>1131477.2848458961</v>
      </c>
      <c r="L31" s="52">
        <f t="shared" si="6"/>
        <v>1123372.1393328628</v>
      </c>
      <c r="M31" s="52">
        <f t="shared" si="6"/>
        <v>1114848.6872599018</v>
      </c>
      <c r="N31" s="52">
        <f t="shared" si="6"/>
        <v>1105885.3398254553</v>
      </c>
      <c r="O31" s="52">
        <f t="shared" si="6"/>
        <v>1096459.394029917</v>
      </c>
      <c r="P31" s="52">
        <f t="shared" si="6"/>
        <v>1086546.975171871</v>
      </c>
      <c r="Q31" s="52">
        <f t="shared" si="6"/>
        <v>1076122.9763765614</v>
      </c>
      <c r="R31" s="52">
        <f t="shared" si="6"/>
        <v>1065160.9950034257</v>
      </c>
      <c r="S31" s="52">
        <f t="shared" si="6"/>
        <v>864035.92920910649</v>
      </c>
      <c r="T31" s="52">
        <f t="shared" si="6"/>
        <v>768708.08789766964</v>
      </c>
      <c r="U31" s="52">
        <f t="shared" si="6"/>
        <v>748455.49509989005</v>
      </c>
      <c r="V31" s="52">
        <f t="shared" si="6"/>
        <v>727742.34350661212</v>
      </c>
      <c r="W31" s="52">
        <f t="shared" si="6"/>
        <v>706544.86367840064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1028104.263</v>
      </c>
      <c r="E36" s="38">
        <f t="shared" si="7"/>
        <v>1022405.5358295001</v>
      </c>
      <c r="F36" s="38">
        <f t="shared" si="7"/>
        <v>1016412.6973497306</v>
      </c>
      <c r="G36" s="38">
        <f t="shared" si="7"/>
        <v>1160110.5684760201</v>
      </c>
      <c r="H36" s="38">
        <f t="shared" si="7"/>
        <v>1153483.1867311376</v>
      </c>
      <c r="I36" s="38">
        <f t="shared" si="7"/>
        <v>1146513.7658144017</v>
      </c>
      <c r="J36" s="38">
        <f t="shared" si="7"/>
        <v>1139184.6530841528</v>
      </c>
      <c r="K36" s="38">
        <f t="shared" si="7"/>
        <v>1131477.2848458961</v>
      </c>
      <c r="L36" s="38">
        <f t="shared" si="7"/>
        <v>1123372.1393328628</v>
      </c>
      <c r="M36" s="38">
        <f t="shared" si="7"/>
        <v>1114848.6872599018</v>
      </c>
      <c r="N36" s="38">
        <f t="shared" si="7"/>
        <v>1105885.3398254553</v>
      </c>
      <c r="O36" s="38">
        <f t="shared" si="7"/>
        <v>1096459.394029917</v>
      </c>
      <c r="P36" s="38">
        <f t="shared" si="7"/>
        <v>1086546.975171871</v>
      </c>
      <c r="Q36" s="38">
        <f t="shared" si="7"/>
        <v>1076122.9763765614</v>
      </c>
      <c r="R36" s="38">
        <f t="shared" si="7"/>
        <v>1065160.9950034257</v>
      </c>
      <c r="S36" s="38">
        <f t="shared" si="7"/>
        <v>1053633.2657716225</v>
      </c>
      <c r="T36" s="38">
        <f t="shared" si="7"/>
        <v>1041510.5904341659</v>
      </c>
      <c r="U36" s="38">
        <f t="shared" si="7"/>
        <v>1028762.2638225433</v>
      </c>
      <c r="V36" s="38">
        <f t="shared" si="7"/>
        <v>1015355.9960744948</v>
      </c>
      <c r="W36" s="42">
        <f t="shared" si="7"/>
        <v>1001257.8308479695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-641963.30294648441</v>
      </c>
      <c r="E38" s="38">
        <f t="shared" si="8"/>
        <v>-641963.30294648441</v>
      </c>
      <c r="F38" s="38">
        <f t="shared" si="8"/>
        <v>-641963.30294648441</v>
      </c>
      <c r="G38" s="38">
        <f>-G60</f>
        <v>-623082.02933041134</v>
      </c>
      <c r="H38" s="38">
        <f t="shared" ref="H38:W38" si="9">-H60</f>
        <v>-585319.4820982652</v>
      </c>
      <c r="I38" s="38">
        <f t="shared" si="9"/>
        <v>-547556.93486611906</v>
      </c>
      <c r="J38" s="38">
        <f t="shared" si="9"/>
        <v>-509794.38763397292</v>
      </c>
      <c r="K38" s="38">
        <f t="shared" si="9"/>
        <v>-472031.84040182683</v>
      </c>
      <c r="L38" s="38">
        <f t="shared" si="9"/>
        <v>-434269.29316968069</v>
      </c>
      <c r="M38" s="38">
        <f t="shared" si="9"/>
        <v>-396506.74593753455</v>
      </c>
      <c r="N38" s="38">
        <f t="shared" si="9"/>
        <v>-358744.19870538841</v>
      </c>
      <c r="O38" s="38">
        <f t="shared" si="9"/>
        <v>-320981.65147324227</v>
      </c>
      <c r="P38" s="38">
        <f t="shared" si="9"/>
        <v>-283219.10424109618</v>
      </c>
      <c r="Q38" s="38">
        <f t="shared" si="9"/>
        <v>-245456.55700895001</v>
      </c>
      <c r="R38" s="38">
        <f t="shared" si="9"/>
        <v>-207694.0097768039</v>
      </c>
      <c r="S38" s="38">
        <f t="shared" si="9"/>
        <v>-169931.46254465776</v>
      </c>
      <c r="T38" s="38">
        <f t="shared" si="9"/>
        <v>-132168.91531251161</v>
      </c>
      <c r="U38" s="38">
        <f t="shared" si="9"/>
        <v>-94406.368080365501</v>
      </c>
      <c r="V38" s="38">
        <f t="shared" si="9"/>
        <v>-56643.820848219344</v>
      </c>
      <c r="W38" s="38">
        <f t="shared" si="9"/>
        <v>-18881.273616073206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-700518.07142857148</v>
      </c>
      <c r="E39" s="46">
        <f>IF(E4&lt;=Parameters!$B$50,Parameters!$B$25/Parameters!$B$50,0)</f>
        <v>-700518.07142857148</v>
      </c>
      <c r="F39" s="46">
        <f>IF(F4&lt;=Parameters!$B$50,Parameters!$B$25/Parameters!$B$50,0)</f>
        <v>-700518.07142857148</v>
      </c>
      <c r="G39" s="46">
        <f>IF(G4&lt;=Parameters!$B$50,Parameters!$B$25/Parameters!$B$50,0)</f>
        <v>-700518.07142857148</v>
      </c>
      <c r="H39" s="46">
        <f>IF(H4&lt;=Parameters!$B$50,Parameters!$B$25/Parameters!$B$50,0)</f>
        <v>-700518.07142857148</v>
      </c>
      <c r="I39" s="46">
        <f>IF(I4&lt;=Parameters!$B$50,Parameters!$B$25/Parameters!$B$50,0)</f>
        <v>-700518.07142857148</v>
      </c>
      <c r="J39" s="46">
        <f>IF(J4&lt;=Parameters!$B$50,Parameters!$B$25/Parameters!$B$50,0)</f>
        <v>-700518.07142857148</v>
      </c>
      <c r="K39" s="46">
        <f>IF(K4&lt;=Parameters!$B$50,Parameters!$B$25/Parameters!$B$50,0)</f>
        <v>-700518.07142857148</v>
      </c>
      <c r="L39" s="46">
        <f>IF(L4&lt;=Parameters!$B$50,Parameters!$B$25/Parameters!$B$50,0)</f>
        <v>-700518.07142857148</v>
      </c>
      <c r="M39" s="46">
        <f>IF(M4&lt;=Parameters!$B$50,Parameters!$B$25/Parameters!$B$50,0)</f>
        <v>-700518.07142857148</v>
      </c>
      <c r="N39" s="46">
        <f>IF(N4&lt;=Parameters!$B$50,Parameters!$B$25/Parameters!$B$50,0)</f>
        <v>-700518.07142857148</v>
      </c>
      <c r="O39" s="46">
        <f>IF(O4&lt;=Parameters!$B$50,Parameters!$B$25/Parameters!$B$50,0)</f>
        <v>-700518.07142857148</v>
      </c>
      <c r="P39" s="46">
        <f>IF(P4&lt;=Parameters!$B$50,Parameters!$B$25/Parameters!$B$50,0)</f>
        <v>-700518.07142857148</v>
      </c>
      <c r="Q39" s="46">
        <f>IF(Q4&lt;=Parameters!$B$50,Parameters!$B$25/Parameters!$B$50,0)</f>
        <v>-700518.07142857148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-314377.11137505586</v>
      </c>
      <c r="E40" s="50">
        <f t="shared" ref="E40:W40" si="10">SUM(E36:E39)</f>
        <v>-320075.83854555583</v>
      </c>
      <c r="F40" s="50">
        <f t="shared" si="10"/>
        <v>-326068.67702532525</v>
      </c>
      <c r="G40" s="50">
        <f t="shared" si="10"/>
        <v>-163489.5322829627</v>
      </c>
      <c r="H40" s="50">
        <f t="shared" si="10"/>
        <v>-132354.36679569911</v>
      </c>
      <c r="I40" s="50">
        <f t="shared" si="10"/>
        <v>-101561.24048028886</v>
      </c>
      <c r="J40" s="50">
        <f t="shared" si="10"/>
        <v>-71127.805978391552</v>
      </c>
      <c r="K40" s="50">
        <f t="shared" si="10"/>
        <v>-41072.626984502305</v>
      </c>
      <c r="L40" s="50">
        <f t="shared" si="10"/>
        <v>-11415.225265389425</v>
      </c>
      <c r="M40" s="50">
        <f t="shared" si="10"/>
        <v>17823.869893795694</v>
      </c>
      <c r="N40" s="50">
        <f t="shared" si="10"/>
        <v>46623.069691495388</v>
      </c>
      <c r="O40" s="50">
        <f t="shared" si="10"/>
        <v>74959.67112810316</v>
      </c>
      <c r="P40" s="50">
        <f t="shared" si="10"/>
        <v>102809.79950220336</v>
      </c>
      <c r="Q40" s="50">
        <f t="shared" si="10"/>
        <v>130148.34793903993</v>
      </c>
      <c r="R40" s="50">
        <f t="shared" si="10"/>
        <v>857466.98522662185</v>
      </c>
      <c r="S40" s="50">
        <f t="shared" si="10"/>
        <v>883701.80322696478</v>
      </c>
      <c r="T40" s="50">
        <f t="shared" si="10"/>
        <v>909341.67512165429</v>
      </c>
      <c r="U40" s="50">
        <f t="shared" si="10"/>
        <v>934355.89574217785</v>
      </c>
      <c r="V40" s="50">
        <f t="shared" si="10"/>
        <v>958712.17522627546</v>
      </c>
      <c r="W40" s="50">
        <f t="shared" si="10"/>
        <v>982376.55723189632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-314377.11137505586</v>
      </c>
      <c r="F41" s="57">
        <f>IF(Parameters!$B$40="yes",IF(Kalkulation!E42&lt;0,Kalkulation!E42,0),0)</f>
        <v>-634452.94992061169</v>
      </c>
      <c r="G41" s="57">
        <f>IF(Parameters!$B$40="yes",IF(Kalkulation!F42&lt;0,Kalkulation!F42,0),0)</f>
        <v>-960521.62694593694</v>
      </c>
      <c r="H41" s="57">
        <f>IF(Parameters!$B$40="yes",IF(Kalkulation!G42&lt;0,Kalkulation!G42,0),0)</f>
        <v>-1124011.1592288995</v>
      </c>
      <c r="I41" s="57">
        <f>IF(Parameters!$B$40="yes",IF(Kalkulation!H42&lt;0,Kalkulation!H42,0),0)</f>
        <v>-1256365.5260245986</v>
      </c>
      <c r="J41" s="57">
        <f>IF(Parameters!$B$40="yes",IF(Kalkulation!I42&lt;0,Kalkulation!I42,0),0)</f>
        <v>-1357926.7665048875</v>
      </c>
      <c r="K41" s="57">
        <f>IF(Parameters!$B$40="yes",IF(Kalkulation!J42&lt;0,Kalkulation!J42,0),0)</f>
        <v>-1429054.572483279</v>
      </c>
      <c r="L41" s="57">
        <f>IF(Parameters!$B$40="yes",IF(Kalkulation!K42&lt;0,Kalkulation!K42,0),0)</f>
        <v>-1470127.1994677815</v>
      </c>
      <c r="M41" s="57">
        <f>IF(Parameters!$B$40="yes",IF(Kalkulation!L42&lt;0,Kalkulation!L42,0),0)</f>
        <v>-1481542.4247331708</v>
      </c>
      <c r="N41" s="57">
        <f>IF(Parameters!$B$40="yes",IF(Kalkulation!M42&lt;0,Kalkulation!M42,0),0)</f>
        <v>-1463718.554839375</v>
      </c>
      <c r="O41" s="57">
        <f>IF(Parameters!$B$40="yes",IF(Kalkulation!N42&lt;0,Kalkulation!N42,0),0)</f>
        <v>-1417095.4851478795</v>
      </c>
      <c r="P41" s="57">
        <f>IF(Parameters!$B$40="yes",IF(Kalkulation!O42&lt;0,Kalkulation!O42,0),0)</f>
        <v>-1342135.8140197764</v>
      </c>
      <c r="Q41" s="57">
        <f>IF(Parameters!$B$40="yes",IF(Kalkulation!P42&lt;0,Kalkulation!P42,0),0)</f>
        <v>-1239326.0145175732</v>
      </c>
      <c r="R41" s="57">
        <f>IF(Parameters!$B$40="yes",IF(Kalkulation!Q42&lt;0,Kalkulation!Q42,0),0)</f>
        <v>-1109177.6665785331</v>
      </c>
      <c r="S41" s="57">
        <f>IF(Parameters!$B$40="yes",IF(Kalkulation!R42&lt;0,Kalkulation!R42,0),0)</f>
        <v>-251710.68135191128</v>
      </c>
      <c r="T41" s="57">
        <f>IF(Parameters!$B$40="yes",IF(Kalkulation!S42&lt;0,Kalkulation!S42,0),0)</f>
        <v>0</v>
      </c>
      <c r="U41" s="57">
        <f>IF(Parameters!$B$40="yes",IF(Kalkulation!T42&lt;0,Kalkulation!T42,0),0)</f>
        <v>0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-314377.11137505586</v>
      </c>
      <c r="E42" s="46">
        <f>E40+E41</f>
        <v>-634452.94992061169</v>
      </c>
      <c r="F42" s="46">
        <f t="shared" ref="F42:W42" si="11">F40+F41</f>
        <v>-960521.62694593694</v>
      </c>
      <c r="G42" s="46">
        <f t="shared" si="11"/>
        <v>-1124011.1592288995</v>
      </c>
      <c r="H42" s="46">
        <f t="shared" si="11"/>
        <v>-1256365.5260245986</v>
      </c>
      <c r="I42" s="46">
        <f t="shared" si="11"/>
        <v>-1357926.7665048875</v>
      </c>
      <c r="J42" s="46">
        <f t="shared" si="11"/>
        <v>-1429054.572483279</v>
      </c>
      <c r="K42" s="46">
        <f t="shared" si="11"/>
        <v>-1470127.1994677815</v>
      </c>
      <c r="L42" s="46">
        <f t="shared" si="11"/>
        <v>-1481542.4247331708</v>
      </c>
      <c r="M42" s="46">
        <f t="shared" si="11"/>
        <v>-1463718.554839375</v>
      </c>
      <c r="N42" s="46">
        <f t="shared" si="11"/>
        <v>-1417095.4851478795</v>
      </c>
      <c r="O42" s="46">
        <f t="shared" si="11"/>
        <v>-1342135.8140197764</v>
      </c>
      <c r="P42" s="46">
        <f t="shared" si="11"/>
        <v>-1239326.0145175732</v>
      </c>
      <c r="Q42" s="46">
        <f t="shared" si="11"/>
        <v>-1109177.6665785331</v>
      </c>
      <c r="R42" s="46">
        <f t="shared" si="11"/>
        <v>-251710.68135191128</v>
      </c>
      <c r="S42" s="46">
        <f t="shared" si="11"/>
        <v>631991.1218750535</v>
      </c>
      <c r="T42" s="46">
        <f t="shared" si="11"/>
        <v>909341.67512165429</v>
      </c>
      <c r="U42" s="46">
        <f t="shared" si="11"/>
        <v>934355.89574217785</v>
      </c>
      <c r="V42" s="46">
        <f t="shared" si="11"/>
        <v>958712.17522627546</v>
      </c>
      <c r="W42" s="46">
        <f t="shared" si="11"/>
        <v>982376.55723189632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/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/>
      <c r="S45" s="46"/>
      <c r="T45" s="46"/>
      <c r="U45" s="46"/>
      <c r="V45" s="46"/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/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/>
      <c r="S46" s="46"/>
      <c r="T46" s="46"/>
      <c r="U46" s="46"/>
      <c r="V46" s="46"/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/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/>
      <c r="S47" s="46"/>
      <c r="T47" s="46"/>
      <c r="U47" s="46"/>
      <c r="V47" s="46"/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/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/>
      <c r="S48" s="44"/>
      <c r="T48" s="44"/>
      <c r="U48" s="44"/>
      <c r="V48" s="44"/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/>
      <c r="S49" s="143"/>
      <c r="T49" s="143"/>
      <c r="U49" s="143"/>
      <c r="V49" s="143"/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/>
      <c r="S50" s="46"/>
      <c r="T50" s="46"/>
      <c r="U50" s="46"/>
      <c r="V50" s="46"/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/>
      <c r="S51" s="46"/>
      <c r="T51" s="46"/>
      <c r="U51" s="46"/>
      <c r="V51" s="46"/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/>
      <c r="S52" s="44"/>
      <c r="T52" s="44"/>
      <c r="U52" s="44"/>
      <c r="V52" s="44"/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f t="shared" ref="S54:W54" si="20" xml:space="preserve"> S42*0.3</f>
        <v>189597.33656251605</v>
      </c>
      <c r="T54" s="44">
        <f t="shared" si="20"/>
        <v>272802.50253649626</v>
      </c>
      <c r="U54" s="44">
        <f t="shared" si="20"/>
        <v>280306.76872265333</v>
      </c>
      <c r="V54" s="44">
        <f t="shared" si="20"/>
        <v>287613.65256788261</v>
      </c>
      <c r="W54" s="44">
        <f t="shared" si="20"/>
        <v>294712.96716956887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7132925.5882942714</v>
      </c>
      <c r="E58" s="53">
        <f>IF(Parameters!$B$32=$A$63,E65,IF(Parameters!$B$32=$A$70,E72))</f>
        <v>7132925.5882942714</v>
      </c>
      <c r="F58" s="53">
        <f>IF(Parameters!$B$32=$A$63,F65,IF(Parameters!$B$32=$A$70,F72))</f>
        <v>7132925.5882942714</v>
      </c>
      <c r="G58" s="53">
        <f>IF(Parameters!$B$32=$A$63,G65,IF(Parameters!$B$32=$A$70,G72))</f>
        <v>7132925.5882942714</v>
      </c>
      <c r="H58" s="53">
        <f>IF(Parameters!$B$32=$A$63,H65,IF(Parameters!$B$32=$A$70,H72))</f>
        <v>6713341.7301593143</v>
      </c>
      <c r="I58" s="53">
        <f>IF(Parameters!$B$32=$A$63,I65,IF(Parameters!$B$32=$A$70,I72))</f>
        <v>6293757.8720243573</v>
      </c>
      <c r="J58" s="53">
        <f>IF(Parameters!$B$32=$A$63,J65,IF(Parameters!$B$32=$A$70,J72))</f>
        <v>5874174.0138894003</v>
      </c>
      <c r="K58" s="53">
        <f>IF(Parameters!$B$32=$A$63,K65,IF(Parameters!$B$32=$A$70,K72))</f>
        <v>5454590.1557544433</v>
      </c>
      <c r="L58" s="53">
        <f>IF(Parameters!$B$32=$A$63,L65,IF(Parameters!$B$32=$A$70,L72))</f>
        <v>5035006.2976194862</v>
      </c>
      <c r="M58" s="53">
        <f>IF(Parameters!$B$32=$A$63,M65,IF(Parameters!$B$32=$A$70,M72))</f>
        <v>4615422.4394845292</v>
      </c>
      <c r="N58" s="53">
        <f>IF(Parameters!$B$32=$A$63,N65,IF(Parameters!$B$32=$A$70,N72))</f>
        <v>4195838.5813495722</v>
      </c>
      <c r="O58" s="53">
        <f>IF(Parameters!$B$32=$A$63,O65,IF(Parameters!$B$32=$A$70,O72))</f>
        <v>3776254.7232146151</v>
      </c>
      <c r="P58" s="53">
        <f>IF(Parameters!$B$32=$A$63,P65,IF(Parameters!$B$32=$A$70,P72))</f>
        <v>3356670.8650796581</v>
      </c>
      <c r="Q58" s="53">
        <f>IF(Parameters!$B$32=$A$63,Q65,IF(Parameters!$B$32=$A$70,Q72))</f>
        <v>2937087.0069447011</v>
      </c>
      <c r="R58" s="53">
        <f>IF(Parameters!$B$32=$A$63,R65,IF(Parameters!$B$32=$A$70,R72))</f>
        <v>2517503.148809744</v>
      </c>
      <c r="S58" s="53">
        <f>IF(Parameters!$B$32=$A$63,S65,IF(Parameters!$B$32=$A$70,S72))</f>
        <v>2097919.290674787</v>
      </c>
      <c r="T58" s="53">
        <f>IF(Parameters!$B$32=$A$63,T65,IF(Parameters!$B$32=$A$70,T72))</f>
        <v>1678335.43253983</v>
      </c>
      <c r="U58" s="53">
        <f>IF(Parameters!$B$32=$A$63,U65,IF(Parameters!$B$32=$A$70,U72))</f>
        <v>1258751.574404873</v>
      </c>
      <c r="V58" s="53">
        <f>IF(Parameters!$B$32=$A$63,V65,IF(Parameters!$B$32=$A$70,V72))</f>
        <v>839167.71626991581</v>
      </c>
      <c r="W58" s="53">
        <f>IF(Parameters!$B$32=$A$63,W65,IF(Parameters!$B$32=$A$70,W72))</f>
        <v>419583.85813495866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419583.85813495715</v>
      </c>
      <c r="H59" s="53">
        <f>IF(Parameters!$B$32=$A$63,H66,IF(Parameters!$B$32=$A$70,H73))</f>
        <v>419583.85813495715</v>
      </c>
      <c r="I59" s="53">
        <f>IF(Parameters!$B$32=$A$63,I66,IF(Parameters!$B$32=$A$70,I73))</f>
        <v>419583.85813495715</v>
      </c>
      <c r="J59" s="53">
        <f>IF(Parameters!$B$32=$A$63,J66,IF(Parameters!$B$32=$A$70,J73))</f>
        <v>419583.85813495715</v>
      </c>
      <c r="K59" s="53">
        <f>IF(Parameters!$B$32=$A$63,K66,IF(Parameters!$B$32=$A$70,K73))</f>
        <v>419583.85813495715</v>
      </c>
      <c r="L59" s="53">
        <f>IF(Parameters!$B$32=$A$63,L66,IF(Parameters!$B$32=$A$70,L73))</f>
        <v>419583.85813495715</v>
      </c>
      <c r="M59" s="53">
        <f>IF(Parameters!$B$32=$A$63,M66,IF(Parameters!$B$32=$A$70,M73))</f>
        <v>419583.85813495715</v>
      </c>
      <c r="N59" s="53">
        <f>IF(Parameters!$B$32=$A$63,N66,IF(Parameters!$B$32=$A$70,N73))</f>
        <v>419583.85813495715</v>
      </c>
      <c r="O59" s="53">
        <f>IF(Parameters!$B$32=$A$63,O66,IF(Parameters!$B$32=$A$70,O73))</f>
        <v>419583.85813495715</v>
      </c>
      <c r="P59" s="53">
        <f>IF(Parameters!$B$32=$A$63,P66,IF(Parameters!$B$32=$A$70,P73))</f>
        <v>419583.85813495715</v>
      </c>
      <c r="Q59" s="53">
        <f>IF(Parameters!$B$32=$A$63,Q66,IF(Parameters!$B$32=$A$70,Q73))</f>
        <v>419583.85813495715</v>
      </c>
      <c r="R59" s="53">
        <f>IF(Parameters!$B$32=$A$63,R66,IF(Parameters!$B$32=$A$70,R73))</f>
        <v>419583.85813495715</v>
      </c>
      <c r="S59" s="53">
        <f>IF(Parameters!$B$32=$A$63,S66,IF(Parameters!$B$32=$A$70,S73))</f>
        <v>419583.85813495715</v>
      </c>
      <c r="T59" s="53">
        <f>IF(Parameters!$B$32=$A$63,T66,IF(Parameters!$B$32=$A$70,T73))</f>
        <v>419583.85813495715</v>
      </c>
      <c r="U59" s="53">
        <f>IF(Parameters!$B$32=$A$63,U66,IF(Parameters!$B$32=$A$70,U73))</f>
        <v>419583.85813495715</v>
      </c>
      <c r="V59" s="53">
        <f>IF(Parameters!$B$32=$A$63,V66,IF(Parameters!$B$32=$A$70,V73))</f>
        <v>419583.85813495715</v>
      </c>
      <c r="W59" s="53">
        <f>IF(Parameters!$B$32=$A$63,W66,IF(Parameters!$B$32=$A$70,W73))</f>
        <v>419583.85813495715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641963.30294648441</v>
      </c>
      <c r="E60" s="54">
        <f>IF(Parameters!$B$32=$A$63,E67,IF(Parameters!$B$32=$A$70,E74))</f>
        <v>641963.30294648441</v>
      </c>
      <c r="F60" s="54">
        <f>IF(Parameters!$B$32=$A$63,F67,IF(Parameters!$B$32=$A$70,F74))</f>
        <v>641963.30294648441</v>
      </c>
      <c r="G60" s="54">
        <f>IF(Parameters!$B$32=$A$63,G67,IF(Parameters!$B$32=$A$70,G74))</f>
        <v>623082.02933041134</v>
      </c>
      <c r="H60" s="54">
        <f>IF(Parameters!$B$32=$A$63,H67,IF(Parameters!$B$32=$A$70,H74))</f>
        <v>585319.4820982652</v>
      </c>
      <c r="I60" s="54">
        <f>IF(Parameters!$B$32=$A$63,I67,IF(Parameters!$B$32=$A$70,I74))</f>
        <v>547556.93486611906</v>
      </c>
      <c r="J60" s="54">
        <f>IF(Parameters!$B$32=$A$63,J67,IF(Parameters!$B$32=$A$70,J74))</f>
        <v>509794.38763397292</v>
      </c>
      <c r="K60" s="54">
        <f>IF(Parameters!$B$32=$A$63,K67,IF(Parameters!$B$32=$A$70,K74))</f>
        <v>472031.84040182683</v>
      </c>
      <c r="L60" s="54">
        <f>IF(Parameters!$B$32=$A$63,L67,IF(Parameters!$B$32=$A$70,L74))</f>
        <v>434269.29316968069</v>
      </c>
      <c r="M60" s="54">
        <f>IF(Parameters!$B$32=$A$63,M67,IF(Parameters!$B$32=$A$70,M74))</f>
        <v>396506.74593753455</v>
      </c>
      <c r="N60" s="54">
        <f>IF(Parameters!$B$32=$A$63,N67,IF(Parameters!$B$32=$A$70,N74))</f>
        <v>358744.19870538841</v>
      </c>
      <c r="O60" s="54">
        <f>IF(Parameters!$B$32=$A$63,O67,IF(Parameters!$B$32=$A$70,O74))</f>
        <v>320981.65147324227</v>
      </c>
      <c r="P60" s="54">
        <f>IF(Parameters!$B$32=$A$63,P67,IF(Parameters!$B$32=$A$70,P74))</f>
        <v>283219.10424109618</v>
      </c>
      <c r="Q60" s="54">
        <f>IF(Parameters!$B$32=$A$63,Q67,IF(Parameters!$B$32=$A$70,Q74))</f>
        <v>245456.55700895001</v>
      </c>
      <c r="R60" s="54">
        <f>IF(Parameters!$B$32=$A$63,R67,IF(Parameters!$B$32=$A$70,R74))</f>
        <v>207694.0097768039</v>
      </c>
      <c r="S60" s="54">
        <f>IF(Parameters!$B$32=$A$63,S67,IF(Parameters!$B$32=$A$70,S74))</f>
        <v>169931.46254465776</v>
      </c>
      <c r="T60" s="54">
        <f>IF(Parameters!$B$32=$A$63,T67,IF(Parameters!$B$32=$A$70,T74))</f>
        <v>132168.91531251161</v>
      </c>
      <c r="U60" s="54">
        <f>IF(Parameters!$B$32=$A$63,U67,IF(Parameters!$B$32=$A$70,U74))</f>
        <v>94406.368080365501</v>
      </c>
      <c r="V60" s="54">
        <f>IF(Parameters!$B$32=$A$63,V67,IF(Parameters!$B$32=$A$70,V74))</f>
        <v>56643.820848219344</v>
      </c>
      <c r="W60" s="54">
        <f>IF(Parameters!$B$32=$A$63,W67,IF(Parameters!$B$32=$A$70,W74))</f>
        <v>18881.273616073206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641963.30294648441</v>
      </c>
      <c r="E61" s="56">
        <f>IF(Parameters!$B$32=$A$63,E68,IF(Parameters!$B$32=$A$70,E75))</f>
        <v>641963.30294648441</v>
      </c>
      <c r="F61" s="56">
        <f>IF(Parameters!$B$32=$A$63,F68,IF(Parameters!$B$32=$A$70,F75))</f>
        <v>641963.30294648441</v>
      </c>
      <c r="G61" s="56">
        <f>IF(Parameters!$B$32=$A$63,G68,IF(Parameters!$B$32=$A$70,G75))</f>
        <v>1042665.8874653685</v>
      </c>
      <c r="H61" s="56">
        <f>IF(Parameters!$B$32=$A$63,H68,IF(Parameters!$B$32=$A$70,H75))</f>
        <v>1004903.3402332223</v>
      </c>
      <c r="I61" s="56">
        <f>IF(Parameters!$B$32=$A$63,I68,IF(Parameters!$B$32=$A$70,I75))</f>
        <v>967140.79300107621</v>
      </c>
      <c r="J61" s="56">
        <f>IF(Parameters!$B$32=$A$63,J68,IF(Parameters!$B$32=$A$70,J75))</f>
        <v>929378.24576893006</v>
      </c>
      <c r="K61" s="56">
        <f>IF(Parameters!$B$32=$A$63,K68,IF(Parameters!$B$32=$A$70,K75))</f>
        <v>891615.69853678392</v>
      </c>
      <c r="L61" s="56">
        <f>IF(Parameters!$B$32=$A$63,L68,IF(Parameters!$B$32=$A$70,L75))</f>
        <v>853853.15130463778</v>
      </c>
      <c r="M61" s="56">
        <f>IF(Parameters!$B$32=$A$63,M68,IF(Parameters!$B$32=$A$70,M75))</f>
        <v>816090.60407249164</v>
      </c>
      <c r="N61" s="56">
        <f>IF(Parameters!$B$32=$A$63,N68,IF(Parameters!$B$32=$A$70,N75))</f>
        <v>778328.0568403455</v>
      </c>
      <c r="O61" s="56">
        <f>IF(Parameters!$B$32=$A$63,O68,IF(Parameters!$B$32=$A$70,O75))</f>
        <v>740565.50960819935</v>
      </c>
      <c r="P61" s="56">
        <f>IF(Parameters!$B$32=$A$63,P68,IF(Parameters!$B$32=$A$70,P75))</f>
        <v>702802.96237605333</v>
      </c>
      <c r="Q61" s="56">
        <f>IF(Parameters!$B$32=$A$63,Q68,IF(Parameters!$B$32=$A$70,Q75))</f>
        <v>665040.41514390719</v>
      </c>
      <c r="R61" s="56">
        <f>IF(Parameters!$B$32=$A$63,R68,IF(Parameters!$B$32=$A$70,R75))</f>
        <v>627277.86791176104</v>
      </c>
      <c r="S61" s="56">
        <f>IF(Parameters!$B$32=$A$63,S68,IF(Parameters!$B$32=$A$70,S75))</f>
        <v>589515.3206796149</v>
      </c>
      <c r="T61" s="56">
        <f>IF(Parameters!$B$32=$A$63,T68,IF(Parameters!$B$32=$A$70,T75))</f>
        <v>551752.77344746876</v>
      </c>
      <c r="U61" s="56">
        <f>IF(Parameters!$B$32=$A$63,U68,IF(Parameters!$B$32=$A$70,U75))</f>
        <v>513990.22621532262</v>
      </c>
      <c r="V61" s="56">
        <f>IF(Parameters!$B$32=$A$63,V68,IF(Parameters!$B$32=$A$70,V75))</f>
        <v>476227.67898317648</v>
      </c>
      <c r="W61" s="56">
        <f>IF(Parameters!$B$32=$A$63,W68,IF(Parameters!$B$32=$A$70,W75))</f>
        <v>438465.13175103033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7132925.5882942714</v>
      </c>
      <c r="E65" s="53">
        <f>Parameters!$B$39</f>
        <v>7132925.5882942714</v>
      </c>
      <c r="F65" s="53">
        <f>Parameters!$B$39</f>
        <v>7132925.5882942714</v>
      </c>
      <c r="G65" s="53">
        <f>Parameters!$B$39</f>
        <v>7132925.5882942714</v>
      </c>
      <c r="H65" s="53">
        <f t="shared" ref="H65:W65" si="21">G65-G66</f>
        <v>6713341.7301593143</v>
      </c>
      <c r="I65" s="53">
        <f t="shared" si="21"/>
        <v>6293757.8720243573</v>
      </c>
      <c r="J65" s="53">
        <f t="shared" si="21"/>
        <v>5874174.0138894003</v>
      </c>
      <c r="K65" s="53">
        <f t="shared" si="21"/>
        <v>5454590.1557544433</v>
      </c>
      <c r="L65" s="53">
        <f t="shared" si="21"/>
        <v>5035006.2976194862</v>
      </c>
      <c r="M65" s="53">
        <f t="shared" si="21"/>
        <v>4615422.4394845292</v>
      </c>
      <c r="N65" s="53">
        <f t="shared" si="21"/>
        <v>4195838.5813495722</v>
      </c>
      <c r="O65" s="53">
        <f t="shared" si="21"/>
        <v>3776254.7232146151</v>
      </c>
      <c r="P65" s="53">
        <f t="shared" si="21"/>
        <v>3356670.8650796581</v>
      </c>
      <c r="Q65" s="53">
        <f t="shared" si="21"/>
        <v>2937087.0069447011</v>
      </c>
      <c r="R65" s="53">
        <f t="shared" si="21"/>
        <v>2517503.148809744</v>
      </c>
      <c r="S65" s="53">
        <f t="shared" si="21"/>
        <v>2097919.290674787</v>
      </c>
      <c r="T65" s="53">
        <f t="shared" si="21"/>
        <v>1678335.43253983</v>
      </c>
      <c r="U65" s="53">
        <f t="shared" si="21"/>
        <v>1258751.574404873</v>
      </c>
      <c r="V65" s="53">
        <f t="shared" si="21"/>
        <v>839167.71626991581</v>
      </c>
      <c r="W65" s="53">
        <f t="shared" si="21"/>
        <v>419583.85813495866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419583.85813495715</v>
      </c>
      <c r="H66" s="53">
        <f>IF(E4&lt;=Parameters!$B$35,Parameters!$B$39/Parameters!$B$35,0)</f>
        <v>419583.85813495715</v>
      </c>
      <c r="I66" s="53">
        <f>IF(F4&lt;=Parameters!$B$35,Parameters!$B$39/Parameters!$B$35,0)</f>
        <v>419583.85813495715</v>
      </c>
      <c r="J66" s="53">
        <f>IF(G4&lt;=Parameters!$B$35,Parameters!$B$39/Parameters!$B$35,0)</f>
        <v>419583.85813495715</v>
      </c>
      <c r="K66" s="53">
        <f>IF(H4&lt;=Parameters!$B$35,Parameters!$B$39/Parameters!$B$35,0)</f>
        <v>419583.85813495715</v>
      </c>
      <c r="L66" s="53">
        <f>IF(I4&lt;=Parameters!$B$35,Parameters!$B$39/Parameters!$B$35,0)</f>
        <v>419583.85813495715</v>
      </c>
      <c r="M66" s="53">
        <f>IF(J4&lt;=Parameters!$B$35,Parameters!$B$39/Parameters!$B$35,0)</f>
        <v>419583.85813495715</v>
      </c>
      <c r="N66" s="53">
        <f>IF(K4&lt;=Parameters!$B$35,Parameters!$B$39/Parameters!$B$35,0)</f>
        <v>419583.85813495715</v>
      </c>
      <c r="O66" s="53">
        <f>IF(L4&lt;=Parameters!$B$35,Parameters!$B$39/Parameters!$B$35,0)</f>
        <v>419583.85813495715</v>
      </c>
      <c r="P66" s="53">
        <f>IF(M4&lt;=Parameters!$B$35,Parameters!$B$39/Parameters!$B$35,0)</f>
        <v>419583.85813495715</v>
      </c>
      <c r="Q66" s="53">
        <f>IF(N4&lt;=Parameters!$B$35,Parameters!$B$39/Parameters!$B$35,0)</f>
        <v>419583.85813495715</v>
      </c>
      <c r="R66" s="53">
        <f>IF(O4&lt;=Parameters!$B$35,Parameters!$B$39/Parameters!$B$35,0)</f>
        <v>419583.85813495715</v>
      </c>
      <c r="S66" s="53">
        <f>IF(P4&lt;=Parameters!$B$35,Parameters!$B$39/Parameters!$B$35,0)</f>
        <v>419583.85813495715</v>
      </c>
      <c r="T66" s="53">
        <f>IF(Q4&lt;=Parameters!$B$35,Parameters!$B$39/Parameters!$B$35,0)</f>
        <v>419583.85813495715</v>
      </c>
      <c r="U66" s="53">
        <f>IF(R4&lt;=Parameters!$B$35,Parameters!$B$39/Parameters!$B$35,0)</f>
        <v>419583.85813495715</v>
      </c>
      <c r="V66" s="53">
        <f>IF(S4&lt;=Parameters!$B$35,Parameters!$B$39/Parameters!$B$35,0)</f>
        <v>419583.85813495715</v>
      </c>
      <c r="W66" s="53">
        <f>IF(T4&lt;=Parameters!$B$35,Parameters!$B$39/Parameters!$B$35,0)</f>
        <v>419583.85813495715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641963.30294648441</v>
      </c>
      <c r="E67" s="54">
        <f>(E65-E66/2)*Parameters!$B$38</f>
        <v>641963.30294648441</v>
      </c>
      <c r="F67" s="54">
        <f>(F65-F66/2)*Parameters!$B$38</f>
        <v>641963.30294648441</v>
      </c>
      <c r="G67" s="54">
        <f>(G65-G66/2)*Parameters!$B$38</f>
        <v>623082.02933041134</v>
      </c>
      <c r="H67" s="54">
        <f>(H65-H66/2)*Parameters!$B$38</f>
        <v>585319.4820982652</v>
      </c>
      <c r="I67" s="54">
        <f>(I65-I66/2)*Parameters!$B$38</f>
        <v>547556.93486611906</v>
      </c>
      <c r="J67" s="54">
        <f>(J65-J66/2)*Parameters!$B$38</f>
        <v>509794.38763397292</v>
      </c>
      <c r="K67" s="54">
        <f>(K65-K66/2)*Parameters!$B$38</f>
        <v>472031.84040182683</v>
      </c>
      <c r="L67" s="54">
        <f>(L65-L66/2)*Parameters!$B$38</f>
        <v>434269.29316968069</v>
      </c>
      <c r="M67" s="54">
        <f>(M65-M66/2)*Parameters!$B$38</f>
        <v>396506.74593753455</v>
      </c>
      <c r="N67" s="54">
        <f>(N65-N66/2)*Parameters!$B$38</f>
        <v>358744.19870538841</v>
      </c>
      <c r="O67" s="54">
        <f>(O65-O66/2)*Parameters!$B$38</f>
        <v>320981.65147324227</v>
      </c>
      <c r="P67" s="54">
        <f>(P65-P66/2)*Parameters!$B$38</f>
        <v>283219.10424109618</v>
      </c>
      <c r="Q67" s="54">
        <f>(Q65-Q66/2)*Parameters!$B$38</f>
        <v>245456.55700895001</v>
      </c>
      <c r="R67" s="54">
        <f>(R65-R66/2)*Parameters!$B$38</f>
        <v>207694.0097768039</v>
      </c>
      <c r="S67" s="54">
        <f>(S65-S66/2)*Parameters!$B$38</f>
        <v>169931.46254465776</v>
      </c>
      <c r="T67" s="54">
        <f>(T65-T66/2)*Parameters!$B$38</f>
        <v>132168.91531251161</v>
      </c>
      <c r="U67" s="54">
        <f>(U65-U66/2)*Parameters!$B$38</f>
        <v>94406.368080365501</v>
      </c>
      <c r="V67" s="54">
        <f>(V65-V66/2)*Parameters!$B$38</f>
        <v>56643.820848219344</v>
      </c>
      <c r="W67" s="54">
        <f>(W65-W66/2)*Parameters!$B$38</f>
        <v>18881.273616073206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641963.30294648441</v>
      </c>
      <c r="E68" s="56">
        <f t="shared" si="22"/>
        <v>641963.30294648441</v>
      </c>
      <c r="F68" s="56">
        <f t="shared" si="22"/>
        <v>641963.30294648441</v>
      </c>
      <c r="G68" s="56">
        <f t="shared" ref="G68:W68" si="23">G66+G67</f>
        <v>1042665.8874653685</v>
      </c>
      <c r="H68" s="56">
        <f t="shared" si="23"/>
        <v>1004903.3402332223</v>
      </c>
      <c r="I68" s="56">
        <f t="shared" si="23"/>
        <v>967140.79300107621</v>
      </c>
      <c r="J68" s="56">
        <f t="shared" si="23"/>
        <v>929378.24576893006</v>
      </c>
      <c r="K68" s="56">
        <f t="shared" si="23"/>
        <v>891615.69853678392</v>
      </c>
      <c r="L68" s="56">
        <f t="shared" si="23"/>
        <v>853853.15130463778</v>
      </c>
      <c r="M68" s="56">
        <f t="shared" si="23"/>
        <v>816090.60407249164</v>
      </c>
      <c r="N68" s="56">
        <f t="shared" si="23"/>
        <v>778328.0568403455</v>
      </c>
      <c r="O68" s="56">
        <f t="shared" si="23"/>
        <v>740565.50960819935</v>
      </c>
      <c r="P68" s="56">
        <f t="shared" si="23"/>
        <v>702802.96237605333</v>
      </c>
      <c r="Q68" s="56">
        <f t="shared" si="23"/>
        <v>665040.41514390719</v>
      </c>
      <c r="R68" s="56">
        <f t="shared" si="23"/>
        <v>627277.86791176104</v>
      </c>
      <c r="S68" s="56">
        <f t="shared" si="23"/>
        <v>589515.3206796149</v>
      </c>
      <c r="T68" s="56">
        <f t="shared" si="23"/>
        <v>551752.77344746876</v>
      </c>
      <c r="U68" s="56">
        <f t="shared" si="23"/>
        <v>513990.22621532262</v>
      </c>
      <c r="V68" s="56">
        <f t="shared" si="23"/>
        <v>476227.67898317648</v>
      </c>
      <c r="W68" s="56">
        <f t="shared" si="23"/>
        <v>438465.13175103033</v>
      </c>
      <c r="Y68" s="158">
        <f>NPV(Parameters!$B$46,Kalkulation!D68:W68)-Parameters!$B$39</f>
        <v>769495.1851653615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7132925.5882942714</v>
      </c>
      <c r="E72" s="53">
        <f>Parameters!$B$39</f>
        <v>7132925.5882942714</v>
      </c>
      <c r="F72" s="53">
        <f>Parameters!$B$39</f>
        <v>7132925.5882942714</v>
      </c>
      <c r="G72" s="53">
        <f>Parameters!$B$39</f>
        <v>7132925.5882942714</v>
      </c>
      <c r="H72" s="53">
        <f t="shared" ref="H72:W72" si="24">G72-G73</f>
        <v>6940006.7105871122</v>
      </c>
      <c r="I72" s="53">
        <f t="shared" si="24"/>
        <v>6729725.1338863084</v>
      </c>
      <c r="J72" s="53">
        <f t="shared" si="24"/>
        <v>6500518.2152824327</v>
      </c>
      <c r="K72" s="53">
        <f t="shared" si="24"/>
        <v>6250682.6740042083</v>
      </c>
      <c r="L72" s="53">
        <f t="shared" si="24"/>
        <v>5978361.9340109434</v>
      </c>
      <c r="M72" s="53">
        <f t="shared" si="24"/>
        <v>5681532.3274182845</v>
      </c>
      <c r="N72" s="53">
        <f t="shared" si="24"/>
        <v>5357988.0562322866</v>
      </c>
      <c r="O72" s="53">
        <f t="shared" si="24"/>
        <v>5005324.8006395483</v>
      </c>
      <c r="P72" s="53">
        <f t="shared" si="24"/>
        <v>4620921.8520434638</v>
      </c>
      <c r="Q72" s="53">
        <f t="shared" si="24"/>
        <v>4201922.6380737321</v>
      </c>
      <c r="R72" s="53">
        <f t="shared" si="24"/>
        <v>3745213.4948467244</v>
      </c>
      <c r="S72" s="53">
        <f t="shared" si="24"/>
        <v>3247400.528729286</v>
      </c>
      <c r="T72" s="53">
        <f t="shared" si="24"/>
        <v>2704784.3956612782</v>
      </c>
      <c r="U72" s="53">
        <f t="shared" si="24"/>
        <v>2113332.8106171498</v>
      </c>
      <c r="V72" s="53">
        <f t="shared" si="24"/>
        <v>1468650.5829190495</v>
      </c>
      <c r="W72" s="53">
        <f t="shared" si="24"/>
        <v>765946.95472812036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192918.87770715926</v>
      </c>
      <c r="H73" s="53">
        <f t="shared" si="25"/>
        <v>210281.57670080359</v>
      </c>
      <c r="I73" s="53">
        <f t="shared" si="25"/>
        <v>229206.91860387591</v>
      </c>
      <c r="J73" s="53">
        <f t="shared" si="25"/>
        <v>249835.54127822479</v>
      </c>
      <c r="K73" s="53">
        <f t="shared" si="25"/>
        <v>272320.7399932649</v>
      </c>
      <c r="L73" s="53">
        <f t="shared" si="25"/>
        <v>296829.60659265879</v>
      </c>
      <c r="M73" s="53">
        <f t="shared" si="25"/>
        <v>323544.27118599811</v>
      </c>
      <c r="N73" s="53">
        <f t="shared" si="25"/>
        <v>352663.25559273793</v>
      </c>
      <c r="O73" s="53">
        <f t="shared" si="25"/>
        <v>384402.94859608432</v>
      </c>
      <c r="P73" s="53">
        <f t="shared" si="25"/>
        <v>418999.21396973194</v>
      </c>
      <c r="Q73" s="53">
        <f t="shared" si="25"/>
        <v>456709.14322700782</v>
      </c>
      <c r="R73" s="53">
        <f t="shared" si="25"/>
        <v>497812.96611743851</v>
      </c>
      <c r="S73" s="53">
        <f t="shared" si="25"/>
        <v>542616.13306800788</v>
      </c>
      <c r="T73" s="53">
        <f t="shared" si="25"/>
        <v>591451.58504412859</v>
      </c>
      <c r="U73" s="53">
        <f t="shared" si="25"/>
        <v>644682.22769810027</v>
      </c>
      <c r="V73" s="53">
        <f t="shared" si="25"/>
        <v>702703.62819092919</v>
      </c>
      <c r="W73" s="53">
        <f t="shared" si="25"/>
        <v>765946.95472811279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641963.30294648441</v>
      </c>
      <c r="E74" s="53">
        <f>E72*Parameters!$B$38</f>
        <v>641963.30294648441</v>
      </c>
      <c r="F74" s="53">
        <f>F72*Parameters!$B$38</f>
        <v>641963.30294648441</v>
      </c>
      <c r="G74" s="53">
        <f>G72*Parameters!$B$38</f>
        <v>641963.30294648441</v>
      </c>
      <c r="H74" s="53">
        <f>H72*Parameters!$B$38</f>
        <v>624600.60395284009</v>
      </c>
      <c r="I74" s="53">
        <f>I72*Parameters!$B$38</f>
        <v>605675.26204976777</v>
      </c>
      <c r="J74" s="53">
        <f>J72*Parameters!$B$38</f>
        <v>585046.63937541889</v>
      </c>
      <c r="K74" s="53">
        <f>K72*Parameters!$B$38</f>
        <v>562561.44066037878</v>
      </c>
      <c r="L74" s="53">
        <f>L72*Parameters!$B$38</f>
        <v>538052.57406098489</v>
      </c>
      <c r="M74" s="53">
        <f>M72*Parameters!$B$38</f>
        <v>511337.90946764557</v>
      </c>
      <c r="N74" s="53">
        <f>N72*Parameters!$B$38</f>
        <v>482218.92506090575</v>
      </c>
      <c r="O74" s="53">
        <f>O72*Parameters!$B$38</f>
        <v>450479.23205755936</v>
      </c>
      <c r="P74" s="53">
        <f>P72*Parameters!$B$38</f>
        <v>415882.96668391174</v>
      </c>
      <c r="Q74" s="53">
        <f>Q72*Parameters!$B$38</f>
        <v>378173.03742663586</v>
      </c>
      <c r="R74" s="53">
        <f>R72*Parameters!$B$38</f>
        <v>337069.21453620517</v>
      </c>
      <c r="S74" s="53">
        <f>S72*Parameters!$B$38</f>
        <v>292266.04758563574</v>
      </c>
      <c r="T74" s="53">
        <f>T72*Parameters!$B$38</f>
        <v>243430.59560951503</v>
      </c>
      <c r="U74" s="53">
        <f>U72*Parameters!$B$38</f>
        <v>190199.95295554347</v>
      </c>
      <c r="V74" s="53">
        <f>V72*Parameters!$B$38</f>
        <v>132178.55246271446</v>
      </c>
      <c r="W74" s="53">
        <f>W72*Parameters!$B$38</f>
        <v>68935.225925530831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641963.30294648441</v>
      </c>
      <c r="E75" s="120">
        <f t="shared" ref="E75:F75" si="26">E73+E74</f>
        <v>641963.30294648441</v>
      </c>
      <c r="F75" s="120">
        <f t="shared" si="26"/>
        <v>641963.30294648441</v>
      </c>
      <c r="G75" s="120">
        <f>IF(D4&lt;=Parameters!$B$35,-PMT(Parameters!$B$38,Parameters!$B$35,Parameters!$B$39),0)</f>
        <v>834882.18065364368</v>
      </c>
      <c r="H75" s="120">
        <f>IF(E4&lt;=Parameters!$B$35,-PMT(Parameters!$B$38,Parameters!$B$35,Parameters!$B$39),0)</f>
        <v>834882.18065364368</v>
      </c>
      <c r="I75" s="120">
        <f>IF(F4&lt;=Parameters!$B$35,-PMT(Parameters!$B$38,Parameters!$B$35,Parameters!$B$39),0)</f>
        <v>834882.18065364368</v>
      </c>
      <c r="J75" s="120">
        <f>IF(G4&lt;=Parameters!$B$35,-PMT(Parameters!$B$38,Parameters!$B$35,Parameters!$B$39),0)</f>
        <v>834882.18065364368</v>
      </c>
      <c r="K75" s="120">
        <f>IF(H4&lt;=Parameters!$B$35,-PMT(Parameters!$B$38,Parameters!$B$35,Parameters!$B$39),0)</f>
        <v>834882.18065364368</v>
      </c>
      <c r="L75" s="120">
        <f>IF(I4&lt;=Parameters!$B$35,-PMT(Parameters!$B$38,Parameters!$B$35,Parameters!$B$39),0)</f>
        <v>834882.18065364368</v>
      </c>
      <c r="M75" s="120">
        <f>IF(J4&lt;=Parameters!$B$35,-PMT(Parameters!$B$38,Parameters!$B$35,Parameters!$B$39),0)</f>
        <v>834882.18065364368</v>
      </c>
      <c r="N75" s="120">
        <f>IF(K4&lt;=Parameters!$B$35,-PMT(Parameters!$B$38,Parameters!$B$35,Parameters!$B$39),0)</f>
        <v>834882.18065364368</v>
      </c>
      <c r="O75" s="120">
        <f>IF(L4&lt;=Parameters!$B$35,-PMT(Parameters!$B$38,Parameters!$B$35,Parameters!$B$39),0)</f>
        <v>834882.18065364368</v>
      </c>
      <c r="P75" s="120">
        <f>IF(M4&lt;=Parameters!$B$35,-PMT(Parameters!$B$38,Parameters!$B$35,Parameters!$B$39),0)</f>
        <v>834882.18065364368</v>
      </c>
      <c r="Q75" s="120">
        <f>IF(N4&lt;=Parameters!$B$35,-PMT(Parameters!$B$38,Parameters!$B$35,Parameters!$B$39),0)</f>
        <v>834882.18065364368</v>
      </c>
      <c r="R75" s="120">
        <f>IF(O4&lt;=Parameters!$B$35,-PMT(Parameters!$B$38,Parameters!$B$35,Parameters!$B$39),0)</f>
        <v>834882.18065364368</v>
      </c>
      <c r="S75" s="120">
        <f>IF(P4&lt;=Parameters!$B$35,-PMT(Parameters!$B$38,Parameters!$B$35,Parameters!$B$39),0)</f>
        <v>834882.18065364368</v>
      </c>
      <c r="T75" s="120">
        <f>IF(Q4&lt;=Parameters!$B$35,-PMT(Parameters!$B$38,Parameters!$B$35,Parameters!$B$39),0)</f>
        <v>834882.18065364368</v>
      </c>
      <c r="U75" s="120">
        <f>IF(R4&lt;=Parameters!$B$35,-PMT(Parameters!$B$38,Parameters!$B$35,Parameters!$B$39),0)</f>
        <v>834882.18065364368</v>
      </c>
      <c r="V75" s="120">
        <f>IF(S4&lt;=Parameters!$B$35,-PMT(Parameters!$B$38,Parameters!$B$35,Parameters!$B$39),0)</f>
        <v>834882.18065364368</v>
      </c>
      <c r="W75" s="120">
        <f>IF(T4&lt;=Parameters!$B$35,-PMT(Parameters!$B$38,Parameters!$B$35,Parameters!$B$39),0)</f>
        <v>834882.18065364368</v>
      </c>
      <c r="Y75" s="158">
        <f>NPV(Parameters!$B$46,Kalkulation!D75:W75)-Parameters!$B$39</f>
        <v>1018409.5538355699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-2674327.4117057282</v>
      </c>
      <c r="D78" s="23">
        <f>D31-D61</f>
        <v>386140.96005351562</v>
      </c>
      <c r="E78" s="23">
        <f t="shared" ref="E78:W78" si="27">E31-E61</f>
        <v>380442.23288301565</v>
      </c>
      <c r="F78" s="23">
        <f t="shared" si="27"/>
        <v>374449.39440324623</v>
      </c>
      <c r="G78" s="23">
        <f t="shared" si="27"/>
        <v>117444.68101065164</v>
      </c>
      <c r="H78" s="23">
        <f t="shared" si="27"/>
        <v>148579.84649791522</v>
      </c>
      <c r="I78" s="23">
        <f t="shared" si="27"/>
        <v>179372.97281332547</v>
      </c>
      <c r="J78" s="23">
        <f t="shared" si="27"/>
        <v>209806.40731522278</v>
      </c>
      <c r="K78" s="23">
        <f t="shared" si="27"/>
        <v>239861.58630911214</v>
      </c>
      <c r="L78" s="23">
        <f t="shared" si="27"/>
        <v>269518.98802822502</v>
      </c>
      <c r="M78" s="23">
        <f t="shared" si="27"/>
        <v>298758.08318741014</v>
      </c>
      <c r="N78" s="23">
        <f t="shared" si="27"/>
        <v>327557.28298510984</v>
      </c>
      <c r="O78" s="23">
        <f t="shared" si="27"/>
        <v>355893.88442171761</v>
      </c>
      <c r="P78" s="23">
        <f t="shared" si="27"/>
        <v>383744.01279581769</v>
      </c>
      <c r="Q78" s="23">
        <f t="shared" si="27"/>
        <v>411082.56123265426</v>
      </c>
      <c r="R78" s="23">
        <f t="shared" si="27"/>
        <v>437883.1270916647</v>
      </c>
      <c r="S78" s="23">
        <f t="shared" si="27"/>
        <v>274520.60852949158</v>
      </c>
      <c r="T78" s="23">
        <f t="shared" si="27"/>
        <v>216955.31445020088</v>
      </c>
      <c r="U78" s="23">
        <f t="shared" si="27"/>
        <v>234465.26888456743</v>
      </c>
      <c r="V78" s="23">
        <f t="shared" si="27"/>
        <v>251514.66452343564</v>
      </c>
      <c r="W78" s="23">
        <f t="shared" si="27"/>
        <v>268079.7319273703</v>
      </c>
      <c r="Y78" s="23"/>
    </row>
    <row r="80" spans="1:25" s="25" customFormat="1" ht="15" thickBot="1" x14ac:dyDescent="0.35">
      <c r="B80" s="27"/>
      <c r="C80" s="157"/>
    </row>
    <row r="81" spans="1:23" s="1" customFormat="1" x14ac:dyDescent="0.3">
      <c r="A81" s="1" t="s">
        <v>80</v>
      </c>
      <c r="B81" s="83"/>
      <c r="D81" s="24">
        <f>D78</f>
        <v>386140.96005351562</v>
      </c>
      <c r="E81" s="24">
        <f t="shared" ref="E81:W81" si="28">E78</f>
        <v>380442.23288301565</v>
      </c>
      <c r="F81" s="24">
        <f t="shared" si="28"/>
        <v>374449.39440324623</v>
      </c>
      <c r="G81" s="24">
        <f t="shared" si="28"/>
        <v>117444.68101065164</v>
      </c>
      <c r="H81" s="24">
        <f t="shared" si="28"/>
        <v>148579.84649791522</v>
      </c>
      <c r="I81" s="24">
        <f t="shared" si="28"/>
        <v>179372.97281332547</v>
      </c>
      <c r="J81" s="24">
        <f t="shared" si="28"/>
        <v>209806.40731522278</v>
      </c>
      <c r="K81" s="24">
        <f t="shared" si="28"/>
        <v>239861.58630911214</v>
      </c>
      <c r="L81" s="24">
        <f t="shared" si="28"/>
        <v>269518.98802822502</v>
      </c>
      <c r="M81" s="24">
        <f t="shared" si="28"/>
        <v>298758.08318741014</v>
      </c>
      <c r="N81" s="24">
        <f t="shared" si="28"/>
        <v>327557.28298510984</v>
      </c>
      <c r="O81" s="24">
        <f t="shared" si="28"/>
        <v>355893.88442171761</v>
      </c>
      <c r="P81" s="24">
        <f t="shared" si="28"/>
        <v>383744.01279581769</v>
      </c>
      <c r="Q81" s="24">
        <f t="shared" si="28"/>
        <v>411082.56123265426</v>
      </c>
      <c r="R81" s="24">
        <f t="shared" si="28"/>
        <v>437883.1270916647</v>
      </c>
      <c r="S81" s="24">
        <f t="shared" si="28"/>
        <v>274520.60852949158</v>
      </c>
      <c r="T81" s="24">
        <f t="shared" si="28"/>
        <v>216955.31445020088</v>
      </c>
      <c r="U81" s="24">
        <f t="shared" si="28"/>
        <v>234465.26888456743</v>
      </c>
      <c r="V81" s="24">
        <f t="shared" si="28"/>
        <v>251514.66452343564</v>
      </c>
      <c r="W81" s="24">
        <f t="shared" si="28"/>
        <v>268079.7319273703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1.601500051920733</v>
      </c>
      <c r="E84" s="19">
        <f t="shared" ref="E84:W84" si="29">IF(E61&gt;0.01,E31/E61,"-")</f>
        <v>1.5926230224326861</v>
      </c>
      <c r="F84" s="19">
        <f t="shared" si="29"/>
        <v>1.5832878494527611</v>
      </c>
      <c r="G84" s="19">
        <f t="shared" si="29"/>
        <v>1.1126388447368789</v>
      </c>
      <c r="H84" s="19">
        <f t="shared" si="29"/>
        <v>1.1478548637955888</v>
      </c>
      <c r="I84" s="19">
        <f t="shared" si="29"/>
        <v>1.1854672805773439</v>
      </c>
      <c r="J84" s="19">
        <f t="shared" si="29"/>
        <v>1.2257492127348402</v>
      </c>
      <c r="K84" s="19">
        <f t="shared" si="29"/>
        <v>1.2690190254643845</v>
      </c>
      <c r="L84" s="19">
        <f t="shared" si="29"/>
        <v>1.3156502820378606</v>
      </c>
      <c r="M84" s="19">
        <f t="shared" si="29"/>
        <v>1.3660844539767205</v>
      </c>
      <c r="N84" s="19">
        <f t="shared" si="29"/>
        <v>1.4208473279440059</v>
      </c>
      <c r="O84" s="19">
        <f t="shared" si="29"/>
        <v>1.4805704286849726</v>
      </c>
      <c r="P84" s="19">
        <f t="shared" si="29"/>
        <v>1.5460193444524573</v>
      </c>
      <c r="Q84" s="19">
        <f t="shared" si="29"/>
        <v>1.6181316982723535</v>
      </c>
      <c r="R84" s="19">
        <f t="shared" si="29"/>
        <v>1.6980688296072031</v>
      </c>
      <c r="S84" s="19">
        <f t="shared" si="29"/>
        <v>1.4656717118276319</v>
      </c>
      <c r="T84" s="19">
        <f t="shared" si="29"/>
        <v>1.3932110990482529</v>
      </c>
      <c r="U84" s="19">
        <f t="shared" si="29"/>
        <v>1.4561667847480515</v>
      </c>
      <c r="V84" s="19">
        <f t="shared" si="29"/>
        <v>1.5281395341414432</v>
      </c>
      <c r="W84" s="19">
        <f t="shared" si="29"/>
        <v>1.6114049043233649</v>
      </c>
    </row>
    <row r="85" spans="1:23" x14ac:dyDescent="0.3">
      <c r="A85" s="1" t="s">
        <v>17</v>
      </c>
      <c r="B85" s="83"/>
      <c r="C85" s="19">
        <f>AVERAGE(G84:W84)</f>
        <v>1.4023938603749029</v>
      </c>
    </row>
    <row r="87" spans="1:23" x14ac:dyDescent="0.3">
      <c r="F87" s="19"/>
    </row>
    <row r="88" spans="1:23" x14ac:dyDescent="0.3">
      <c r="A88" t="s">
        <v>82</v>
      </c>
      <c r="D88" s="158">
        <f>D21*-1</f>
        <v>260419.05</v>
      </c>
      <c r="E88" s="158">
        <f t="shared" ref="E88:W88" si="30">E21*-1</f>
        <v>266117.77717050002</v>
      </c>
      <c r="F88" s="158">
        <f t="shared" si="30"/>
        <v>272110.61565026949</v>
      </c>
      <c r="G88" s="158">
        <f t="shared" si="30"/>
        <v>128412.7445239799</v>
      </c>
      <c r="H88" s="158">
        <f t="shared" si="30"/>
        <v>135040.12626886248</v>
      </c>
      <c r="I88" s="158">
        <f t="shared" si="30"/>
        <v>142009.54718559847</v>
      </c>
      <c r="J88" s="158">
        <f t="shared" si="30"/>
        <v>149338.65991584721</v>
      </c>
      <c r="K88" s="158">
        <f t="shared" si="30"/>
        <v>157046.02815410407</v>
      </c>
      <c r="L88" s="158">
        <f t="shared" si="30"/>
        <v>165151.17366713737</v>
      </c>
      <c r="M88" s="158">
        <f t="shared" si="30"/>
        <v>173674.6257400983</v>
      </c>
      <c r="N88" s="158">
        <f t="shared" si="30"/>
        <v>182637.97317454478</v>
      </c>
      <c r="O88" s="158">
        <f t="shared" si="30"/>
        <v>192063.91897008303</v>
      </c>
      <c r="P88" s="158">
        <f t="shared" si="30"/>
        <v>201976.33782812901</v>
      </c>
      <c r="Q88" s="158">
        <f t="shared" si="30"/>
        <v>212400.33662343872</v>
      </c>
      <c r="R88" s="158">
        <f t="shared" si="30"/>
        <v>223362.31799657439</v>
      </c>
      <c r="S88" s="158">
        <f t="shared" si="30"/>
        <v>234890.04722837757</v>
      </c>
      <c r="T88" s="158">
        <f t="shared" si="30"/>
        <v>247012.72256583412</v>
      </c>
      <c r="U88" s="158">
        <f t="shared" si="30"/>
        <v>259761.04917745676</v>
      </c>
      <c r="V88" s="158">
        <f t="shared" si="30"/>
        <v>273167.31692550529</v>
      </c>
      <c r="W88" s="158">
        <f t="shared" si="30"/>
        <v>287265.48215203057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46" workbookViewId="0">
      <selection activeCell="B72" sqref="B72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4" t="s">
        <v>83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0" x14ac:dyDescent="0.3">
      <c r="A3" s="154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92" t="s">
        <v>84</v>
      </c>
      <c r="C6" s="192"/>
      <c r="F6" s="5"/>
      <c r="G6" s="4"/>
    </row>
    <row r="7" spans="1:10" x14ac:dyDescent="0.3">
      <c r="A7" t="s">
        <v>194</v>
      </c>
      <c r="B7" s="193" t="s">
        <v>257</v>
      </c>
      <c r="C7" s="193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0" t="s">
        <v>261</v>
      </c>
      <c r="G10" s="180"/>
      <c r="H10" s="181">
        <v>0</v>
      </c>
    </row>
    <row r="11" spans="1:10" x14ac:dyDescent="0.3">
      <c r="A11" s="172" t="s">
        <v>197</v>
      </c>
      <c r="B11" s="185" t="s">
        <v>48</v>
      </c>
      <c r="C11" s="186">
        <v>1166666</v>
      </c>
      <c r="D11" t="s">
        <v>267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4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0" t="s">
        <v>87</v>
      </c>
      <c r="B22" s="180"/>
      <c r="C22" s="182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4" t="s">
        <v>207</v>
      </c>
      <c r="B30" s="154"/>
      <c r="C30" s="154"/>
      <c r="D30" s="154"/>
      <c r="E30" s="154"/>
      <c r="F30" s="154"/>
      <c r="G30" s="154"/>
      <c r="H30" s="154"/>
      <c r="I30" s="154"/>
      <c r="J30" s="154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6999996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139974</v>
      </c>
      <c r="E37" s="170">
        <v>6</v>
      </c>
      <c r="F37" s="23">
        <v>23329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1960000</v>
      </c>
      <c r="E39" s="172">
        <v>20000</v>
      </c>
      <c r="F39" s="23">
        <v>98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28500</v>
      </c>
      <c r="E41">
        <v>1</v>
      </c>
      <c r="F41" s="23">
        <v>28500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16200</v>
      </c>
      <c r="E43">
        <v>1</v>
      </c>
      <c r="F43" s="23">
        <v>16200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7625</v>
      </c>
      <c r="E46">
        <v>1</v>
      </c>
      <c r="F46" s="23">
        <v>7625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15250</v>
      </c>
      <c r="E50">
        <v>1</v>
      </c>
      <c r="F50" s="23">
        <v>15250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50000</v>
      </c>
      <c r="F52" s="23"/>
    </row>
    <row r="53" spans="1:7" x14ac:dyDescent="0.3">
      <c r="A53" s="172" t="s">
        <v>226</v>
      </c>
      <c r="B53" s="185" t="s">
        <v>48</v>
      </c>
      <c r="C53" s="187">
        <f>E53*F53</f>
        <v>11111</v>
      </c>
      <c r="D53" s="172"/>
      <c r="E53" s="172">
        <v>1</v>
      </c>
      <c r="F53" s="187">
        <v>11111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47750</v>
      </c>
      <c r="E54">
        <v>5</v>
      </c>
      <c r="F54" s="23">
        <v>9550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s="172" t="s">
        <v>232</v>
      </c>
      <c r="B63" s="185" t="s">
        <v>48</v>
      </c>
      <c r="C63" s="187">
        <f>SUM(C32:C61)</f>
        <v>9807253</v>
      </c>
      <c r="D63" s="184" t="s">
        <v>269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0.25117073609362006</v>
      </c>
    </row>
    <row r="67" spans="1:10" ht="15" thickBot="1" x14ac:dyDescent="0.35">
      <c r="A67" s="152" t="s">
        <v>234</v>
      </c>
      <c r="B67" s="151" t="s">
        <v>48</v>
      </c>
      <c r="C67" s="153">
        <f>C63</f>
        <v>9807253</v>
      </c>
    </row>
    <row r="68" spans="1:10" ht="15" thickTop="1" x14ac:dyDescent="0.3"/>
    <row r="69" spans="1:10" x14ac:dyDescent="0.3">
      <c r="A69" s="154" t="s">
        <v>241</v>
      </c>
      <c r="B69" s="154"/>
      <c r="C69" s="154"/>
      <c r="D69" s="154"/>
      <c r="E69" s="154"/>
      <c r="F69" s="154"/>
      <c r="G69" s="154"/>
      <c r="H69" s="154"/>
      <c r="I69" s="154"/>
      <c r="J69" s="154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2674437.8931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7132815.1068999991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7132815.1068999991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4" t="s">
        <v>185</v>
      </c>
      <c r="B84" s="154"/>
      <c r="C84" s="154"/>
      <c r="D84" s="154"/>
      <c r="E84" s="154"/>
      <c r="F84" s="154"/>
      <c r="G84" s="154"/>
      <c r="H84" s="154"/>
      <c r="I84" s="154"/>
      <c r="J84" s="154"/>
    </row>
    <row r="86" spans="1:11" x14ac:dyDescent="0.3">
      <c r="A86" t="s">
        <v>242</v>
      </c>
      <c r="B86" s="4" t="s">
        <v>89</v>
      </c>
      <c r="C86" s="23">
        <f>F86*C63</f>
        <v>98072.53</v>
      </c>
      <c r="F86" s="129">
        <v>0.01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6930.0000000000009</v>
      </c>
      <c r="F87" s="23">
        <f>10000*0.055</f>
        <v>550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0</v>
      </c>
      <c r="F89" s="23">
        <f>0</f>
        <v>0</v>
      </c>
      <c r="G89" t="s">
        <v>116</v>
      </c>
      <c r="H89" s="191" t="s">
        <v>126</v>
      </c>
      <c r="I89" s="191"/>
      <c r="J89" s="191"/>
      <c r="K89" s="5"/>
    </row>
    <row r="90" spans="1:11" x14ac:dyDescent="0.3">
      <c r="A90" t="s">
        <v>246</v>
      </c>
      <c r="B90" s="4" t="s">
        <v>89</v>
      </c>
      <c r="C90" s="23">
        <v>6000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8000</v>
      </c>
      <c r="F91" s="23"/>
      <c r="G91" s="194" t="s">
        <v>129</v>
      </c>
      <c r="H91" s="194"/>
      <c r="I91" s="194"/>
    </row>
    <row r="92" spans="1:11" x14ac:dyDescent="0.3">
      <c r="B92" s="4"/>
      <c r="C92" s="23"/>
      <c r="F92" s="23"/>
      <c r="G92" s="194"/>
      <c r="H92" s="194"/>
      <c r="I92" s="194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5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6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</v>
      </c>
      <c r="F100" s="23">
        <f>5000*0.055</f>
        <v>275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88">
        <v>105000</v>
      </c>
      <c r="D103" s="189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4" t="s">
        <v>253</v>
      </c>
      <c r="B107" s="154"/>
      <c r="C107" s="154"/>
      <c r="D107" s="154"/>
      <c r="E107" s="154"/>
      <c r="F107" s="154"/>
      <c r="G107" s="154"/>
      <c r="H107" s="154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hyperlinks>
    <hyperlink ref="D63" r:id="rId1" display="https://www.energetica-india.net/news/gerc-updates-regulations-for-small-wind-projects" xr:uid="{348875DE-92A4-427F-982D-AF6809C57709}"/>
  </hyperlink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166" zoomScale="70" zoomScaleNormal="70" zoomScalePageLayoutView="70" workbookViewId="0">
      <selection activeCell="K51" sqref="K51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0">
        <v>401675.25</v>
      </c>
    </row>
    <row r="166" spans="1:3" x14ac:dyDescent="0.3">
      <c r="A166" t="s">
        <v>122</v>
      </c>
      <c r="B166" s="4" t="s">
        <v>89</v>
      </c>
      <c r="C166" s="160">
        <v>150000</v>
      </c>
    </row>
    <row r="167" spans="1:3" x14ac:dyDescent="0.3">
      <c r="A167" t="s">
        <v>124</v>
      </c>
      <c r="B167" s="4" t="s">
        <v>89</v>
      </c>
      <c r="C167" s="160">
        <v>15000</v>
      </c>
    </row>
    <row r="168" spans="1:3" x14ac:dyDescent="0.3">
      <c r="A168" t="s">
        <v>125</v>
      </c>
      <c r="B168" s="4" t="s">
        <v>89</v>
      </c>
      <c r="C168" s="160">
        <v>125000</v>
      </c>
    </row>
    <row r="169" spans="1:3" x14ac:dyDescent="0.3">
      <c r="A169" t="s">
        <v>127</v>
      </c>
      <c r="B169" s="4" t="s">
        <v>89</v>
      </c>
      <c r="C169" s="160">
        <v>12000</v>
      </c>
    </row>
    <row r="170" spans="1:3" x14ac:dyDescent="0.3">
      <c r="A170" t="s">
        <v>128</v>
      </c>
      <c r="B170" s="4" t="s">
        <v>89</v>
      </c>
      <c r="C170" s="160">
        <v>30000</v>
      </c>
    </row>
    <row r="171" spans="1:3" x14ac:dyDescent="0.3">
      <c r="A171" t="s">
        <v>130</v>
      </c>
      <c r="B171" s="4" t="s">
        <v>89</v>
      </c>
      <c r="C171" s="160">
        <v>15000</v>
      </c>
    </row>
    <row r="172" spans="1:3" x14ac:dyDescent="0.3">
      <c r="A172" t="s">
        <v>141</v>
      </c>
      <c r="B172" s="4" t="s">
        <v>89</v>
      </c>
      <c r="C172" s="160">
        <v>2835.06</v>
      </c>
    </row>
    <row r="173" spans="1:3" x14ac:dyDescent="0.3">
      <c r="A173" t="s">
        <v>45</v>
      </c>
      <c r="B173" s="4" t="s">
        <v>89</v>
      </c>
      <c r="C173" s="160">
        <v>25000</v>
      </c>
    </row>
    <row r="174" spans="1:3" x14ac:dyDescent="0.3">
      <c r="B174" s="4"/>
      <c r="C174" s="160"/>
    </row>
    <row r="175" spans="1:3" x14ac:dyDescent="0.3">
      <c r="A175" t="s">
        <v>24</v>
      </c>
      <c r="B175" s="4" t="s">
        <v>136</v>
      </c>
      <c r="C175" s="160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2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39046161</v>
      </c>
      <c r="C181" t="s">
        <v>55</v>
      </c>
    </row>
    <row r="182" spans="1:3" x14ac:dyDescent="0.3">
      <c r="A182" t="s">
        <v>144</v>
      </c>
      <c r="B182" s="164">
        <f>Parameters!B18</f>
        <v>3.3000000000000002E-2</v>
      </c>
      <c r="C182" t="s">
        <v>7</v>
      </c>
    </row>
    <row r="183" spans="1:3" x14ac:dyDescent="0.3">
      <c r="A183" t="s">
        <v>145</v>
      </c>
      <c r="B183" s="161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59">
        <v>5.7226122506694788E-2</v>
      </c>
    </row>
    <row r="186" spans="1:3" x14ac:dyDescent="0.3">
      <c r="A186" t="s">
        <v>16</v>
      </c>
      <c r="B186" s="163">
        <v>1.1004203271360495</v>
      </c>
    </row>
    <row r="187" spans="1:3" x14ac:dyDescent="0.3">
      <c r="A187" t="s">
        <v>17</v>
      </c>
      <c r="B187" s="163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2025-01-08T15:06:19Z</dcterms:modified>
  <cp:category/>
  <cp:contentStatus/>
</cp:coreProperties>
</file>