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33568b45a7ac897/금융공학/git/"/>
    </mc:Choice>
  </mc:AlternateContent>
  <xr:revisionPtr revIDLastSave="1058" documentId="8_{58034B75-4CDD-4807-8EDA-E9011408D67B}" xr6:coauthVersionLast="47" xr6:coauthVersionMax="47" xr10:uidLastSave="{37B0DD90-F61F-4A94-BF0A-480F8B59B3F5}"/>
  <bookViews>
    <workbookView xWindow="-120" yWindow="-120" windowWidth="38640" windowHeight="21240" activeTab="2" xr2:uid="{FAA1CA51-28B6-4993-A17C-120CE72C4C59}"/>
  </bookViews>
  <sheets>
    <sheet name="Bond Bootstrapping &gt;&gt;" sheetId="1" r:id="rId1"/>
    <sheet name="KRW KTB" sheetId="2" r:id="rId2"/>
    <sheet name="USD SOFR" sheetId="5" r:id="rId3"/>
  </sheets>
  <definedNames>
    <definedName name="solver_adj" localSheetId="2" hidden="1">'USD SOFR'!#REF!</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'USD SOFR'!#REF!</definedName>
    <definedName name="solver_pre" localSheetId="2" hidden="1">0.000001</definedName>
    <definedName name="solver_rbv"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3</definedName>
    <definedName name="solver_val" localSheetId="2" hidden="1">0</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c r="M16" i="5"/>
  <c r="K17" i="5" l="1"/>
  <c r="Y3" i="5" l="1"/>
  <c r="W3" i="5"/>
  <c r="U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 i="5"/>
  <c r="O4" i="5" a="1"/>
  <c r="O4" i="5" s="1"/>
  <c r="Q4" i="5" s="1"/>
  <c r="O5" i="5" a="1"/>
  <c r="O5" i="5" s="1"/>
  <c r="Q5" i="5" s="1"/>
  <c r="O6" i="5" a="1"/>
  <c r="O6" i="5" s="1"/>
  <c r="Q6" i="5" s="1"/>
  <c r="O7" i="5" a="1"/>
  <c r="O7" i="5" s="1"/>
  <c r="Q7" i="5" s="1"/>
  <c r="O8" i="5" a="1"/>
  <c r="O8" i="5" s="1"/>
  <c r="Q8" i="5" s="1"/>
  <c r="O9" i="5" a="1"/>
  <c r="O9" i="5" s="1"/>
  <c r="Q9" i="5" s="1"/>
  <c r="O10" i="5" a="1"/>
  <c r="O10" i="5" s="1"/>
  <c r="Q10" i="5" s="1"/>
  <c r="O11" i="5" a="1"/>
  <c r="O11" i="5" s="1"/>
  <c r="Q11" i="5" s="1"/>
  <c r="O12" i="5" a="1"/>
  <c r="O12" i="5" s="1"/>
  <c r="Q12" i="5" s="1"/>
  <c r="O13" i="5" a="1"/>
  <c r="O13" i="5" s="1"/>
  <c r="Q13" i="5" s="1"/>
  <c r="O14" i="5" a="1"/>
  <c r="O14" i="5" s="1"/>
  <c r="Q14" i="5" s="1"/>
  <c r="O15" i="5" a="1"/>
  <c r="O15" i="5" s="1"/>
  <c r="Q15" i="5" s="1"/>
  <c r="O16" i="5" a="1"/>
  <c r="O16" i="5" s="1"/>
  <c r="Q16" i="5" s="1"/>
  <c r="O17" i="5" a="1"/>
  <c r="O17" i="5" s="1"/>
  <c r="Q17" i="5" s="1"/>
  <c r="O18" i="5" a="1"/>
  <c r="O18" i="5" s="1"/>
  <c r="Q18" i="5" s="1"/>
  <c r="O19" i="5" a="1"/>
  <c r="O19" i="5" s="1"/>
  <c r="Q19" i="5" s="1"/>
  <c r="O20" i="5" a="1"/>
  <c r="O20" i="5" s="1"/>
  <c r="Q20" i="5" s="1"/>
  <c r="O21" i="5" a="1"/>
  <c r="O21" i="5" s="1"/>
  <c r="Q21" i="5" s="1"/>
  <c r="O22" i="5" a="1"/>
  <c r="O22" i="5" s="1"/>
  <c r="Q22" i="5" s="1"/>
  <c r="O23" i="5" a="1"/>
  <c r="O23" i="5" s="1"/>
  <c r="Q23" i="5" s="1"/>
  <c r="O24" i="5" a="1"/>
  <c r="O24" i="5" s="1"/>
  <c r="Q24" i="5" s="1"/>
  <c r="O25" i="5" a="1"/>
  <c r="O25" i="5" s="1"/>
  <c r="Q25" i="5" s="1"/>
  <c r="O26" i="5" a="1"/>
  <c r="O26" i="5" s="1"/>
  <c r="Q26" i="5" s="1"/>
  <c r="O27" i="5" a="1"/>
  <c r="R27" i="5" s="1"/>
  <c r="O28" i="5" a="1"/>
  <c r="O28" i="5" s="1"/>
  <c r="O29" i="5" a="1"/>
  <c r="O29" i="5" s="1"/>
  <c r="O30" i="5" a="1"/>
  <c r="O30" i="5" s="1"/>
  <c r="O31" i="5" a="1"/>
  <c r="O31" i="5" s="1"/>
  <c r="O32" i="5" a="1"/>
  <c r="O32" i="5" s="1"/>
  <c r="O33" i="5" a="1"/>
  <c r="O33" i="5" s="1"/>
  <c r="O3" i="5" a="1"/>
  <c r="O3" i="5" s="1"/>
  <c r="Q3" i="5" s="1"/>
  <c r="L4" i="2"/>
  <c r="N3" i="2"/>
  <c r="G23" i="2"/>
  <c r="G24" i="2"/>
  <c r="G25" i="2"/>
  <c r="G26" i="2"/>
  <c r="G27" i="2"/>
  <c r="G28" i="2"/>
  <c r="G29" i="2"/>
  <c r="G30" i="2"/>
  <c r="G31" i="2"/>
  <c r="G32" i="2"/>
  <c r="G33" i="2"/>
  <c r="G34" i="2"/>
  <c r="G35" i="2"/>
  <c r="H3" i="2"/>
  <c r="O3" i="2" s="1"/>
  <c r="Q3" i="2" s="1"/>
  <c r="A17" i="2"/>
  <c r="A18" i="2"/>
  <c r="A19" i="2"/>
  <c r="A20" i="2"/>
  <c r="A21" i="2"/>
  <c r="A22" i="2"/>
  <c r="A23" i="2"/>
  <c r="A24" i="2"/>
  <c r="A25" i="2"/>
  <c r="A26" i="2"/>
  <c r="A27" i="2"/>
  <c r="A28" i="2"/>
  <c r="A29" i="2"/>
  <c r="A30" i="2"/>
  <c r="A31" i="2"/>
  <c r="A32" i="2"/>
  <c r="A33" i="2"/>
  <c r="A34" i="2"/>
  <c r="A35" i="2"/>
  <c r="A36" i="2"/>
  <c r="A4" i="2"/>
  <c r="A5" i="2" s="1"/>
  <c r="A6" i="2" s="1"/>
  <c r="A7" i="2" s="1"/>
  <c r="A8" i="2" s="1"/>
  <c r="A9" i="2" s="1"/>
  <c r="A10" i="2" s="1"/>
  <c r="A11" i="2" s="1"/>
  <c r="A12" i="2" s="1"/>
  <c r="A13" i="2" s="1"/>
  <c r="A14" i="2" s="1"/>
  <c r="A15" i="2" s="1"/>
  <c r="A16" i="2" s="1"/>
  <c r="AD3" i="5" l="1"/>
  <c r="AF3" i="5" s="1"/>
  <c r="Y4" i="5"/>
  <c r="Z3" i="5" s="1" a="1"/>
  <c r="Z3" i="5" s="1"/>
  <c r="Q27" i="5"/>
  <c r="Q28" i="5" s="1"/>
  <c r="Q29" i="5" s="1"/>
  <c r="Q30" i="5" s="1"/>
  <c r="Q31" i="5" s="1"/>
  <c r="Q32" i="5" s="1"/>
  <c r="Q33" i="5" s="1"/>
  <c r="Q34" i="5" s="1"/>
  <c r="Q35" i="5" s="1"/>
  <c r="O27" i="5"/>
  <c r="R3" i="5"/>
  <c r="I3" i="5" s="1"/>
  <c r="J3" i="5" s="1"/>
  <c r="T3" i="5" s="1"/>
  <c r="R22" i="5"/>
  <c r="I22" i="5" s="1"/>
  <c r="R10" i="5"/>
  <c r="I10" i="5" s="1"/>
  <c r="J10" i="5" s="1"/>
  <c r="V10" i="5" s="1"/>
  <c r="R33" i="5"/>
  <c r="R21" i="5"/>
  <c r="I21" i="5" s="1"/>
  <c r="R9" i="5"/>
  <c r="I9" i="5" s="1"/>
  <c r="J9" i="5" s="1"/>
  <c r="V9" i="5" s="1"/>
  <c r="R32" i="5"/>
  <c r="R20" i="5"/>
  <c r="I20" i="5" s="1"/>
  <c r="R8" i="5"/>
  <c r="I8" i="5" s="1"/>
  <c r="J8" i="5" s="1"/>
  <c r="V8" i="5" s="1"/>
  <c r="R31" i="5"/>
  <c r="R19" i="5"/>
  <c r="I19" i="5" s="1"/>
  <c r="R7" i="5"/>
  <c r="I7" i="5" s="1"/>
  <c r="J7" i="5" s="1"/>
  <c r="V7" i="5" s="1"/>
  <c r="R30" i="5"/>
  <c r="R18" i="5"/>
  <c r="I18" i="5" s="1"/>
  <c r="R6" i="5"/>
  <c r="I6" i="5" s="1"/>
  <c r="J6" i="5" s="1"/>
  <c r="V6" i="5" s="1"/>
  <c r="R29" i="5"/>
  <c r="R17" i="5"/>
  <c r="I17" i="5" s="1"/>
  <c r="R5" i="5"/>
  <c r="I5" i="5" s="1"/>
  <c r="J5" i="5" s="1"/>
  <c r="V5" i="5" s="1"/>
  <c r="R28" i="5"/>
  <c r="R16" i="5"/>
  <c r="I16" i="5" s="1"/>
  <c r="R4" i="5"/>
  <c r="I4" i="5" s="1"/>
  <c r="T4" i="5" s="1"/>
  <c r="R15" i="5"/>
  <c r="I15" i="5" s="1"/>
  <c r="J15" i="5" s="1"/>
  <c r="V15" i="5" s="1"/>
  <c r="R26" i="5"/>
  <c r="I26" i="5" s="1"/>
  <c r="R14" i="5"/>
  <c r="I14" i="5" s="1"/>
  <c r="J14" i="5" s="1"/>
  <c r="V14" i="5" s="1"/>
  <c r="R25" i="5"/>
  <c r="I25" i="5" s="1"/>
  <c r="R13" i="5"/>
  <c r="I13" i="5" s="1"/>
  <c r="T13" i="5" s="1"/>
  <c r="R24" i="5"/>
  <c r="I24" i="5" s="1"/>
  <c r="R12" i="5"/>
  <c r="I12" i="5" s="1"/>
  <c r="J12" i="5" s="1"/>
  <c r="V12" i="5" s="1"/>
  <c r="R23" i="5"/>
  <c r="I23" i="5" s="1"/>
  <c r="R11" i="5"/>
  <c r="I11" i="5" s="1"/>
  <c r="J11" i="5" s="1"/>
  <c r="V11" i="5" s="1"/>
  <c r="S3" i="2"/>
  <c r="H4" i="2"/>
  <c r="S4" i="2" s="1"/>
  <c r="I3" i="2"/>
  <c r="O4" i="2"/>
  <c r="Q4" i="2" s="1"/>
  <c r="P3" i="2" a="1"/>
  <c r="P3" i="2" s="1"/>
  <c r="R3" i="2" s="1"/>
  <c r="H5" i="2"/>
  <c r="S5" i="2" s="1"/>
  <c r="G4" i="2"/>
  <c r="I29" i="5" l="1"/>
  <c r="V3" i="5"/>
  <c r="M3" i="5" s="1"/>
  <c r="I31" i="5"/>
  <c r="I33" i="5"/>
  <c r="I34" i="5"/>
  <c r="I27" i="5"/>
  <c r="I28" i="5"/>
  <c r="I30" i="5"/>
  <c r="I32" i="5"/>
  <c r="T9" i="5"/>
  <c r="T12" i="5"/>
  <c r="T10" i="5"/>
  <c r="T14" i="5"/>
  <c r="T11" i="5"/>
  <c r="J13" i="5"/>
  <c r="V13" i="5" s="1"/>
  <c r="M13" i="5" s="1"/>
  <c r="T7" i="5"/>
  <c r="H4" i="5"/>
  <c r="H5" i="5" s="1"/>
  <c r="H6" i="5" s="1"/>
  <c r="H7" i="5" s="1"/>
  <c r="H8" i="5" s="1"/>
  <c r="H9" i="5" s="1"/>
  <c r="H10" i="5" s="1"/>
  <c r="H11" i="5" s="1"/>
  <c r="H12" i="5" s="1"/>
  <c r="H13" i="5" s="1"/>
  <c r="H14" i="5" s="1"/>
  <c r="H15" i="5" s="1"/>
  <c r="H16" i="5" s="1"/>
  <c r="H17" i="5" s="1"/>
  <c r="H18" i="5" s="1"/>
  <c r="H19" i="5" s="1"/>
  <c r="H20" i="5" s="1"/>
  <c r="H21" i="5" s="1"/>
  <c r="H22" i="5" s="1"/>
  <c r="H23" i="5" s="1"/>
  <c r="H24" i="5" s="1"/>
  <c r="H25" i="5" s="1"/>
  <c r="H26" i="5" s="1"/>
  <c r="J4" i="5"/>
  <c r="V4" i="5" s="1"/>
  <c r="M4" i="5" s="1"/>
  <c r="L4" i="5" s="1"/>
  <c r="Q36" i="5"/>
  <c r="I35" i="5"/>
  <c r="T15" i="5"/>
  <c r="T5" i="5"/>
  <c r="T6" i="5"/>
  <c r="T8" i="5"/>
  <c r="P4" i="2" a="1"/>
  <c r="P4" i="2" s="1"/>
  <c r="R4" i="2" s="1"/>
  <c r="L3" i="2"/>
  <c r="I4" i="2"/>
  <c r="H6" i="2"/>
  <c r="S6" i="2" s="1"/>
  <c r="G5" i="2"/>
  <c r="G6" i="2" s="1"/>
  <c r="O5" i="2"/>
  <c r="Q5" i="2" s="1"/>
  <c r="P5" i="2" a="1"/>
  <c r="P5" i="2" s="1"/>
  <c r="R5" i="2" s="1"/>
  <c r="AB4" i="5" l="1"/>
  <c r="K4" i="5"/>
  <c r="K13" i="5"/>
  <c r="K27" i="5"/>
  <c r="K32" i="5"/>
  <c r="K24" i="5"/>
  <c r="K21" i="5"/>
  <c r="K22" i="5"/>
  <c r="K26" i="5"/>
  <c r="K29" i="5"/>
  <c r="K20" i="5"/>
  <c r="K33" i="5"/>
  <c r="K31" i="5"/>
  <c r="K25" i="5"/>
  <c r="K23" i="5"/>
  <c r="H27" i="5"/>
  <c r="H28" i="5" s="1"/>
  <c r="H29" i="5" s="1"/>
  <c r="H30" i="5" s="1"/>
  <c r="H31" i="5" s="1"/>
  <c r="H32" i="5" s="1"/>
  <c r="H33" i="5" s="1"/>
  <c r="H34" i="5" s="1"/>
  <c r="H35" i="5" s="1"/>
  <c r="K19" i="5"/>
  <c r="K34" i="5"/>
  <c r="K28" i="5"/>
  <c r="K3" i="5"/>
  <c r="L3" i="5"/>
  <c r="M9" i="5"/>
  <c r="L9" i="5" s="1"/>
  <c r="M14" i="5"/>
  <c r="L14" i="5" s="1"/>
  <c r="M6" i="5"/>
  <c r="M10" i="5"/>
  <c r="M7" i="5"/>
  <c r="M15" i="5"/>
  <c r="M12" i="5"/>
  <c r="M5" i="5"/>
  <c r="L5" i="5" s="1"/>
  <c r="Q37" i="5"/>
  <c r="I36" i="5"/>
  <c r="M11" i="5"/>
  <c r="M8" i="5"/>
  <c r="J4" i="2"/>
  <c r="K3" i="2"/>
  <c r="J3" i="2"/>
  <c r="I5" i="2"/>
  <c r="L5" i="2" s="1"/>
  <c r="P6" i="2" a="1"/>
  <c r="P6" i="2" s="1"/>
  <c r="R6" i="2" s="1"/>
  <c r="O6" i="2"/>
  <c r="Q6" i="2" s="1"/>
  <c r="H7" i="2"/>
  <c r="S7" i="2" s="1"/>
  <c r="L12" i="5" l="1"/>
  <c r="L15" i="5"/>
  <c r="L7" i="5"/>
  <c r="L10" i="5"/>
  <c r="L6" i="5"/>
  <c r="L8" i="5"/>
  <c r="L11" i="5"/>
  <c r="L13" i="5"/>
  <c r="AC4" i="5"/>
  <c r="AD4" i="5"/>
  <c r="AF4" i="5" s="1"/>
  <c r="AA4" i="5"/>
  <c r="AG4" i="5" s="1"/>
  <c r="K18" i="5"/>
  <c r="K15" i="5"/>
  <c r="K12" i="5"/>
  <c r="K30" i="5"/>
  <c r="K6" i="5"/>
  <c r="K7" i="5"/>
  <c r="K10" i="5"/>
  <c r="K35" i="5"/>
  <c r="K14" i="5"/>
  <c r="K8" i="5"/>
  <c r="K11" i="5"/>
  <c r="K5" i="5"/>
  <c r="K9" i="5"/>
  <c r="Q38" i="5"/>
  <c r="I37" i="5"/>
  <c r="H36" i="5"/>
  <c r="K5" i="2"/>
  <c r="J5" i="2"/>
  <c r="I6" i="2"/>
  <c r="L6" i="2" s="1"/>
  <c r="P7" i="2" a="1"/>
  <c r="P7" i="2" s="1"/>
  <c r="R7" i="2" s="1"/>
  <c r="H8" i="2"/>
  <c r="S8" i="2" s="1"/>
  <c r="O7" i="2"/>
  <c r="Q7" i="2" s="1"/>
  <c r="G7" i="2"/>
  <c r="G8" i="2" s="1"/>
  <c r="AE4" i="5" l="1"/>
  <c r="K16" i="5"/>
  <c r="L16" i="5"/>
  <c r="AH4" i="5"/>
  <c r="AJ4" i="5" s="1"/>
  <c r="AK4" i="5" s="1"/>
  <c r="AL4" i="5" s="1"/>
  <c r="AM4" i="5" s="1"/>
  <c r="K36" i="5"/>
  <c r="H37" i="5"/>
  <c r="Q39" i="5"/>
  <c r="I38" i="5"/>
  <c r="K6" i="2"/>
  <c r="J6" i="2"/>
  <c r="I7" i="2"/>
  <c r="L7" i="2" s="1"/>
  <c r="P8" i="2" a="1"/>
  <c r="P8" i="2" s="1"/>
  <c r="R8" i="2" s="1"/>
  <c r="O8" i="2"/>
  <c r="Q8" i="2" s="1"/>
  <c r="H9" i="2"/>
  <c r="S9" i="2" s="1"/>
  <c r="K37" i="5" l="1"/>
  <c r="H38" i="5"/>
  <c r="Q40" i="5"/>
  <c r="I39" i="5"/>
  <c r="K7" i="2"/>
  <c r="J7" i="2"/>
  <c r="I8" i="2"/>
  <c r="L8" i="2" s="1"/>
  <c r="O9" i="2"/>
  <c r="Q9" i="2" s="1"/>
  <c r="P9" i="2" a="1"/>
  <c r="P9" i="2" s="1"/>
  <c r="R9" i="2" s="1"/>
  <c r="H10" i="2"/>
  <c r="S10" i="2" s="1"/>
  <c r="G9" i="2"/>
  <c r="G10" i="2" s="1"/>
  <c r="K38" i="5" l="1"/>
  <c r="H39" i="5"/>
  <c r="Q41" i="5"/>
  <c r="I40" i="5"/>
  <c r="J8" i="2"/>
  <c r="K8" i="2"/>
  <c r="I9" i="2"/>
  <c r="L9" i="2" s="1"/>
  <c r="O10" i="2"/>
  <c r="Q10" i="2" s="1"/>
  <c r="P10" i="2" a="1"/>
  <c r="P10" i="2" s="1"/>
  <c r="R10" i="2" s="1"/>
  <c r="H11" i="2"/>
  <c r="S11" i="2" s="1"/>
  <c r="K39" i="5" l="1"/>
  <c r="Q42" i="5"/>
  <c r="I41" i="5"/>
  <c r="H40" i="5"/>
  <c r="J9" i="2"/>
  <c r="K9" i="2"/>
  <c r="I10" i="2"/>
  <c r="L10" i="2" s="1"/>
  <c r="O11" i="2"/>
  <c r="Q11" i="2" s="1"/>
  <c r="H12" i="2"/>
  <c r="S12" i="2" s="1"/>
  <c r="P11" i="2" a="1"/>
  <c r="P11" i="2" s="1"/>
  <c r="R11" i="2" s="1"/>
  <c r="G11" i="2"/>
  <c r="G12" i="2" s="1"/>
  <c r="K40" i="5" l="1"/>
  <c r="Q43" i="5"/>
  <c r="I42" i="5"/>
  <c r="H41" i="5"/>
  <c r="J10" i="2"/>
  <c r="K10" i="2"/>
  <c r="I11" i="2"/>
  <c r="L11" i="2" s="1"/>
  <c r="O12" i="2"/>
  <c r="Q12" i="2" s="1"/>
  <c r="H13" i="2"/>
  <c r="S13" i="2" s="1"/>
  <c r="P12" i="2" a="1"/>
  <c r="P12" i="2" s="1"/>
  <c r="R12" i="2" s="1"/>
  <c r="H42" i="5" l="1"/>
  <c r="K41" i="5"/>
  <c r="Q44" i="5"/>
  <c r="I43" i="5"/>
  <c r="J11" i="2"/>
  <c r="K11" i="2"/>
  <c r="I12" i="2"/>
  <c r="L12" i="2" s="1"/>
  <c r="H14" i="2"/>
  <c r="S14" i="2" s="1"/>
  <c r="O13" i="2"/>
  <c r="Q13" i="2" s="1"/>
  <c r="P13" i="2" a="1"/>
  <c r="P13" i="2" s="1"/>
  <c r="R13" i="2" s="1"/>
  <c r="G13" i="2"/>
  <c r="G14" i="2" s="1"/>
  <c r="K42" i="5" l="1"/>
  <c r="Q45" i="5"/>
  <c r="I44" i="5"/>
  <c r="H43" i="5"/>
  <c r="J12" i="2"/>
  <c r="K12" i="2"/>
  <c r="I13" i="2"/>
  <c r="L13" i="2" s="1"/>
  <c r="H15" i="2"/>
  <c r="S15" i="2" s="1"/>
  <c r="O14" i="2"/>
  <c r="Q14" i="2" s="1"/>
  <c r="P14" i="2" a="1"/>
  <c r="P14" i="2" s="1"/>
  <c r="R14" i="2" s="1"/>
  <c r="K43" i="5" l="1"/>
  <c r="H44" i="5"/>
  <c r="Q46" i="5"/>
  <c r="I45" i="5"/>
  <c r="J13" i="2"/>
  <c r="K13" i="2"/>
  <c r="I14" i="2"/>
  <c r="L14" i="2" s="1"/>
  <c r="H16" i="2"/>
  <c r="S16" i="2" s="1"/>
  <c r="O15" i="2"/>
  <c r="Q15" i="2" s="1"/>
  <c r="P15" i="2" a="1"/>
  <c r="P15" i="2" s="1"/>
  <c r="R15" i="2" s="1"/>
  <c r="G15" i="2"/>
  <c r="G16" i="2" s="1"/>
  <c r="K44" i="5" l="1"/>
  <c r="H45" i="5"/>
  <c r="Q47" i="5"/>
  <c r="I46" i="5"/>
  <c r="J14" i="2"/>
  <c r="K14" i="2"/>
  <c r="I15" i="2"/>
  <c r="L15" i="2" s="1"/>
  <c r="P16" i="2" a="1"/>
  <c r="P16" i="2" s="1"/>
  <c r="R16" i="2" s="1"/>
  <c r="H17" i="2"/>
  <c r="S17" i="2" s="1"/>
  <c r="O16" i="2"/>
  <c r="Q16" i="2" s="1"/>
  <c r="K45" i="5" l="1"/>
  <c r="Q48" i="5"/>
  <c r="I47" i="5"/>
  <c r="H46" i="5"/>
  <c r="K15" i="2"/>
  <c r="J15" i="2"/>
  <c r="I16" i="2"/>
  <c r="L16" i="2" s="1"/>
  <c r="O17" i="2"/>
  <c r="Q17" i="2" s="1"/>
  <c r="H18" i="2"/>
  <c r="S18" i="2" s="1"/>
  <c r="P17" i="2" a="1"/>
  <c r="P17" i="2" s="1"/>
  <c r="R17" i="2" s="1"/>
  <c r="G17" i="2"/>
  <c r="G18" i="2" s="1"/>
  <c r="H47" i="5" l="1"/>
  <c r="K46" i="5"/>
  <c r="Q49" i="5"/>
  <c r="I48" i="5"/>
  <c r="H48" i="5" s="1"/>
  <c r="J16" i="2"/>
  <c r="K16" i="2"/>
  <c r="I17" i="2"/>
  <c r="L17" i="2" s="1"/>
  <c r="P18" i="2" a="1"/>
  <c r="P18" i="2" s="1"/>
  <c r="R18" i="2" s="1"/>
  <c r="O18" i="2"/>
  <c r="Q18" i="2" s="1"/>
  <c r="H19" i="2"/>
  <c r="S19" i="2" s="1"/>
  <c r="K47" i="5" l="1"/>
  <c r="Q50" i="5"/>
  <c r="I49" i="5"/>
  <c r="K17" i="2"/>
  <c r="J17" i="2"/>
  <c r="I18" i="2"/>
  <c r="L18" i="2" s="1"/>
  <c r="O19" i="2"/>
  <c r="Q19" i="2" s="1"/>
  <c r="P19" i="2" a="1"/>
  <c r="P19" i="2" s="1"/>
  <c r="R19" i="2" s="1"/>
  <c r="H20" i="2"/>
  <c r="S20" i="2" s="1"/>
  <c r="G19" i="2"/>
  <c r="G20" i="2" s="1"/>
  <c r="K48" i="5" l="1"/>
  <c r="Q51" i="5"/>
  <c r="I50" i="5"/>
  <c r="H49" i="5"/>
  <c r="K18" i="2"/>
  <c r="J18" i="2"/>
  <c r="I19" i="2"/>
  <c r="L19" i="2" s="1"/>
  <c r="P20" i="2" a="1"/>
  <c r="P20" i="2" s="1"/>
  <c r="R20" i="2" s="1"/>
  <c r="H21" i="2"/>
  <c r="S21" i="2" s="1"/>
  <c r="O20" i="2"/>
  <c r="Q20" i="2" s="1"/>
  <c r="H50" i="5" l="1"/>
  <c r="K49" i="5"/>
  <c r="Q52" i="5"/>
  <c r="I51" i="5"/>
  <c r="K19" i="2"/>
  <c r="J19" i="2"/>
  <c r="I20" i="2"/>
  <c r="L20" i="2" s="1"/>
  <c r="P21" i="2" a="1"/>
  <c r="P21" i="2" s="1"/>
  <c r="R21" i="2" s="1"/>
  <c r="H22" i="2"/>
  <c r="S22" i="2" s="1"/>
  <c r="O21" i="2"/>
  <c r="Q21" i="2" s="1"/>
  <c r="G21" i="2"/>
  <c r="G22" i="2" s="1"/>
  <c r="K50" i="5" l="1"/>
  <c r="Q53" i="5"/>
  <c r="I52" i="5"/>
  <c r="H51" i="5"/>
  <c r="J20" i="2"/>
  <c r="K20" i="2"/>
  <c r="I21" i="2"/>
  <c r="L21" i="2" s="1"/>
  <c r="O22" i="2"/>
  <c r="Q22" i="2" s="1"/>
  <c r="P22" i="2" a="1"/>
  <c r="P22" i="2" s="1"/>
  <c r="R22" i="2" s="1"/>
  <c r="K51" i="5" l="1"/>
  <c r="H52" i="5"/>
  <c r="Q54" i="5"/>
  <c r="I53" i="5"/>
  <c r="J21" i="2"/>
  <c r="K21" i="2"/>
  <c r="I22" i="2"/>
  <c r="L22" i="2" s="1"/>
  <c r="K52" i="5" l="1"/>
  <c r="Q55" i="5"/>
  <c r="I54" i="5"/>
  <c r="H53" i="5"/>
  <c r="J22" i="2"/>
  <c r="K22" i="2"/>
  <c r="H54" i="5" l="1"/>
  <c r="K53" i="5"/>
  <c r="Q56" i="5"/>
  <c r="I55" i="5"/>
  <c r="K54" i="5" l="1"/>
  <c r="Q57" i="5"/>
  <c r="I56" i="5"/>
  <c r="H55" i="5"/>
  <c r="K55" i="5" l="1"/>
  <c r="H56" i="5"/>
  <c r="Q58" i="5"/>
  <c r="I57" i="5"/>
  <c r="K56" i="5" l="1"/>
  <c r="Q59" i="5"/>
  <c r="I58" i="5"/>
  <c r="H57" i="5"/>
  <c r="H58" i="5" l="1"/>
  <c r="K57" i="5"/>
  <c r="Q60" i="5"/>
  <c r="I59" i="5"/>
  <c r="K58" i="5" l="1"/>
  <c r="Q61" i="5"/>
  <c r="I60" i="5"/>
  <c r="H59" i="5"/>
  <c r="H60" i="5" l="1"/>
  <c r="K59" i="5"/>
  <c r="Q62" i="5"/>
  <c r="I61" i="5"/>
  <c r="K60" i="5" l="1"/>
  <c r="Q63" i="5"/>
  <c r="I62" i="5"/>
  <c r="H61" i="5"/>
  <c r="H62" i="5" l="1"/>
  <c r="K61" i="5"/>
  <c r="Q64" i="5"/>
  <c r="I63" i="5"/>
  <c r="K62" i="5" l="1"/>
  <c r="Q65" i="5"/>
  <c r="I64" i="5"/>
  <c r="H63" i="5"/>
  <c r="K63" i="5" l="1"/>
  <c r="H64" i="5"/>
  <c r="Q66" i="5"/>
  <c r="I66" i="5" s="1"/>
  <c r="I65" i="5"/>
  <c r="K64" i="5" l="1"/>
  <c r="H65" i="5"/>
  <c r="H66" i="5" s="1"/>
  <c r="K65" i="5" l="1"/>
  <c r="K6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tc={D5E6154D-720C-4F63-A95D-0B55FDA92405}</author>
    <author>tc={24B699AD-FD0A-4729-BF8C-0C29F978DD97}</author>
  </authors>
  <commentList>
    <comment ref="A1" authorId="0" shapeId="0" xr:uid="{D5E6154D-720C-4F63-A95D-0B55FDA92405}">
      <text>
        <t>[스레드 댓글]
사용 중인 버전의 Excel에서 이 스레드 댓글을 읽을 수 있지만 파일을 이후 버전의 Excel에서 열면 편집 내용이 모두 제거됩니다. 자세한 정보: https://go.microsoft.com/fwlink/?linkid=870924.
댓글:
    예시를 위해 2024-06-14 3사 평균값을 사용했습니다</t>
      </text>
    </comment>
    <comment ref="I2" authorId="1" shapeId="0" xr:uid="{24B699AD-FD0A-4729-BF8C-0C29F978DD97}">
      <text>
        <t>[스레드 댓글]
사용 중인 버전의 Excel에서 이 스레드 댓글을 읽을 수 있지만 파일을 이후 버전의 Excel에서 열면 편집 내용이 모두 제거됩니다. 자세한 정보: https://go.microsoft.com/fwlink/?linkid=870924.
댓글:
    채권 Bootstrapping 시에는 시장 관행으로, 대상 채권의 이자지급주기에 해당하지 않는 Tenor에 대한 YTM 공시된 YTM을 선형보간하여 사용합니다. (실제 채권 거래시 시장에서 선형보간한 YTM 값으로 거래되는 것으로 이해됨.)
그러나 Swap 거래의 경우 해찾기 로직 적용이 필요합니다.</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tc={0391F964-7805-47F4-8F6D-D40AA0749B7D}</author>
    <author>tc={E36B54F0-1B43-4B38-9855-F30D460E8E03}</author>
    <author>tc={D5D98BBC-E551-4955-891F-7247874688B9}</author>
    <author>tc={0FCA44F0-2DE4-45C1-8283-EE9E9A0CE6CF}</author>
    <author>tc={E5C76C4B-472A-4993-9C70-2093C27C1977}</author>
    <author>tc={2615B472-5B0D-46FD-AC14-DA4A96A5D8B1}</author>
    <author>tc={1C1F93E3-EF6A-4AB9-82D6-0080A898D0DC}</author>
    <author>tc={DD7B513F-6F4F-419E-99FA-553B0B536526}</author>
  </authors>
  <commentList>
    <comment ref="Y1" authorId="0" shapeId="0" xr:uid="{0391F964-7805-47F4-8F6D-D40AA0749B7D}">
      <text>
        <t>[스레드 댓글]
사용 중인 버전의 Excel에서 이 스레드 댓글을 읽을 수 있지만 파일을 이후 버전의 Excel에서 열면 편집 내용이 모두 제거됩니다. 자세한 정보: https://go.microsoft.com/fwlink/?linkid=870924.
댓글:
    DF to Pay를 생성하고 DF to Pay로 부터 보다 짧은 기간인 DF to Float을 생성합니다.
이때 DF to Pay 및 DF to Float 모두 알 수 없는 값이므로 해찾기를 진행합니다.
1Y 이후 부터는 1Y와 동일한 방식으로 진행합니다.</t>
      </text>
    </comment>
    <comment ref="J2" authorId="1" shapeId="0" xr:uid="{E36B54F0-1B43-4B38-9855-F30D460E8E03}">
      <text>
        <t>[스레드 댓글]
사용 중인 버전의 Excel에서 이 스레드 댓글을 읽을 수 있지만 파일을 이후 버전의 Excel에서 열면 편집 내용이 모두 제거됩니다. 자세한 정보: https://go.microsoft.com/fwlink/?linkid=870924.
댓글:
    Payment Delay는 편의상 Fixed Leg/Float Leg를 동일하게 고려</t>
      </text>
    </comment>
    <comment ref="K2" authorId="2" shapeId="0" xr:uid="{D5D98BBC-E551-4955-891F-7247874688B9}">
      <text>
        <t>[스레드 댓글]
사용 중인 버전의 Excel에서 이 스레드 댓글을 읽을 수 있지만 파일을 이후 버전의 Excel에서 열면 편집 내용이 모두 제거됩니다. 자세한 정보: https://go.microsoft.com/fwlink/?linkid=870924.
댓글:
    Df to Spot 변환시에는 Act/365 Convention을 고정하여 사용함. (Market Convention)</t>
      </text>
    </comment>
    <comment ref="Y2" authorId="3" shapeId="0" xr:uid="{0FCA44F0-2DE4-45C1-8283-EE9E9A0CE6CF}">
      <text>
        <t>[스레드 댓글]
사용 중인 버전의 Excel에서 이 스레드 댓글을 읽을 수 있지만 파일을 이후 버전의 Excel에서 열면 편집 내용이 모두 제거됩니다. 자세한 정보: https://go.microsoft.com/fwlink/?linkid=870924.
댓글:
    Roll Convention: Backward Generation 규칙에 의하여 만기일 부터 역으로 현금흐름 일정을 생성함</t>
      </text>
    </comment>
    <comment ref="M3" authorId="4" shapeId="0" xr:uid="{E5C76C4B-472A-4993-9C70-2093C27C1977}">
      <text>
        <t>[스레드 댓글]
사용 중인 버전의 Excel에서 이 스레드 댓글을 읽을 수 있지만 파일을 이후 버전의 Excel에서 열면 편집 내용이 모두 제거됩니다. 자세한 정보: https://go.microsoft.com/fwlink/?linkid=870924.
댓글:
    Pay Frequency 인 1Year까지는 SwapRate*yf_fixed = FloatRate*yf_float</t>
      </text>
    </comment>
    <comment ref="B12" authorId="5" shapeId="0" xr:uid="{2615B472-5B0D-46FD-AC14-DA4A96A5D8B1}">
      <text>
        <t>[스레드 댓글]
사용 중인 버전의 Excel에서 이 스레드 댓글을 읽을 수 있지만 파일을 이후 버전의 Excel에서 열면 편집 내용이 모두 제거됩니다. 자세한 정보: https://go.microsoft.com/fwlink/?linkid=870924.
댓글:
    Spot Lag이 있다면 계산이 보다 복잡해지나 편의상 생략합니다.</t>
      </text>
    </comment>
    <comment ref="B16" authorId="6" shapeId="0" xr:uid="{1C1F93E3-EF6A-4AB9-82D6-0080A898D0DC}">
      <text>
        <t>[스레드 댓글]
사용 중인 버전의 Excel에서 이 스레드 댓글을 읽을 수 있지만 파일을 이후 버전의 Excel에서 열면 편집 내용이 모두 제거됩니다. 자세한 정보: https://go.microsoft.com/fwlink/?linkid=870924.
댓글:
    편의상 DCC가 Float Fixed 모두 동일하다 가정</t>
      </text>
    </comment>
    <comment ref="B17" authorId="7" shapeId="0" xr:uid="{DD7B513F-6F4F-419E-99FA-553B0B536526}">
      <text>
        <t>[스레드 댓글]
사용 중인 버전의 Excel에서 이 스레드 댓글을 읽을 수 있지만 파일을 이후 버전의 Excel에서 열면 편집 내용이 모두 제거됩니다. 자세한 정보: https://go.microsoft.com/fwlink/?linkid=870924.
댓글:
    편의상 BDC는 적용하지 않음</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<sst xmlns="http://schemas.openxmlformats.org/spreadsheetml/2006/main" count="201" uniqueCount="107">
  <si>
    <t>시장 정보</t>
    <phoneticPr fontId="2" type="noConversion"/>
  </si>
  <si>
    <t>Seq</t>
    <phoneticPr fontId="2" type="noConversion"/>
  </si>
  <si>
    <t>Tenor</t>
    <phoneticPr fontId="2" type="noConversion"/>
  </si>
  <si>
    <t>Market Rate</t>
    <phoneticPr fontId="2" type="noConversion"/>
  </si>
  <si>
    <t>Output</t>
    <phoneticPr fontId="2" type="noConversion"/>
  </si>
  <si>
    <t>DF</t>
    <phoneticPr fontId="2" type="noConversion"/>
  </si>
  <si>
    <t>Fwd</t>
    <phoneticPr fontId="2" type="noConversion"/>
  </si>
  <si>
    <t>Interp Rate</t>
    <phoneticPr fontId="2" type="noConversion"/>
  </si>
  <si>
    <t>Logic Supporter</t>
    <phoneticPr fontId="2" type="noConversion"/>
  </si>
  <si>
    <t>Interp Start</t>
    <phoneticPr fontId="2" type="noConversion"/>
  </si>
  <si>
    <t>Interp End</t>
    <phoneticPr fontId="2" type="noConversion"/>
  </si>
  <si>
    <t>Interp Rate start</t>
    <phoneticPr fontId="2" type="noConversion"/>
  </si>
  <si>
    <t>Interp Rate End</t>
    <phoneticPr fontId="2" type="noConversion"/>
  </si>
  <si>
    <t>DCC</t>
    <phoneticPr fontId="2" type="noConversion"/>
  </si>
  <si>
    <t>Act/365</t>
  </si>
  <si>
    <t>Date 변환</t>
    <phoneticPr fontId="2" type="noConversion"/>
  </si>
  <si>
    <t>CalcDate</t>
    <phoneticPr fontId="2" type="noConversion"/>
  </si>
  <si>
    <t>Frequnecy</t>
    <phoneticPr fontId="2" type="noConversion"/>
  </si>
  <si>
    <t>SemiAnnual</t>
    <phoneticPr fontId="2" type="noConversion"/>
  </si>
  <si>
    <t>yearFrac 변환</t>
    <phoneticPr fontId="2" type="noConversion"/>
  </si>
  <si>
    <t>Spot(Continous Compounding)</t>
    <phoneticPr fontId="2" type="noConversion"/>
  </si>
  <si>
    <t>Curve Date</t>
  </si>
  <si>
    <t xml:space="preserve">1. Cash </t>
  </si>
  <si>
    <t>Calc Calendar</t>
  </si>
  <si>
    <t>EN</t>
  </si>
  <si>
    <t>DCC</t>
  </si>
  <si>
    <t>ACT/365</t>
  </si>
  <si>
    <t>2. Depo</t>
  </si>
  <si>
    <t>Spot Lag</t>
  </si>
  <si>
    <t>3. Swap</t>
  </si>
  <si>
    <t>Leg1: Receive</t>
  </si>
  <si>
    <t>Leg Type</t>
  </si>
  <si>
    <t>Fixed</t>
  </si>
  <si>
    <t>Pay Frequency</t>
  </si>
  <si>
    <t>Annual</t>
  </si>
  <si>
    <t>BDC</t>
  </si>
  <si>
    <t>Modified Following</t>
  </si>
  <si>
    <t>Adjust</t>
  </si>
  <si>
    <t>Accrual and Payment</t>
  </si>
  <si>
    <t>Roll Convention</t>
  </si>
  <si>
    <t>Backward</t>
  </si>
  <si>
    <t>Payment Delay</t>
  </si>
  <si>
    <t>Leg2: Pay</t>
  </si>
  <si>
    <t>Floating</t>
  </si>
  <si>
    <t>Swap</t>
  </si>
  <si>
    <t>Input</t>
  </si>
  <si>
    <t>Type</t>
  </si>
  <si>
    <t>Term</t>
  </si>
  <si>
    <t>Market Rate</t>
  </si>
  <si>
    <t>1 WK</t>
  </si>
  <si>
    <t>2 WK</t>
  </si>
  <si>
    <t>1 MO</t>
  </si>
  <si>
    <t>2 MO</t>
  </si>
  <si>
    <t>3 MO</t>
  </si>
  <si>
    <t>4 MO</t>
  </si>
  <si>
    <t>5 MO</t>
  </si>
  <si>
    <t>6 MO</t>
  </si>
  <si>
    <t>7 MO</t>
  </si>
  <si>
    <t>8 MO</t>
  </si>
  <si>
    <t>9 MO</t>
  </si>
  <si>
    <t>10 MO</t>
  </si>
  <si>
    <t>11 MO</t>
  </si>
  <si>
    <t>1 YR</t>
  </si>
  <si>
    <t>18 MO</t>
  </si>
  <si>
    <t>2 YR</t>
  </si>
  <si>
    <t>3 YR</t>
  </si>
  <si>
    <t>4 YR</t>
  </si>
  <si>
    <t>5 YR</t>
  </si>
  <si>
    <t>6 YR</t>
  </si>
  <si>
    <t>7 YR</t>
  </si>
  <si>
    <t>8 YR</t>
  </si>
  <si>
    <t>9 YR</t>
  </si>
  <si>
    <t>10 YR</t>
  </si>
  <si>
    <t>12 YR</t>
  </si>
  <si>
    <t>15 YR</t>
  </si>
  <si>
    <t>20 YR</t>
  </si>
  <si>
    <t>25 YR</t>
  </si>
  <si>
    <t>30 YR</t>
  </si>
  <si>
    <t>40 YR</t>
  </si>
  <si>
    <t>50 YR</t>
  </si>
  <si>
    <t>Curve Detail</t>
    <phoneticPr fontId="2" type="noConversion"/>
  </si>
  <si>
    <t>Term Change</t>
    <phoneticPr fontId="2" type="noConversion"/>
  </si>
  <si>
    <t>Term</t>
    <phoneticPr fontId="2" type="noConversion"/>
  </si>
  <si>
    <t>Spot</t>
    <phoneticPr fontId="2" type="noConversion"/>
  </si>
  <si>
    <t>YR</t>
  </si>
  <si>
    <t>to percent</t>
    <phoneticPr fontId="2" type="noConversion"/>
  </si>
  <si>
    <t>YF fixed</t>
    <phoneticPr fontId="2" type="noConversion"/>
  </si>
  <si>
    <t>YF Float</t>
    <phoneticPr fontId="2" type="noConversion"/>
  </si>
  <si>
    <t>Fixed DCC</t>
    <phoneticPr fontId="2" type="noConversion"/>
  </si>
  <si>
    <t>Float DCC</t>
    <phoneticPr fontId="2" type="noConversion"/>
  </si>
  <si>
    <t>Backward Generation</t>
    <phoneticPr fontId="2" type="noConversion"/>
  </si>
  <si>
    <t>Sort Date</t>
    <phoneticPr fontId="2" type="noConversion"/>
  </si>
  <si>
    <t>Payment Date</t>
    <phoneticPr fontId="2" type="noConversion"/>
  </si>
  <si>
    <t>Accrued Start</t>
    <phoneticPr fontId="2" type="noConversion"/>
  </si>
  <si>
    <t>Accrued End</t>
    <phoneticPr fontId="2" type="noConversion"/>
  </si>
  <si>
    <t>Fixed Coupon</t>
    <phoneticPr fontId="2" type="noConversion"/>
  </si>
  <si>
    <t>Float Rate</t>
    <phoneticPr fontId="2" type="noConversion"/>
  </si>
  <si>
    <t>1년이상은 CF 생성</t>
    <phoneticPr fontId="2" type="noConversion"/>
  </si>
  <si>
    <t>1Y</t>
    <phoneticPr fontId="2" type="noConversion"/>
  </si>
  <si>
    <t>YF Acc</t>
    <phoneticPr fontId="2" type="noConversion"/>
  </si>
  <si>
    <t>YF Pay</t>
    <phoneticPr fontId="2" type="noConversion"/>
  </si>
  <si>
    <t>DF to Pay</t>
    <phoneticPr fontId="2" type="noConversion"/>
  </si>
  <si>
    <t>DF to Float</t>
    <phoneticPr fontId="2" type="noConversion"/>
  </si>
  <si>
    <t>NPV Fixed</t>
    <phoneticPr fontId="2" type="noConversion"/>
  </si>
  <si>
    <t>NPV Float</t>
    <phoneticPr fontId="2" type="noConversion"/>
  </si>
  <si>
    <t>Float Coupon</t>
    <phoneticPr fontId="2" type="noConversion"/>
  </si>
  <si>
    <t>NPV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</si>
</sst>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176" formatCode="0.0000%"/>
    <numFmt numFmtId="177" formatCode="0.0000000"/>
    <numFmt numFmtId="178" formatCode="0.00000%"/>
    <numFmt numFmtId="179" formatCode="_-* #,##0.0000000000_-;\-* #,##0.0000000000_-;_-* &quot;-&quot;_-;_-@_-"/>
    <numFmt numFmtId="180" formatCode="0.000000%"/>
    <numFmt numFmtId="181" formatCode="0.00000000"/>
  </numFmts>
  <fonts count="12"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name val="Arial"/>
      <family val="2"/>
    </font>
    <font>
      <sz val="11"/>
      <color rgb="FFFF0000"/>
      <name val="맑은 고딕"/>
      <family val="2"/>
      <charset val="129"/>
      <scheme val="minor"/>
    </font>
    <font>
      <b/>
      <sz val="11"/>
      <color rgb="FFFF0000"/>
      <name val="맑은 고딕"/>
      <family val="3"/>
      <charset val="129"/>
      <scheme val="minor"/>
    </font>
    <font>
      <sz val="11"/>
      <color rgb="FFFF0000"/>
      <name val="맑은 고딕"/>
      <family val="3"/>
      <charset val="129"/>
      <scheme val="minor"/>
    </font>
    <font>
      <b/>
      <sz val="11"/>
      <color theme="7"/>
      <name val="맑은 고딕"/>
      <family val="3"/>
      <charset val="129"/>
      <scheme val="minor"/>
    </font>
    <font>
      <sz val="11"/>
      <color theme="7"/>
      <name val="맑은 고딕"/>
      <family val="3"/>
      <charset val="129"/>
      <scheme val="minor"/>
    </font>
    <font>
      <b/>
      <sz val="11"/>
      <color theme="9"/>
      <name val="맑은 고딕"/>
      <family val="3"/>
      <charset val="129"/>
      <scheme val="minor"/>
    </font>
    <font>
      <sz val="11"/>
      <color theme="9"/>
      <name val="맑은 고딕"/>
      <family val="3"/>
      <charset val="129"/>
      <scheme val="minor"/>
    </font>
  </fonts>
  <fills count="5">
    <fill>
      <patternFill patternType="none"/>
    </fill>
    <fill>
      <patternFill patternType="gray125"/>
    </fill>
    <fill>
      <patternFill patternType="solid">
        <fgColor indexed="9"/>
        <bgColor indexed="64"/>
      </patternFill>
    </fill>
    <fill>
      <patternFill patternType="solid">
        <fgColor theme="3" tint="0.749992370372631"/>
        <bgColor indexed="64"/>
      </patternFill>
    </fill>
    <fill>
      <patternFill patternType="solid">
        <fgColor theme="3" tint="0.8999908444471571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9" fontId="1" fillId="0" borderId="0" applyFont="0" applyFill="0" applyBorder="0" applyAlignment="0" applyProtection="0">
      <alignment vertical="center"/>
    </xf>
    <xf numFmtId="0" fontId="4" fillId="0" borderId="0"/>
    <xf numFmtId="41" fontId="1" fillId="0" borderId="0" applyFont="0" applyFill="0" applyBorder="0" applyAlignment="0" applyProtection="0">
      <alignment vertical="center"/>
    </xf>
  </cellStyleXfs>
  <cellXfs count="42">
    <xf numFmtId="0" fontId="0" fillId="0" borderId="0" xfId="0">
      <alignment vertical="center"/>
    </xf>
    <xf numFmtId="0" fontId="3" fillId="0" borderId="1" xfId="0" applyFont="1" applyBorder="1">
      <alignment vertical="center"/>
    </xf>
    <xf numFmtId="0" fontId="0" fillId="0" borderId="1" xfId="0" applyBorder="1">
      <alignment vertical="center"/>
    </xf>
    <xf numFmtId="0" fontId="4" fillId="2" borderId="1" xfId="2" applyFill="1" applyBorder="1" applyAlignment="1">
      <alignment horizontal="center" vertical="center"/>
    </xf>
    <xf numFmtId="0" fontId="3" fillId="0" borderId="2" xfId="0" applyFont="1" applyBorder="1">
      <alignment vertical="center"/>
    </xf>
    <xf numFmtId="14" fontId="4" fillId="2" borderId="1" xfId="2" applyNumberFormat="1" applyFill="1" applyBorder="1" applyAlignment="1">
      <alignment horizontal="center" vertical="center"/>
    </xf>
    <xf numFmtId="176" fontId="0" fillId="0" borderId="1" xfId="1" applyNumberFormat="1" applyFont="1" applyBorder="1">
      <alignment vertical="center"/>
    </xf>
    <xf numFmtId="177" fontId="0" fillId="0" borderId="1" xfId="0" applyNumberFormat="1" applyBorder="1">
      <alignment vertical="center"/>
    </xf>
    <xf numFmtId="177" fontId="0" fillId="0" borderId="0" xfId="0" applyNumberFormat="1">
      <alignment vertical="center"/>
    </xf>
    <xf numFmtId="14" fontId="0" fillId="0" borderId="0" xfId="0" applyNumberFormat="1">
      <alignment vertical="center"/>
    </xf>
    <xf numFmtId="0" fontId="3" fillId="0" borderId="0" xfId="0" applyFont="1">
      <alignment vertical="center"/>
    </xf>
    <xf numFmtId="14" fontId="0" fillId="0" borderId="1" xfId="0" applyNumberFormat="1" applyBorder="1">
      <alignment vertical="center"/>
    </xf>
    <xf numFmtId="0" fontId="0" fillId="0" borderId="1" xfId="0" applyBorder="1" applyAlignment="1">
      <alignment horizontal="left" vertical="center"/>
    </xf>
    <xf numFmtId="178" fontId="0" fillId="0" borderId="1" xfId="1" applyNumberFormat="1" applyFont="1" applyBorder="1">
      <alignment vertical="center"/>
    </xf>
    <xf numFmtId="179" fontId="0" fillId="0" borderId="1" xfId="3" applyNumberFormat="1" applyFont="1" applyBorder="1">
      <alignment vertical="center"/>
    </xf>
    <xf numFmtId="0" fontId="0" fillId="0" borderId="6" xfId="0" applyBorder="1">
      <alignment vertical="center"/>
    </xf>
    <xf numFmtId="0" fontId="0" fillId="0" borderId="7" xfId="0" applyBorder="1">
      <alignment vertical="center"/>
    </xf>
    <xf numFmtId="0" fontId="0" fillId="0" borderId="3" xfId="0" applyBorder="1">
      <alignment vertical="center"/>
    </xf>
    <xf numFmtId="0" fontId="3" fillId="0" borderId="6" xfId="0" applyFont="1" applyBorder="1">
      <alignment vertical="center"/>
    </xf>
    <xf numFmtId="14" fontId="5" fillId="0" borderId="1" xfId="0" applyNumberFormat="1" applyFont="1" applyBorder="1">
      <alignment vertical="center"/>
    </xf>
    <xf numFmtId="180" fontId="0" fillId="0" borderId="1" xfId="1" applyNumberFormat="1" applyFont="1" applyBorder="1">
      <alignment vertical="center"/>
    </xf>
    <xf numFmtId="0" fontId="6" fillId="0" borderId="1" xfId="0" applyFont="1" applyBorder="1">
      <alignment vertical="center"/>
    </xf>
    <xf numFmtId="0" fontId="7" fillId="0" borderId="1" xfId="0" applyFont="1" applyBorder="1">
      <alignment vertical="center"/>
    </xf>
    <xf numFmtId="0" fontId="8" fillId="0" borderId="1" xfId="0" applyFont="1" applyBorder="1">
      <alignment vertical="center"/>
    </xf>
    <xf numFmtId="0" fontId="9" fillId="0" borderId="1" xfId="0" applyFont="1" applyBorder="1">
      <alignment vertical="center"/>
    </xf>
    <xf numFmtId="181" fontId="9" fillId="0" borderId="1" xfId="0" applyNumberFormat="1" applyFont="1" applyBorder="1">
      <alignment vertical="center"/>
    </xf>
    <xf numFmtId="0" fontId="10" fillId="0" borderId="1" xfId="0" applyFont="1" applyBorder="1">
      <alignment vertical="center"/>
    </xf>
    <xf numFmtId="0" fontId="11" fillId="0" borderId="1" xfId="0" applyFont="1" applyBorder="1">
      <alignment vertical="center"/>
    </xf>
    <xf numFmtId="181" fontId="11" fillId="0" borderId="1" xfId="0" applyNumberFormat="1" applyFont="1" applyBorder="1">
      <alignment vertical="center"/>
    </xf>
    <xf numFmtId="14" fontId="11" fillId="0" borderId="0" xfId="0" applyNumberFormat="1" applyFo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4" borderId="0" xfId="0" applyFont="1" applyFill="1" applyAlignment="1">
      <alignment horizontal="center" vertical="center"/>
    </xf>
    <xf numFmtId="0" fontId="0" fillId="0" borderId="0" xfId="0"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3" borderId="0" xfId="0" applyFont="1" applyFill="1" applyAlignment="1">
      <alignment horizontal="center" vertical="center"/>
    </xf>
  </cellXfs>
  <cellStyles count="4">
    <cellStyle name="백분율" xfId="1" builtinId="5"/>
    <cellStyle name="쉼표 [0]" xfId="3" builtinId="6"/>
    <cellStyle name="표준" xfId="0" builtinId="0"/>
    <cellStyle name="표준 2" xfId="2" xr:uid="{D8DD5771-45D7-4B86-BDA2-33DF656BE2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33</xdr:col>
      <xdr:colOff>352425</xdr:colOff>
      <xdr:row>4</xdr:row>
      <xdr:rowOff>200025</xdr:rowOff>
    </xdr:from>
    <xdr:to>
      <xdr:col>38</xdr:col>
      <xdr:colOff>933450</xdr:colOff>
      <xdr:row>13</xdr:row>
      <xdr:rowOff>66675</xdr:rowOff>
    </xdr:to>
    <xdr:sp macro="" textlink="">
      <xdr:nvSpPr>
        <xdr:cNvPr id="2" name="TextBox 1">
          <a:extLst>
            <a:ext uri="{FF2B5EF4-FFF2-40B4-BE49-F238E27FC236}">
              <a16:creationId xmlns:a16="http://schemas.microsoft.com/office/drawing/2014/main" id="{9B0CDB0C-C5B9-752A-C956-A492355A0A04}"/>
            </a:ext>
          </a:extLst>
        </xdr:cNvPr>
        <xdr:cNvSpPr txBox="1"/>
      </xdr:nvSpPr>
      <xdr:spPr>
        <a:xfrm>
          <a:off x="31127700" y="1038225"/>
          <a:ext cx="55435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해찾기 적용 방법</a:t>
          </a:r>
          <a:endParaRPr lang="en-US" altLang="ko-KR" sz="1100"/>
        </a:p>
        <a:p>
          <a:r>
            <a:rPr lang="en-US" altLang="ko-KR" sz="1100"/>
            <a:t>1. </a:t>
          </a:r>
          <a:r>
            <a:rPr lang="ko-KR" altLang="en-US" sz="1100"/>
            <a:t>엑셀 설정에서 해찾기 기능을 사용가능하도록 설정</a:t>
          </a:r>
          <a:endParaRPr lang="en-US" altLang="ko-KR" sz="1100"/>
        </a:p>
        <a:p>
          <a:r>
            <a:rPr lang="en-US" altLang="ko-KR" sz="1100"/>
            <a:t>2. DF to Pay</a:t>
          </a:r>
          <a:r>
            <a:rPr lang="ko-KR" altLang="en-US" sz="1100"/>
            <a:t>에 초기값 </a:t>
          </a:r>
          <a:r>
            <a:rPr lang="en-US" altLang="ko-KR" sz="1100"/>
            <a:t>0.99999 </a:t>
          </a:r>
          <a:r>
            <a:rPr lang="ko-KR" altLang="en-US" sz="1100"/>
            <a:t>입력</a:t>
          </a:r>
          <a:endParaRPr lang="en-US" altLang="ko-KR" sz="1100"/>
        </a:p>
        <a:p>
          <a:r>
            <a:rPr lang="en-US" altLang="ko-KR" sz="1100"/>
            <a:t>3. </a:t>
          </a:r>
          <a:r>
            <a:rPr lang="ko-KR" altLang="en-US" sz="1100"/>
            <a:t>목표를 </a:t>
          </a:r>
          <a:r>
            <a:rPr lang="en-US" altLang="ko-KR" sz="1100"/>
            <a:t>NPV </a:t>
          </a:r>
          <a:r>
            <a:rPr lang="ko-KR" altLang="en-US" sz="1100"/>
            <a:t>값으로 설정하고 변수셀을 </a:t>
          </a:r>
          <a:r>
            <a:rPr lang="en-US" altLang="ko-KR" sz="1100"/>
            <a:t>DF to Pay</a:t>
          </a:r>
          <a:r>
            <a:rPr lang="ko-KR" altLang="en-US" sz="1100"/>
            <a:t>로 설정하여 해찾기 진행</a:t>
          </a:r>
        </a:p>
      </xdr:txBody>
    </xdr:sp>
    <xdr:clientData/>
  </xdr:twoCellAnchor>
</xdr:wsDr>
</file>

<file path=xl/persons/person.xml><?xml version="1.0" encoding="utf-8"?>
<personList xmlns="http://schemas.microsoft.com/office/spreadsheetml/2018/threadedcomments" xmlns:x="http://schemas.openxmlformats.org/spreadsheetml/2006/main">
  <person displayName="성구 김" id="{14FE183F-23B0-4C8A-AF8C-FD45F9D6781D}" userId="633568b45a7ac897"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6-17T12:08:55.14" personId="{14FE183F-23B0-4C8A-AF8C-FD45F9D6781D}" id="{D5E6154D-720C-4F63-A95D-0B55FDA92405}">
    <text>예시를 위해 2024-06-14 3사 평균값을 사용했습니다</text>
  </threadedComment>
  <threadedComment ref="I2" dT="2024-06-17T12:18:39.60" personId="{14FE183F-23B0-4C8A-AF8C-FD45F9D6781D}" id="{24B699AD-FD0A-4729-BF8C-0C29F978DD97}">
    <text>채권 Bootstrapping 시에는 시장 관행으로, 대상 채권의 이자지급주기에 해당하지 않는 Tenor에 대한 YTM 공시된 YTM을 선형보간하여 사용합니다. (실제 채권 거래시 시장에서 선형보간한 YTM 값으로 거래되는 것으로 이해됨.)
그러나 Swap 거래의 경우 해찾기 로직 적용이 필요합니다.</text>
  </threadedComment>
</ThreadedComments>
</file>

<file path=xl/threadedComments/threadedComment2.xml><?xml version="1.0" encoding="utf-8"?>
<ThreadedComments xmlns="http://schemas.microsoft.com/office/spreadsheetml/2018/threadedcomments" xmlns:x="http://schemas.openxmlformats.org/spreadsheetml/2006/main">
  <threadedComment ref="Y1" dT="2024-06-19T12:37:50.47" personId="{14FE183F-23B0-4C8A-AF8C-FD45F9D6781D}" id="{0391F964-7805-47F4-8F6D-D40AA0749B7D}">
    <text>DF to Pay를 생성하고 DF to Pay로 부터 보다 짧은 기간인 DF to Float을 생성합니다.
이때 DF to Pay 및 DF to Float 모두 알 수 없는 값이므로 해찾기를 진행합니다.
1Y 이후 부터는 1Y와 동일한 방식으로 진행합니다.</text>
  </threadedComment>
  <threadedComment ref="J2" dT="2024-06-19T12:06:19.41" personId="{14FE183F-23B0-4C8A-AF8C-FD45F9D6781D}" id="{E36B54F0-1B43-4B38-9855-F30D460E8E03}">
    <text>Payment Delay는 편의상 Fixed Leg/Float Leg를 동일하게 고려</text>
  </threadedComment>
  <threadedComment ref="K2" dT="2024-06-18T14:11:52.90" personId="{14FE183F-23B0-4C8A-AF8C-FD45F9D6781D}" id="{D5D98BBC-E551-4955-891F-7247874688B9}">
    <text>Df to Spot 변환시에는 Act/365 Convention을 고정하여 사용함. (Market Convention)</text>
  </threadedComment>
  <threadedComment ref="Y2" dT="2024-06-19T12:04:42.69" personId="{14FE183F-23B0-4C8A-AF8C-FD45F9D6781D}" id="{0FCA44F0-2DE4-45C1-8283-EE9E9A0CE6CF}">
    <text>Roll Convention: Backward Generation 규칙에 의하여 만기일 부터 역으로 현금흐름 일정을 생성함</text>
  </threadedComment>
  <threadedComment ref="M3" dT="2024-06-18T14:06:59.14" personId="{14FE183F-23B0-4C8A-AF8C-FD45F9D6781D}" id="{E5C76C4B-472A-4993-9C70-2093C27C1977}">
    <text>Pay Frequency 인 1Year까지는 SwapRate*yf_fixed = FloatRate*yf_float</text>
  </threadedComment>
  <threadedComment ref="B12" dT="2024-06-19T12:38:56.70" personId="{14FE183F-23B0-4C8A-AF8C-FD45F9D6781D}" id="{2615B472-5B0D-46FD-AC14-DA4A96A5D8B1}">
    <text>Spot Lag이 있다면 계산이 보다 복잡해지나 편의상 생략합니다.</text>
  </threadedComment>
  <threadedComment ref="B16" dT="2024-06-19T12:30:23.00" personId="{14FE183F-23B0-4C8A-AF8C-FD45F9D6781D}" id="{1C1F93E3-EF6A-4AB9-82D6-0080A898D0DC}">
    <text>편의상 DCC가 Float Fixed 모두 동일하다 가정</text>
  </threadedComment>
  <threadedComment ref="B17" dT="2024-06-19T12:20:32.25" personId="{14FE183F-23B0-4C8A-AF8C-FD45F9D6781D}" id="{DD7B513F-6F4F-419E-99FA-553B0B536526}">
    <text>편의상 BDC는 적용하지 않음</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F15D4-D1FF-42B6-96CC-FAC62E1EE3FA}">
  <sheetPr>
    <tabColor theme="1"/>
  </sheetPr>
  <dimension ref="A1"/>
  <sheetViews>
    <sheetView workbookViewId="0">
      <selection activeCell="I47" sqref="I47"/>
    </sheetView>
  </sheetViews>
  <sheetFormatPr defaultRowHeight="16.5" x14ac:dyDescent="0.3"/>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8C4D5-C05D-44A4-A383-050235868A9C}">
  <dimension ref="A1:S36"/>
  <sheetViews>
    <sheetView workbookViewId="0">
      <selection activeCell="I37" sqref="H37:I40"/>
    </sheetView>
  </sheetViews>
  <sheetFormatPr defaultRowHeight="16.5" x14ac:dyDescent="0.3"/>
  <cols>
    <col min="1" max="1" width="12.625" customWidth="1"/>
    <col min="2" max="2" width="12.875" customWidth="1"/>
    <col min="3" max="3" width="12.875" bestFit="1" customWidth="1"/>
    <col min="4" max="5" width="12.875" customWidth="1"/>
    <col min="9" max="9" width="11.875" bestFit="1" customWidth="1"/>
    <col min="10" max="10" width="31.125" bestFit="1" customWidth="1"/>
    <col min="11" max="11" width="11.125" bestFit="1" customWidth="1"/>
    <col min="12" max="13" width="9.875" bestFit="1" customWidth="1"/>
    <col min="14" max="14" width="13.875" bestFit="1" customWidth="1"/>
    <col min="15" max="15" width="11.125" bestFit="1" customWidth="1"/>
    <col min="16" max="16" width="17.125" bestFit="1" customWidth="1"/>
    <col min="17" max="17" width="16.25" bestFit="1" customWidth="1"/>
    <col min="18" max="18" width="9.5" bestFit="1" customWidth="1"/>
  </cols>
  <sheetData>
    <row r="1" spans="1:19" x14ac:dyDescent="0.3">
      <c r="A1" s="31" t="s">
        <v>0</v>
      </c>
      <c r="B1" s="32"/>
      <c r="C1" s="32"/>
      <c r="D1" s="32"/>
      <c r="E1" s="32"/>
      <c r="G1" s="30" t="s">
        <v>4</v>
      </c>
      <c r="H1" s="30"/>
      <c r="I1" s="30"/>
      <c r="J1" s="30"/>
      <c r="K1" s="30"/>
      <c r="L1" s="30"/>
      <c r="N1" s="33" t="s">
        <v>8</v>
      </c>
      <c r="O1" s="34"/>
      <c r="P1" s="34"/>
      <c r="Q1" s="34"/>
      <c r="R1" s="34"/>
      <c r="S1" s="35"/>
    </row>
    <row r="2" spans="1:19" x14ac:dyDescent="0.3">
      <c r="A2" s="1" t="s">
        <v>1</v>
      </c>
      <c r="B2" s="1" t="s">
        <v>2</v>
      </c>
      <c r="C2" s="1" t="s">
        <v>3</v>
      </c>
      <c r="D2" s="1" t="s">
        <v>13</v>
      </c>
      <c r="E2" s="1" t="s">
        <v>16</v>
      </c>
      <c r="G2" s="1" t="s">
        <v>1</v>
      </c>
      <c r="H2" s="1" t="s">
        <v>2</v>
      </c>
      <c r="I2" s="1" t="s">
        <v>7</v>
      </c>
      <c r="J2" s="1" t="s">
        <v>20</v>
      </c>
      <c r="K2" s="1" t="s">
        <v>6</v>
      </c>
      <c r="L2" s="1" t="s">
        <v>5</v>
      </c>
      <c r="N2" s="4" t="s">
        <v>19</v>
      </c>
      <c r="O2" s="1" t="s">
        <v>9</v>
      </c>
      <c r="P2" s="1" t="s">
        <v>10</v>
      </c>
      <c r="Q2" s="1" t="s">
        <v>11</v>
      </c>
      <c r="R2" s="1" t="s">
        <v>12</v>
      </c>
      <c r="S2" s="1" t="s">
        <v>15</v>
      </c>
    </row>
    <row r="3" spans="1:19" x14ac:dyDescent="0.3">
      <c r="A3" s="2">
        <v>1</v>
      </c>
      <c r="B3" s="2">
        <v>0.5</v>
      </c>
      <c r="C3" s="3">
        <v>3.3349999999999998E-2</v>
      </c>
      <c r="D3" s="3" t="s">
        <v>14</v>
      </c>
      <c r="E3" s="5">
        <v>45457</v>
      </c>
      <c r="G3" s="2">
        <v>1</v>
      </c>
      <c r="H3" s="2">
        <f>B3</f>
        <v>0.5</v>
      </c>
      <c r="I3" s="6">
        <f t="shared" ref="I3:I22" si="0">IF(H3=O3, VLOOKUP(H3,$B$3:$C$12,2), (H3-O3)*(R3-Q3)/(P3-O3) +Q3)</f>
        <v>3.3349999999999998E-2</v>
      </c>
      <c r="J3" s="6">
        <f>-LN(L3)/YEARFRAC($E$3,S3,$N$3)</f>
        <v>3.307499727785803E-2</v>
      </c>
      <c r="K3" s="6">
        <f>(1/(L3/1)-1)/YEARFRAC(E3,S3,$N$3)</f>
        <v>3.3350757608327272E-2</v>
      </c>
      <c r="L3" s="2">
        <f>1/((1+I3/2)^(YEARFRAC($E$3,S3,$N$3)*2))</f>
        <v>0.98355393101133859</v>
      </c>
      <c r="N3" s="2">
        <f>IF(D3="30/360",0, IF(D3="Act/Act",1,IF(D3="Act/360",2,IF(D3="Act/365",3,IF(D3="30/360E",4,"")))))</f>
        <v>3</v>
      </c>
      <c r="O3" s="2">
        <f t="shared" ref="O3:O22" si="1">INDEX($B$3:$B$12,MATCH(H3,$B$3:$B$12,1))</f>
        <v>0.5</v>
      </c>
      <c r="P3" s="2" cm="1">
        <f t="array" ref="P3">INDEX($B$3:$B$12,MATCH(H3,$B$3:$B$12,1)+1)</f>
        <v>1</v>
      </c>
      <c r="Q3" s="2">
        <f>VLOOKUP(O3,$B$3:$C$12,2,FALSE)</f>
        <v>3.3349999999999998E-2</v>
      </c>
      <c r="R3" s="2">
        <f>VLOOKUP(P3,$B$3:$C$12,2,FALSE)</f>
        <v>3.3439999999999998E-2</v>
      </c>
      <c r="S3" s="5">
        <f t="shared" ref="S3:S22" si="2">EDATE($E$3,INT(H3*12))</f>
        <v>45640</v>
      </c>
    </row>
    <row r="4" spans="1:19" x14ac:dyDescent="0.3">
      <c r="A4" s="2">
        <f>IF(B4="","",A3+1)</f>
        <v>2</v>
      </c>
      <c r="B4" s="2">
        <v>1</v>
      </c>
      <c r="C4" s="3">
        <v>3.3439999999999998E-2</v>
      </c>
      <c r="G4" s="2">
        <f>IF(H4="","",G3+1)</f>
        <v>2</v>
      </c>
      <c r="H4" s="2">
        <f t="shared" ref="H4:H22" si="3">H3+0.5</f>
        <v>1</v>
      </c>
      <c r="I4" s="6">
        <f t="shared" si="0"/>
        <v>3.3439999999999998E-2</v>
      </c>
      <c r="J4" s="6">
        <f t="shared" ref="J4:J22" si="4">-LN(L4)/YEARFRAC($E$3,S4,$N$3)</f>
        <v>3.3163501673132825E-2</v>
      </c>
      <c r="K4" s="6">
        <f>(1/(L4/L3)-1)/YEARFRAC(S3,S4,$N$3)</f>
        <v>3.3529697032951555E-2</v>
      </c>
      <c r="L4" s="7">
        <f>(1-I4/2*(SUM($L$3:L3)))/(1+I4/2)</f>
        <v>0.96738037834751989</v>
      </c>
      <c r="M4" s="8"/>
      <c r="O4" s="2">
        <f t="shared" si="1"/>
        <v>1</v>
      </c>
      <c r="P4" s="2" cm="1">
        <f t="array" ref="P4">INDEX($B$3:$B$12,MATCH(H4,$B$3:$B$12,1)+1)</f>
        <v>1.5</v>
      </c>
      <c r="Q4" s="2">
        <f t="shared" ref="Q4:R22" si="5">VLOOKUP(O4,$B$3:$C$12,2,FALSE)</f>
        <v>3.3439999999999998E-2</v>
      </c>
      <c r="R4" s="2">
        <f t="shared" si="5"/>
        <v>3.3270000000000001E-2</v>
      </c>
      <c r="S4" s="5">
        <f t="shared" si="2"/>
        <v>45822</v>
      </c>
    </row>
    <row r="5" spans="1:19" x14ac:dyDescent="0.3">
      <c r="A5" s="2">
        <f t="shared" ref="A5:A36" si="6">IF(B5="","",A4+1)</f>
        <v>3</v>
      </c>
      <c r="B5" s="2">
        <v>1.5</v>
      </c>
      <c r="C5" s="3">
        <v>3.3270000000000001E-2</v>
      </c>
      <c r="D5" s="1" t="s">
        <v>17</v>
      </c>
      <c r="G5" s="2">
        <f t="shared" ref="G5:G35" si="7">IF(H5="","",G4+1)</f>
        <v>3</v>
      </c>
      <c r="H5" s="2">
        <f t="shared" si="3"/>
        <v>1.5</v>
      </c>
      <c r="I5" s="6">
        <f t="shared" si="0"/>
        <v>3.3270000000000001E-2</v>
      </c>
      <c r="J5" s="6">
        <f t="shared" si="4"/>
        <v>3.2963395896239332E-2</v>
      </c>
      <c r="K5" s="6">
        <f t="shared" ref="K5:K22" si="8">(1/(L5/L4)-1)/YEARFRAC(S4,S5,$N$3)</f>
        <v>3.2831564848836328E-2</v>
      </c>
      <c r="L5" s="7">
        <f>(1-I5/2*(SUM($L$3:L4)))/(1+I5/2)</f>
        <v>0.95171443808625067</v>
      </c>
      <c r="O5" s="2">
        <f t="shared" si="1"/>
        <v>1.5</v>
      </c>
      <c r="P5" s="2" cm="1">
        <f t="array" ref="P5">INDEX($B$3:$B$12,MATCH(H5,$B$3:$B$12,1)+1)</f>
        <v>2</v>
      </c>
      <c r="Q5" s="2">
        <f t="shared" si="5"/>
        <v>3.3270000000000001E-2</v>
      </c>
      <c r="R5" s="2">
        <f t="shared" si="5"/>
        <v>3.3180000000000001E-2</v>
      </c>
      <c r="S5" s="5">
        <f t="shared" si="2"/>
        <v>46005</v>
      </c>
    </row>
    <row r="6" spans="1:19" x14ac:dyDescent="0.3">
      <c r="A6" s="2">
        <f t="shared" si="6"/>
        <v>4</v>
      </c>
      <c r="B6" s="2">
        <v>2</v>
      </c>
      <c r="C6" s="3">
        <v>3.3180000000000001E-2</v>
      </c>
      <c r="D6" s="3" t="s">
        <v>18</v>
      </c>
      <c r="G6" s="2">
        <f t="shared" si="7"/>
        <v>4</v>
      </c>
      <c r="H6" s="2">
        <f t="shared" si="3"/>
        <v>2</v>
      </c>
      <c r="I6" s="6">
        <f t="shared" si="0"/>
        <v>3.3180000000000001E-2</v>
      </c>
      <c r="J6" s="6">
        <f t="shared" si="4"/>
        <v>3.2903450833290458E-2</v>
      </c>
      <c r="K6" s="6">
        <f t="shared" si="8"/>
        <v>3.2991379397154012E-2</v>
      </c>
      <c r="L6" s="7">
        <f>(1-I6/2*(SUM($L$3:L5)))/(1+I6/2)</f>
        <v>0.93631164705523917</v>
      </c>
      <c r="O6" s="2">
        <f t="shared" si="1"/>
        <v>2</v>
      </c>
      <c r="P6" s="2" cm="1">
        <f t="array" ref="P6">INDEX($B$3:$B$12,MATCH(H6,$B$3:$B$12,1)+1)</f>
        <v>2.5</v>
      </c>
      <c r="Q6" s="2">
        <f t="shared" si="5"/>
        <v>3.3180000000000001E-2</v>
      </c>
      <c r="R6" s="2">
        <f t="shared" si="5"/>
        <v>3.2649999999999998E-2</v>
      </c>
      <c r="S6" s="5">
        <f t="shared" si="2"/>
        <v>46187</v>
      </c>
    </row>
    <row r="7" spans="1:19" x14ac:dyDescent="0.3">
      <c r="A7" s="2">
        <f t="shared" si="6"/>
        <v>5</v>
      </c>
      <c r="B7" s="2">
        <v>2.5</v>
      </c>
      <c r="C7" s="3">
        <v>3.2649999999999998E-2</v>
      </c>
      <c r="G7" s="2">
        <f t="shared" si="7"/>
        <v>5</v>
      </c>
      <c r="H7" s="2">
        <f t="shared" si="3"/>
        <v>2.5</v>
      </c>
      <c r="I7" s="6">
        <f t="shared" si="0"/>
        <v>3.2649999999999998E-2</v>
      </c>
      <c r="J7" s="6">
        <f t="shared" si="4"/>
        <v>3.2347934308885044E-2</v>
      </c>
      <c r="K7" s="6">
        <f t="shared" si="8"/>
        <v>3.0360695251159142E-2</v>
      </c>
      <c r="L7" s="7">
        <f>(1-I7/2*(SUM($L$3:L6)))/(1+I7/2)</f>
        <v>0.92227286700591038</v>
      </c>
      <c r="O7" s="2">
        <f t="shared" si="1"/>
        <v>2.5</v>
      </c>
      <c r="P7" s="2" cm="1">
        <f t="array" ref="P7">INDEX($B$3:$B$12,MATCH(H7,$B$3:$B$12,1)+1)</f>
        <v>3</v>
      </c>
      <c r="Q7" s="2">
        <f t="shared" si="5"/>
        <v>3.2649999999999998E-2</v>
      </c>
      <c r="R7" s="2">
        <f t="shared" si="5"/>
        <v>3.2419999999999997E-2</v>
      </c>
      <c r="S7" s="5">
        <f t="shared" si="2"/>
        <v>46370</v>
      </c>
    </row>
    <row r="8" spans="1:19" x14ac:dyDescent="0.3">
      <c r="A8" s="2">
        <f t="shared" si="6"/>
        <v>6</v>
      </c>
      <c r="B8" s="2">
        <v>3</v>
      </c>
      <c r="C8" s="3">
        <v>3.2419999999999997E-2</v>
      </c>
      <c r="G8" s="2">
        <f t="shared" si="7"/>
        <v>6</v>
      </c>
      <c r="H8" s="2">
        <f t="shared" si="3"/>
        <v>3</v>
      </c>
      <c r="I8" s="6">
        <f t="shared" si="0"/>
        <v>3.2419999999999997E-2</v>
      </c>
      <c r="J8" s="6">
        <f t="shared" si="4"/>
        <v>3.2133552478992487E-2</v>
      </c>
      <c r="K8" s="6">
        <f t="shared" si="8"/>
        <v>3.1299846692350905E-2</v>
      </c>
      <c r="L8" s="7">
        <f>(1-I8/2*(SUM($L$3:L7)))/(1+I8/2)</f>
        <v>0.9081001061109254</v>
      </c>
      <c r="O8" s="2">
        <f t="shared" si="1"/>
        <v>3</v>
      </c>
      <c r="P8" s="2" cm="1">
        <f t="array" ref="P8">INDEX($B$3:$B$12,MATCH(H8,$B$3:$B$12,1)+1)</f>
        <v>4</v>
      </c>
      <c r="Q8" s="2">
        <f t="shared" si="5"/>
        <v>3.2419999999999997E-2</v>
      </c>
      <c r="R8" s="2">
        <f t="shared" si="5"/>
        <v>3.27E-2</v>
      </c>
      <c r="S8" s="5">
        <f t="shared" si="2"/>
        <v>46552</v>
      </c>
    </row>
    <row r="9" spans="1:19" x14ac:dyDescent="0.3">
      <c r="A9" s="2">
        <f t="shared" si="6"/>
        <v>7</v>
      </c>
      <c r="B9" s="2">
        <v>4</v>
      </c>
      <c r="C9" s="3">
        <v>3.27E-2</v>
      </c>
      <c r="G9" s="2">
        <f t="shared" si="7"/>
        <v>7</v>
      </c>
      <c r="H9" s="2">
        <f t="shared" si="3"/>
        <v>3.5</v>
      </c>
      <c r="I9" s="6">
        <f t="shared" si="0"/>
        <v>3.2559999999999999E-2</v>
      </c>
      <c r="J9" s="6">
        <f t="shared" si="4"/>
        <v>3.2269275763565482E-2</v>
      </c>
      <c r="K9" s="6">
        <f t="shared" si="8"/>
        <v>3.335725774147897E-2</v>
      </c>
      <c r="L9" s="7">
        <f>(1-I9/2*(SUM($L$3:L8)))/(1+I9/2)</f>
        <v>0.8931625661974969</v>
      </c>
      <c r="O9" s="2">
        <f t="shared" si="1"/>
        <v>3</v>
      </c>
      <c r="P9" s="2" cm="1">
        <f t="array" ref="P9">INDEX($B$3:$B$12,MATCH(H9,$B$3:$B$12,1)+1)</f>
        <v>4</v>
      </c>
      <c r="Q9" s="2">
        <f t="shared" si="5"/>
        <v>3.2419999999999997E-2</v>
      </c>
      <c r="R9" s="2">
        <f t="shared" si="5"/>
        <v>3.27E-2</v>
      </c>
      <c r="S9" s="5">
        <f t="shared" si="2"/>
        <v>46735</v>
      </c>
    </row>
    <row r="10" spans="1:19" x14ac:dyDescent="0.3">
      <c r="A10" s="2">
        <f t="shared" si="6"/>
        <v>8</v>
      </c>
      <c r="B10" s="2">
        <v>5</v>
      </c>
      <c r="C10" s="3">
        <v>3.2620000000000003E-2</v>
      </c>
      <c r="G10" s="2">
        <f t="shared" si="7"/>
        <v>8</v>
      </c>
      <c r="H10" s="2">
        <f t="shared" si="3"/>
        <v>4</v>
      </c>
      <c r="I10" s="6">
        <f t="shared" si="0"/>
        <v>3.27E-2</v>
      </c>
      <c r="J10" s="6">
        <f t="shared" si="4"/>
        <v>3.2407528996542125E-2</v>
      </c>
      <c r="K10" s="6">
        <f t="shared" si="8"/>
        <v>3.3653801663439911E-2</v>
      </c>
      <c r="L10" s="7">
        <f>(1-I10/2*(SUM($L$3:L9)))/(1+I10/2)</f>
        <v>0.87834229495954141</v>
      </c>
      <c r="O10" s="2">
        <f t="shared" si="1"/>
        <v>4</v>
      </c>
      <c r="P10" s="2" cm="1">
        <f t="array" ref="P10">INDEX($B$3:$B$12,MATCH(H10,$B$3:$B$12,1)+1)</f>
        <v>5</v>
      </c>
      <c r="Q10" s="2">
        <f t="shared" si="5"/>
        <v>3.27E-2</v>
      </c>
      <c r="R10" s="2">
        <f t="shared" si="5"/>
        <v>3.2620000000000003E-2</v>
      </c>
      <c r="S10" s="5">
        <f t="shared" si="2"/>
        <v>46918</v>
      </c>
    </row>
    <row r="11" spans="1:19" x14ac:dyDescent="0.3">
      <c r="A11" s="2">
        <f t="shared" si="6"/>
        <v>9</v>
      </c>
      <c r="B11" s="2">
        <v>7</v>
      </c>
      <c r="C11" s="3">
        <v>3.3149999999999999E-2</v>
      </c>
      <c r="G11" s="2">
        <f t="shared" si="7"/>
        <v>9</v>
      </c>
      <c r="H11" s="2">
        <f t="shared" si="3"/>
        <v>4.5</v>
      </c>
      <c r="I11" s="6">
        <f t="shared" si="0"/>
        <v>3.2660000000000002E-2</v>
      </c>
      <c r="J11" s="6">
        <f t="shared" si="4"/>
        <v>3.2358801590640876E-2</v>
      </c>
      <c r="K11" s="6">
        <f t="shared" si="8"/>
        <v>3.2227372368441171E-2</v>
      </c>
      <c r="L11" s="7">
        <f>(1-I11/2*(SUM($L$3:L10)))/(1+I11/2)</f>
        <v>0.86437585402784234</v>
      </c>
      <c r="O11" s="2">
        <f t="shared" si="1"/>
        <v>4</v>
      </c>
      <c r="P11" s="2" cm="1">
        <f t="array" ref="P11">INDEX($B$3:$B$12,MATCH(H11,$B$3:$B$12,1)+1)</f>
        <v>5</v>
      </c>
      <c r="Q11" s="2">
        <f t="shared" si="5"/>
        <v>3.27E-2</v>
      </c>
      <c r="R11" s="2">
        <f t="shared" si="5"/>
        <v>3.2620000000000003E-2</v>
      </c>
      <c r="S11" s="5">
        <f t="shared" si="2"/>
        <v>47101</v>
      </c>
    </row>
    <row r="12" spans="1:19" x14ac:dyDescent="0.3">
      <c r="A12" s="2">
        <f t="shared" si="6"/>
        <v>10</v>
      </c>
      <c r="B12" s="2">
        <v>10</v>
      </c>
      <c r="C12" s="3">
        <v>3.3000000000000002E-2</v>
      </c>
      <c r="G12" s="2">
        <f t="shared" si="7"/>
        <v>10</v>
      </c>
      <c r="H12" s="2">
        <f t="shared" si="3"/>
        <v>5</v>
      </c>
      <c r="I12" s="6">
        <f t="shared" si="0"/>
        <v>3.2620000000000003E-2</v>
      </c>
      <c r="J12" s="6">
        <f t="shared" si="4"/>
        <v>3.2329057646477741E-2</v>
      </c>
      <c r="K12" s="6">
        <f t="shared" si="8"/>
        <v>3.2318015615381501E-2</v>
      </c>
      <c r="L12" s="7">
        <f>(1-I12/2*(SUM($L$3:L11)))/(1+I12/2)</f>
        <v>0.85066757023890183</v>
      </c>
      <c r="O12" s="2">
        <f t="shared" si="1"/>
        <v>5</v>
      </c>
      <c r="P12" s="2" cm="1">
        <f t="array" ref="P12">INDEX($B$3:$B$12,MATCH(H12,$B$3:$B$12,1)+1)</f>
        <v>7</v>
      </c>
      <c r="Q12" s="2">
        <f t="shared" si="5"/>
        <v>3.2620000000000003E-2</v>
      </c>
      <c r="R12" s="2">
        <f t="shared" si="5"/>
        <v>3.3149999999999999E-2</v>
      </c>
      <c r="S12" s="5">
        <f t="shared" si="2"/>
        <v>47283</v>
      </c>
    </row>
    <row r="13" spans="1:19" x14ac:dyDescent="0.3">
      <c r="A13" t="str">
        <f t="shared" si="6"/>
        <v/>
      </c>
      <c r="G13" s="2">
        <f t="shared" si="7"/>
        <v>11</v>
      </c>
      <c r="H13" s="2">
        <f t="shared" si="3"/>
        <v>5.5</v>
      </c>
      <c r="I13" s="6">
        <f t="shared" si="0"/>
        <v>3.2752500000000004E-2</v>
      </c>
      <c r="J13" s="6">
        <f t="shared" si="4"/>
        <v>3.2464975128780639E-2</v>
      </c>
      <c r="K13" s="6">
        <f t="shared" si="8"/>
        <v>3.4109558292334849E-2</v>
      </c>
      <c r="L13" s="7">
        <f>(1-I13/2*(SUM($L$3:L12)))/(1+I13/2)</f>
        <v>0.83636447927565005</v>
      </c>
      <c r="O13" s="2">
        <f t="shared" si="1"/>
        <v>5</v>
      </c>
      <c r="P13" s="2" cm="1">
        <f t="array" ref="P13">INDEX($B$3:$B$12,MATCH(H13,$B$3:$B$12,1)+1)</f>
        <v>7</v>
      </c>
      <c r="Q13" s="2">
        <f t="shared" si="5"/>
        <v>3.2620000000000003E-2</v>
      </c>
      <c r="R13" s="2">
        <f t="shared" si="5"/>
        <v>3.3149999999999999E-2</v>
      </c>
      <c r="S13" s="5">
        <f t="shared" si="2"/>
        <v>47466</v>
      </c>
    </row>
    <row r="14" spans="1:19" x14ac:dyDescent="0.3">
      <c r="A14" t="str">
        <f t="shared" si="6"/>
        <v/>
      </c>
      <c r="G14" s="2">
        <f t="shared" si="7"/>
        <v>12</v>
      </c>
      <c r="H14" s="2">
        <f t="shared" si="3"/>
        <v>6</v>
      </c>
      <c r="I14" s="6">
        <f t="shared" si="0"/>
        <v>3.2884999999999998E-2</v>
      </c>
      <c r="J14" s="6">
        <f t="shared" si="4"/>
        <v>3.2617003844930839E-2</v>
      </c>
      <c r="K14" s="6">
        <f t="shared" si="8"/>
        <v>3.4590079675853175E-2</v>
      </c>
      <c r="L14" s="7">
        <f>(1-I14/2*(SUM($L$3:L13)))/(1+I14/2)</f>
        <v>0.82218373687580371</v>
      </c>
      <c r="O14" s="2">
        <f t="shared" si="1"/>
        <v>5</v>
      </c>
      <c r="P14" s="2" cm="1">
        <f t="array" ref="P14">INDEX($B$3:$B$12,MATCH(H14,$B$3:$B$12,1)+1)</f>
        <v>7</v>
      </c>
      <c r="Q14" s="2">
        <f t="shared" si="5"/>
        <v>3.2620000000000003E-2</v>
      </c>
      <c r="R14" s="2">
        <f t="shared" si="5"/>
        <v>3.3149999999999999E-2</v>
      </c>
      <c r="S14" s="5">
        <f t="shared" si="2"/>
        <v>47648</v>
      </c>
    </row>
    <row r="15" spans="1:19" x14ac:dyDescent="0.3">
      <c r="A15" t="str">
        <f t="shared" si="6"/>
        <v/>
      </c>
      <c r="G15" s="2">
        <f t="shared" si="7"/>
        <v>13</v>
      </c>
      <c r="H15" s="2">
        <f t="shared" si="3"/>
        <v>6.5</v>
      </c>
      <c r="I15" s="6">
        <f t="shared" si="0"/>
        <v>3.3017499999999998E-2</v>
      </c>
      <c r="J15" s="6">
        <f t="shared" si="4"/>
        <v>3.2754234824524484E-2</v>
      </c>
      <c r="K15" s="6">
        <f t="shared" si="8"/>
        <v>3.4695572739365597E-2</v>
      </c>
      <c r="L15" s="7">
        <f>(1-I15/2*(SUM($L$3:L14)))/(1+I15/2)</f>
        <v>0.80812612867028399</v>
      </c>
      <c r="O15" s="2">
        <f t="shared" si="1"/>
        <v>5</v>
      </c>
      <c r="P15" s="2" cm="1">
        <f t="array" ref="P15">INDEX($B$3:$B$12,MATCH(H15,$B$3:$B$12,1)+1)</f>
        <v>7</v>
      </c>
      <c r="Q15" s="2">
        <f t="shared" si="5"/>
        <v>3.2620000000000003E-2</v>
      </c>
      <c r="R15" s="2">
        <f t="shared" si="5"/>
        <v>3.3149999999999999E-2</v>
      </c>
      <c r="S15" s="5">
        <f t="shared" si="2"/>
        <v>47831</v>
      </c>
    </row>
    <row r="16" spans="1:19" x14ac:dyDescent="0.3">
      <c r="A16" t="str">
        <f t="shared" si="6"/>
        <v/>
      </c>
      <c r="G16" s="2">
        <f t="shared" si="7"/>
        <v>14</v>
      </c>
      <c r="H16" s="2">
        <f t="shared" si="3"/>
        <v>7</v>
      </c>
      <c r="I16" s="6">
        <f t="shared" si="0"/>
        <v>3.3149999999999999E-2</v>
      </c>
      <c r="J16" s="6">
        <f t="shared" si="4"/>
        <v>3.2905626160439135E-2</v>
      </c>
      <c r="K16" s="6">
        <f t="shared" si="8"/>
        <v>3.5185460995632918E-2</v>
      </c>
      <c r="L16" s="7">
        <f>(1-I16/2*(SUM($L$3:L15)))/(1+I16/2)</f>
        <v>0.79419239538196951</v>
      </c>
      <c r="O16" s="2">
        <f t="shared" si="1"/>
        <v>7</v>
      </c>
      <c r="P16" s="2" cm="1">
        <f t="array" ref="P16">INDEX($B$3:$B$12,MATCH(H16,$B$3:$B$12,1)+1)</f>
        <v>10</v>
      </c>
      <c r="Q16" s="2">
        <f t="shared" si="5"/>
        <v>3.3149999999999999E-2</v>
      </c>
      <c r="R16" s="2">
        <f t="shared" si="5"/>
        <v>3.3000000000000002E-2</v>
      </c>
      <c r="S16" s="5">
        <f t="shared" si="2"/>
        <v>48013</v>
      </c>
    </row>
    <row r="17" spans="1:19" x14ac:dyDescent="0.3">
      <c r="A17" t="str">
        <f t="shared" si="6"/>
        <v/>
      </c>
      <c r="G17" s="2">
        <f t="shared" si="7"/>
        <v>15</v>
      </c>
      <c r="H17" s="2">
        <f t="shared" si="3"/>
        <v>7.5</v>
      </c>
      <c r="I17" s="6">
        <f t="shared" si="0"/>
        <v>3.3125000000000002E-2</v>
      </c>
      <c r="J17" s="6">
        <f t="shared" si="4"/>
        <v>3.287011722768339E-2</v>
      </c>
      <c r="K17" s="6">
        <f t="shared" si="8"/>
        <v>3.2638323096227655E-2</v>
      </c>
      <c r="L17" s="7">
        <f>(1-I17/2*(SUM($L$3:L16)))/(1+I17/2)</f>
        <v>0.78140557490256135</v>
      </c>
      <c r="O17" s="2">
        <f t="shared" si="1"/>
        <v>7</v>
      </c>
      <c r="P17" s="2" cm="1">
        <f t="array" ref="P17">INDEX($B$3:$B$12,MATCH(H17,$B$3:$B$12,1)+1)</f>
        <v>10</v>
      </c>
      <c r="Q17" s="2">
        <f t="shared" si="5"/>
        <v>3.3149999999999999E-2</v>
      </c>
      <c r="R17" s="2">
        <f t="shared" si="5"/>
        <v>3.3000000000000002E-2</v>
      </c>
      <c r="S17" s="5">
        <f t="shared" si="2"/>
        <v>48196</v>
      </c>
    </row>
    <row r="18" spans="1:19" x14ac:dyDescent="0.3">
      <c r="A18" t="str">
        <f t="shared" si="6"/>
        <v/>
      </c>
      <c r="G18" s="2">
        <f t="shared" si="7"/>
        <v>16</v>
      </c>
      <c r="H18" s="2">
        <f t="shared" si="3"/>
        <v>8</v>
      </c>
      <c r="I18" s="6">
        <f t="shared" si="0"/>
        <v>3.3099999999999997E-2</v>
      </c>
      <c r="J18" s="6">
        <f t="shared" si="4"/>
        <v>3.2835559517426387E-2</v>
      </c>
      <c r="K18" s="6">
        <f t="shared" si="8"/>
        <v>3.2581580810563338E-2</v>
      </c>
      <c r="L18" s="7">
        <f>(1-I18/2*(SUM($L$3:L17)))/(1+I18/2)</f>
        <v>0.7688461480764972</v>
      </c>
      <c r="O18" s="2">
        <f t="shared" si="1"/>
        <v>7</v>
      </c>
      <c r="P18" s="2" cm="1">
        <f t="array" ref="P18">INDEX($B$3:$B$12,MATCH(H18,$B$3:$B$12,1)+1)</f>
        <v>10</v>
      </c>
      <c r="Q18" s="2">
        <f t="shared" si="5"/>
        <v>3.3149999999999999E-2</v>
      </c>
      <c r="R18" s="2">
        <f t="shared" si="5"/>
        <v>3.3000000000000002E-2</v>
      </c>
      <c r="S18" s="5">
        <f t="shared" si="2"/>
        <v>48379</v>
      </c>
    </row>
    <row r="19" spans="1:19" x14ac:dyDescent="0.3">
      <c r="A19" t="str">
        <f t="shared" si="6"/>
        <v/>
      </c>
      <c r="G19" s="2">
        <f t="shared" si="7"/>
        <v>17</v>
      </c>
      <c r="H19" s="2">
        <f t="shared" si="3"/>
        <v>8.5</v>
      </c>
      <c r="I19" s="6">
        <f t="shared" si="0"/>
        <v>3.3075E-2</v>
      </c>
      <c r="J19" s="6">
        <f t="shared" si="4"/>
        <v>3.2801755369589784E-2</v>
      </c>
      <c r="K19" s="6">
        <f t="shared" si="8"/>
        <v>3.2524331885368962E-2</v>
      </c>
      <c r="L19" s="7">
        <f>(1-I19/2*(SUM($L$3:L18)))/(1+I19/2)</f>
        <v>0.75650995224273576</v>
      </c>
      <c r="O19" s="2">
        <f t="shared" si="1"/>
        <v>7</v>
      </c>
      <c r="P19" s="2" cm="1">
        <f t="array" ref="P19">INDEX($B$3:$B$12,MATCH(H19,$B$3:$B$12,1)+1)</f>
        <v>10</v>
      </c>
      <c r="Q19" s="2">
        <f t="shared" si="5"/>
        <v>3.3149999999999999E-2</v>
      </c>
      <c r="R19" s="2">
        <f t="shared" si="5"/>
        <v>3.3000000000000002E-2</v>
      </c>
      <c r="S19" s="5">
        <f t="shared" si="2"/>
        <v>48562</v>
      </c>
    </row>
    <row r="20" spans="1:19" x14ac:dyDescent="0.3">
      <c r="A20" t="str">
        <f t="shared" si="6"/>
        <v/>
      </c>
      <c r="G20" s="2">
        <f t="shared" si="7"/>
        <v>18</v>
      </c>
      <c r="H20" s="2">
        <f t="shared" si="3"/>
        <v>9</v>
      </c>
      <c r="I20" s="6">
        <f t="shared" si="0"/>
        <v>3.3050000000000003E-2</v>
      </c>
      <c r="J20" s="6">
        <f t="shared" si="4"/>
        <v>3.2778519917769734E-2</v>
      </c>
      <c r="K20" s="6">
        <f t="shared" si="8"/>
        <v>3.2644957771842391E-2</v>
      </c>
      <c r="L20" s="7">
        <f>(1-I20/2*(SUM($L$3:L19)))/(1+I20/2)</f>
        <v>0.7443929033900708</v>
      </c>
      <c r="O20" s="2">
        <f t="shared" si="1"/>
        <v>7</v>
      </c>
      <c r="P20" s="2" cm="1">
        <f t="array" ref="P20">INDEX($B$3:$B$12,MATCH(H20,$B$3:$B$12,1)+1)</f>
        <v>10</v>
      </c>
      <c r="Q20" s="2">
        <f t="shared" si="5"/>
        <v>3.3149999999999999E-2</v>
      </c>
      <c r="R20" s="2">
        <f t="shared" si="5"/>
        <v>3.3000000000000002E-2</v>
      </c>
      <c r="S20" s="5">
        <f t="shared" si="2"/>
        <v>48744</v>
      </c>
    </row>
    <row r="21" spans="1:19" x14ac:dyDescent="0.3">
      <c r="A21" t="str">
        <f t="shared" si="6"/>
        <v/>
      </c>
      <c r="G21" s="2">
        <f t="shared" si="7"/>
        <v>19</v>
      </c>
      <c r="H21" s="2">
        <f t="shared" si="3"/>
        <v>9.5</v>
      </c>
      <c r="I21" s="6">
        <f t="shared" si="0"/>
        <v>3.3024999999999999E-2</v>
      </c>
      <c r="J21" s="6">
        <f t="shared" si="4"/>
        <v>3.274525785274663E-2</v>
      </c>
      <c r="K21" s="6">
        <f t="shared" si="8"/>
        <v>3.2408288899925287E-2</v>
      </c>
      <c r="L21" s="7">
        <f>(1-I21/2*(SUM($L$3:L20)))/(1+I21/2)</f>
        <v>0.73249099462841716</v>
      </c>
      <c r="O21" s="2">
        <f t="shared" si="1"/>
        <v>7</v>
      </c>
      <c r="P21" s="2" cm="1">
        <f t="array" ref="P21">INDEX($B$3:$B$12,MATCH(H21,$B$3:$B$12,1)+1)</f>
        <v>10</v>
      </c>
      <c r="Q21" s="2">
        <f t="shared" si="5"/>
        <v>3.3149999999999999E-2</v>
      </c>
      <c r="R21" s="2">
        <f t="shared" si="5"/>
        <v>3.3000000000000002E-2</v>
      </c>
      <c r="S21" s="5">
        <f t="shared" si="2"/>
        <v>48927</v>
      </c>
    </row>
    <row r="22" spans="1:19" x14ac:dyDescent="0.3">
      <c r="A22" t="str">
        <f t="shared" si="6"/>
        <v/>
      </c>
      <c r="G22" s="2">
        <f t="shared" si="7"/>
        <v>20</v>
      </c>
      <c r="H22" s="2">
        <f t="shared" si="3"/>
        <v>10</v>
      </c>
      <c r="I22" s="6">
        <f t="shared" si="0"/>
        <v>3.3000000000000002E-2</v>
      </c>
      <c r="J22" s="6">
        <f t="shared" si="4"/>
        <v>3.2721386857939821E-2</v>
      </c>
      <c r="K22" s="6">
        <f t="shared" si="8"/>
        <v>3.2527226561047139E-2</v>
      </c>
      <c r="L22" s="7">
        <f>(1-I22/2*(SUM($L$3:L21)))/(1+I22/2)</f>
        <v>0.72080029469060325</v>
      </c>
      <c r="O22" s="2">
        <f t="shared" si="1"/>
        <v>10</v>
      </c>
      <c r="P22" s="2" t="e" cm="1">
        <f t="array" ref="P22">INDEX($B$3:$B$12,MATCH(H22,$B$3:$B$12,1)+1)</f>
        <v>#REF!</v>
      </c>
      <c r="Q22" s="2">
        <f t="shared" si="5"/>
        <v>3.3000000000000002E-2</v>
      </c>
      <c r="R22" s="2" t="e">
        <f t="shared" si="5"/>
        <v>#REF!</v>
      </c>
      <c r="S22" s="5">
        <f t="shared" si="2"/>
        <v>49109</v>
      </c>
    </row>
    <row r="23" spans="1:19" x14ac:dyDescent="0.3">
      <c r="A23" t="str">
        <f t="shared" si="6"/>
        <v/>
      </c>
      <c r="G23" t="str">
        <f t="shared" si="7"/>
        <v/>
      </c>
    </row>
    <row r="24" spans="1:19" x14ac:dyDescent="0.3">
      <c r="A24" t="str">
        <f t="shared" si="6"/>
        <v/>
      </c>
      <c r="G24" t="str">
        <f t="shared" si="7"/>
        <v/>
      </c>
    </row>
    <row r="25" spans="1:19" x14ac:dyDescent="0.3">
      <c r="A25" t="str">
        <f t="shared" si="6"/>
        <v/>
      </c>
      <c r="G25" t="str">
        <f t="shared" si="7"/>
        <v/>
      </c>
    </row>
    <row r="26" spans="1:19" x14ac:dyDescent="0.3">
      <c r="A26" t="str">
        <f t="shared" si="6"/>
        <v/>
      </c>
      <c r="G26" t="str">
        <f t="shared" si="7"/>
        <v/>
      </c>
    </row>
    <row r="27" spans="1:19" x14ac:dyDescent="0.3">
      <c r="A27" t="str">
        <f t="shared" si="6"/>
        <v/>
      </c>
      <c r="G27" t="str">
        <f t="shared" si="7"/>
        <v/>
      </c>
    </row>
    <row r="28" spans="1:19" x14ac:dyDescent="0.3">
      <c r="A28" t="str">
        <f t="shared" si="6"/>
        <v/>
      </c>
      <c r="G28" t="str">
        <f t="shared" si="7"/>
        <v/>
      </c>
    </row>
    <row r="29" spans="1:19" x14ac:dyDescent="0.3">
      <c r="A29" t="str">
        <f t="shared" si="6"/>
        <v/>
      </c>
      <c r="G29" t="str">
        <f t="shared" si="7"/>
        <v/>
      </c>
    </row>
    <row r="30" spans="1:19" x14ac:dyDescent="0.3">
      <c r="A30" t="str">
        <f t="shared" si="6"/>
        <v/>
      </c>
      <c r="G30" t="str">
        <f t="shared" si="7"/>
        <v/>
      </c>
    </row>
    <row r="31" spans="1:19" x14ac:dyDescent="0.3">
      <c r="A31" t="str">
        <f t="shared" si="6"/>
        <v/>
      </c>
      <c r="G31" t="str">
        <f t="shared" si="7"/>
        <v/>
      </c>
    </row>
    <row r="32" spans="1:19" x14ac:dyDescent="0.3">
      <c r="A32" t="str">
        <f t="shared" si="6"/>
        <v/>
      </c>
      <c r="G32" t="str">
        <f t="shared" si="7"/>
        <v/>
      </c>
    </row>
    <row r="33" spans="1:7" x14ac:dyDescent="0.3">
      <c r="A33" t="str">
        <f t="shared" si="6"/>
        <v/>
      </c>
      <c r="G33" t="str">
        <f t="shared" si="7"/>
        <v/>
      </c>
    </row>
    <row r="34" spans="1:7" x14ac:dyDescent="0.3">
      <c r="A34" t="str">
        <f t="shared" si="6"/>
        <v/>
      </c>
      <c r="G34" t="str">
        <f t="shared" si="7"/>
        <v/>
      </c>
    </row>
    <row r="35" spans="1:7" x14ac:dyDescent="0.3">
      <c r="A35" t="str">
        <f t="shared" si="6"/>
        <v/>
      </c>
      <c r="G35" t="str">
        <f t="shared" si="7"/>
        <v/>
      </c>
    </row>
    <row r="36" spans="1:7" x14ac:dyDescent="0.3">
      <c r="A36" t="str">
        <f t="shared" si="6"/>
        <v/>
      </c>
    </row>
  </sheetData>
  <sortState xmlns:xlrd2="http://schemas.microsoft.com/office/spreadsheetml/2017/richdata2" ref="S3:S12">
    <sortCondition descending="1" ref="S3:S12"/>
  </sortState>
  <mergeCells count="3">
    <mergeCell ref="G1:L1"/>
    <mergeCell ref="A1:E1"/>
    <mergeCell ref="N1:S1"/>
  </mergeCells>
  <phoneticPr fontId="2" type="noConversion"/>
  <dataValidations count="1">
    <dataValidation type="list" allowBlank="1" showInputMessage="1" showErrorMessage="1" sqref="D3" xr:uid="{DC3E9C78-3165-4AB5-9D90-0524D99F0D42}">
      <formula1>"30/360, Act/Act, Act/360, Act/365, 30/360E"</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B3033-26CB-402F-8F09-EAD40AB8A82A}">
  <dimension ref="A1:AN66"/>
  <sheetViews>
    <sheetView tabSelected="1" workbookViewId="0">
      <selection activeCell="J33" sqref="J33"/>
    </sheetView>
  </sheetViews>
  <sheetFormatPr defaultRowHeight="16.5" x14ac:dyDescent="0.3"/>
  <cols>
    <col min="1" max="1" width="21" bestFit="1" customWidth="1"/>
    <col min="2" max="2" width="20.625" bestFit="1" customWidth="1"/>
    <col min="6" max="6" width="12.125" bestFit="1" customWidth="1"/>
    <col min="9" max="9" width="11.125" bestFit="1" customWidth="1"/>
    <col min="10" max="10" width="17.875" bestFit="1" customWidth="1"/>
    <col min="11" max="11" width="8.5" bestFit="1" customWidth="1"/>
    <col min="12" max="12" width="9.5" bestFit="1" customWidth="1"/>
    <col min="13" max="13" width="25.75" bestFit="1" customWidth="1"/>
    <col min="15" max="15" width="6.625" customWidth="1"/>
    <col min="16" max="16" width="8.375" customWidth="1"/>
    <col min="17" max="17" width="5.875" customWidth="1"/>
    <col min="18" max="18" width="8.75" customWidth="1"/>
    <col min="19" max="19" width="10.875" bestFit="1" customWidth="1"/>
    <col min="20" max="20" width="11.125" bestFit="1" customWidth="1"/>
    <col min="21" max="21" width="14.125" bestFit="1" customWidth="1"/>
    <col min="22" max="22" width="13" bestFit="1" customWidth="1"/>
    <col min="23" max="28" width="13" customWidth="1"/>
    <col min="29" max="29" width="14.625" bestFit="1" customWidth="1"/>
    <col min="30" max="33" width="13" customWidth="1"/>
    <col min="34" max="34" width="13.125" customWidth="1"/>
    <col min="35" max="39" width="13" customWidth="1"/>
    <col min="40" max="40" width="13.125" customWidth="1"/>
  </cols>
  <sheetData>
    <row r="1" spans="1:40" x14ac:dyDescent="0.3">
      <c r="A1" s="41" t="s">
        <v>80</v>
      </c>
      <c r="B1" s="41"/>
      <c r="D1" s="37" t="s">
        <v>45</v>
      </c>
      <c r="E1" s="37"/>
      <c r="F1" s="37"/>
      <c r="H1" s="30" t="s">
        <v>4</v>
      </c>
      <c r="I1" s="30"/>
      <c r="J1" s="30"/>
      <c r="K1" s="30"/>
      <c r="L1" s="30"/>
      <c r="M1" s="30"/>
      <c r="O1" s="33" t="s">
        <v>8</v>
      </c>
      <c r="P1" s="34"/>
      <c r="Q1" s="34"/>
      <c r="R1" s="34"/>
      <c r="S1" s="34"/>
      <c r="T1" s="34"/>
      <c r="U1" s="34"/>
      <c r="V1" s="34"/>
      <c r="W1" s="35"/>
      <c r="X1" s="10"/>
      <c r="Y1" s="31" t="s">
        <v>98</v>
      </c>
      <c r="Z1" s="32"/>
      <c r="AA1" s="32"/>
      <c r="AB1" s="32"/>
      <c r="AC1" s="32"/>
      <c r="AD1" s="32"/>
      <c r="AE1" s="32"/>
      <c r="AF1" s="32"/>
      <c r="AG1" s="32"/>
      <c r="AH1" s="32"/>
      <c r="AI1" s="32"/>
      <c r="AJ1" s="32"/>
      <c r="AK1" s="32"/>
      <c r="AL1" s="32"/>
      <c r="AM1" s="32"/>
      <c r="AN1" s="9"/>
    </row>
    <row r="2" spans="1:40" x14ac:dyDescent="0.3">
      <c r="A2" t="s">
        <v>21</v>
      </c>
      <c r="B2" s="9">
        <v>45457</v>
      </c>
      <c r="D2" t="s">
        <v>46</v>
      </c>
      <c r="E2" t="s">
        <v>47</v>
      </c>
      <c r="F2" t="s">
        <v>48</v>
      </c>
      <c r="H2" s="1" t="s">
        <v>1</v>
      </c>
      <c r="I2" s="1" t="s">
        <v>82</v>
      </c>
      <c r="J2" s="1" t="s">
        <v>92</v>
      </c>
      <c r="K2" s="1" t="s">
        <v>83</v>
      </c>
      <c r="L2" s="1" t="s">
        <v>6</v>
      </c>
      <c r="M2" s="1" t="s">
        <v>5</v>
      </c>
      <c r="O2" s="38" t="s">
        <v>81</v>
      </c>
      <c r="P2" s="38"/>
      <c r="Q2" s="39" t="s">
        <v>82</v>
      </c>
      <c r="R2" s="40"/>
      <c r="S2" s="18" t="s">
        <v>85</v>
      </c>
      <c r="T2" s="18" t="s">
        <v>86</v>
      </c>
      <c r="U2" s="18" t="s">
        <v>88</v>
      </c>
      <c r="V2" s="18" t="s">
        <v>87</v>
      </c>
      <c r="W2" s="1" t="s">
        <v>89</v>
      </c>
      <c r="X2" s="10"/>
      <c r="Y2" s="1" t="s">
        <v>90</v>
      </c>
      <c r="Z2" s="1" t="s">
        <v>91</v>
      </c>
      <c r="AA2" s="1" t="s">
        <v>93</v>
      </c>
      <c r="AB2" s="1" t="s">
        <v>94</v>
      </c>
      <c r="AC2" s="1" t="s">
        <v>92</v>
      </c>
      <c r="AD2" s="1" t="s">
        <v>99</v>
      </c>
      <c r="AE2" s="1" t="s">
        <v>100</v>
      </c>
      <c r="AF2" s="1" t="s">
        <v>95</v>
      </c>
      <c r="AG2" s="23" t="s">
        <v>103</v>
      </c>
      <c r="AH2" s="1" t="s">
        <v>102</v>
      </c>
      <c r="AI2" s="21" t="s">
        <v>101</v>
      </c>
      <c r="AJ2" s="1" t="s">
        <v>96</v>
      </c>
      <c r="AK2" s="1" t="s">
        <v>105</v>
      </c>
      <c r="AL2" s="23" t="s">
        <v>104</v>
      </c>
      <c r="AM2" s="26" t="s">
        <v>106</v>
      </c>
      <c r="AN2" s="9"/>
    </row>
    <row r="3" spans="1:40" x14ac:dyDescent="0.3">
      <c r="D3" t="s">
        <v>44</v>
      </c>
      <c r="E3" t="s">
        <v>49</v>
      </c>
      <c r="F3">
        <v>5.1859999999999999</v>
      </c>
      <c r="H3" s="2">
        <v>1</v>
      </c>
      <c r="I3" s="11">
        <f>IF(R3="WK",$B$2+Q3*7,IF(R3="MO",EDATE($B$2,Q3),IF(R3="YR",EDATE($B$2,Q3*12),"")))</f>
        <v>45464</v>
      </c>
      <c r="J3" s="11">
        <f>WORKDAY(I3,$B$21)</f>
        <v>45468</v>
      </c>
      <c r="K3" s="6">
        <f>-LN(M3)/YEARFRAC($B$2,J3,3)</f>
        <v>5.1819516072614327E-2</v>
      </c>
      <c r="L3" s="13">
        <f>(1/(M3/1)-1)/YEARFRAC($B$2,J3,$W$3)</f>
        <v>5.1859999999999837E-2</v>
      </c>
      <c r="M3" s="2">
        <f t="shared" ref="M3:M15" si="0">1/(1+S3*T3/V3*V3)</f>
        <v>0.99843953474796621</v>
      </c>
      <c r="O3" s="2" t="str" cm="1">
        <f t="array" ref="O3:P3">_xlfn.TEXTSPLIT(E3," ")</f>
        <v>1</v>
      </c>
      <c r="P3" s="2" t="str">
        <v>WK</v>
      </c>
      <c r="Q3" s="15" t="str">
        <f>O3</f>
        <v>1</v>
      </c>
      <c r="R3" s="16" t="str">
        <f>P3</f>
        <v>WK</v>
      </c>
      <c r="S3" s="6">
        <f t="shared" ref="S3:S33" si="1">F3*0.01</f>
        <v>5.1860000000000003E-2</v>
      </c>
      <c r="T3" s="2">
        <f>YEARFRAC($B$2,J3,$U$3)</f>
        <v>3.0136986301369864E-2</v>
      </c>
      <c r="U3" s="2">
        <f>IF(B16="30/360",0, IF(B16="Act/Act",1,IF(B16="Act/360",2,IF(B16="Act/365",3,IF(B16="30/360E",4,"")))))</f>
        <v>3</v>
      </c>
      <c r="V3" s="2">
        <f>YEARFRAC($B$2,J3,$W$3)</f>
        <v>3.0136986301369864E-2</v>
      </c>
      <c r="W3" s="2">
        <f>IF(B26="30/360",0, IF(B26="Act/Act",1,IF(B26="Act/360",2,IF(B26="Act/365",3,IF(B26="30/360E",4,"")))))</f>
        <v>3</v>
      </c>
      <c r="X3" s="9"/>
      <c r="Y3" s="11">
        <f>WORKDAY(EDATE(B2,12),0)</f>
        <v>45822</v>
      </c>
      <c r="Z3" s="11" cm="1">
        <f t="array" ref="Z3:Z4">_xlfn._xlws.SORT(Y3:Y4,1,1)</f>
        <v>45457</v>
      </c>
      <c r="AA3" s="11"/>
      <c r="AB3" s="11"/>
      <c r="AC3" s="11"/>
      <c r="AD3" s="2">
        <f>YEARFRAC(AA3,AB3,$U$3)</f>
        <v>0</v>
      </c>
      <c r="AE3" s="2"/>
      <c r="AF3" s="2">
        <f>AD3*$S$17</f>
        <v>0</v>
      </c>
      <c r="AG3" s="24"/>
      <c r="AH3" s="2">
        <v>1</v>
      </c>
      <c r="AI3" s="22">
        <v>1</v>
      </c>
      <c r="AJ3" s="2"/>
      <c r="AK3" s="2"/>
      <c r="AL3" s="24"/>
      <c r="AM3" s="27"/>
      <c r="AN3" s="9"/>
    </row>
    <row r="4" spans="1:40" x14ac:dyDescent="0.3">
      <c r="A4" s="36" t="s">
        <v>22</v>
      </c>
      <c r="B4" s="36"/>
      <c r="D4" t="s">
        <v>44</v>
      </c>
      <c r="E4" t="s">
        <v>50</v>
      </c>
      <c r="F4">
        <v>5.1886000000000001</v>
      </c>
      <c r="H4" s="2">
        <f>IF(I4="","",H3+1)</f>
        <v>2</v>
      </c>
      <c r="I4" s="11">
        <f t="shared" ref="I4:I66" si="2">IF(R4="WK",$B$2+Q4*7,IF(R4="MO",EDATE($B$2,Q4),IF(R4="YR",EDATE($B$2,Q4*12),"")))</f>
        <v>45471</v>
      </c>
      <c r="J4" s="11">
        <f t="shared" ref="J4:J15" si="3">WORKDAY(I4,$B$21)</f>
        <v>45475</v>
      </c>
      <c r="K4" s="6">
        <f t="shared" ref="K4:K66" si="4">-LN(M4)/YEARFRAC($B$2,J4,3)</f>
        <v>4.0315673993163693E-2</v>
      </c>
      <c r="L4" s="13">
        <f>(1/(M4/M3)-1)/YEARFRAC(J3,J4,$W$3)</f>
        <v>2.2242950686680425E-2</v>
      </c>
      <c r="M4" s="2">
        <f t="shared" si="0"/>
        <v>0.99801380487693736</v>
      </c>
      <c r="O4" s="2" t="str" cm="1">
        <f t="array" ref="O4:P4">_xlfn.TEXTSPLIT(E4," ")</f>
        <v>2</v>
      </c>
      <c r="P4" s="2" t="str">
        <v>WK</v>
      </c>
      <c r="Q4" s="2" t="str">
        <f t="shared" ref="Q4:Q26" si="5">O4</f>
        <v>2</v>
      </c>
      <c r="R4" s="17" t="str">
        <f t="shared" ref="R4:R33" si="6">P4</f>
        <v>WK</v>
      </c>
      <c r="S4" s="6">
        <f t="shared" si="1"/>
        <v>5.1886000000000002E-2</v>
      </c>
      <c r="T4" s="2">
        <f t="shared" ref="T4:T15" si="7">YEARFRAC($B$2,I4,$U$3)</f>
        <v>3.8356164383561646E-2</v>
      </c>
      <c r="V4" s="2">
        <f t="shared" ref="V4:V15" si="8">YEARFRAC($B$2,J4,$W$3)</f>
        <v>4.9315068493150684E-2</v>
      </c>
      <c r="X4" s="9"/>
      <c r="Y4" s="11">
        <f>IF(EDATE(Y3,-12) &lt; $B$2, $B$2, EDATE(Y3,-12))</f>
        <v>45457</v>
      </c>
      <c r="Z4" s="11">
        <v>45822</v>
      </c>
      <c r="AA4" s="11">
        <f>Z3</f>
        <v>45457</v>
      </c>
      <c r="AB4" s="11">
        <f>Z4</f>
        <v>45822</v>
      </c>
      <c r="AC4" s="11">
        <f>WORKDAY(AB4,B21)</f>
        <v>45825</v>
      </c>
      <c r="AD4" s="2">
        <f>YEARFRAC(B2,AB4,$U$3)</f>
        <v>1</v>
      </c>
      <c r="AE4" s="2">
        <f>YEARFRAC(B2,AC4,$U$3)</f>
        <v>1.0082191780821919</v>
      </c>
      <c r="AF4" s="2">
        <f>AD4*$S$16</f>
        <v>4.9413499999999999E-2</v>
      </c>
      <c r="AG4" s="24">
        <f>(1+AF4)*AI4</f>
        <v>0.9996036557835003</v>
      </c>
      <c r="AH4" s="2">
        <f>AI3*(AI4/AI3)^((AD4-AD3)/(AE4-AD3))</f>
        <v>0.95291322246734544</v>
      </c>
      <c r="AI4" s="22">
        <v>0.9525355408363817</v>
      </c>
      <c r="AJ4" s="20">
        <f>(1/(AH4/AH3)-1)/YEARFRAC($B$2,AB4,$W$3)</f>
        <v>4.9413500014969136E-2</v>
      </c>
      <c r="AK4" s="20">
        <f>AJ4*AD4</f>
        <v>4.9413500014969136E-2</v>
      </c>
      <c r="AL4" s="25">
        <f>(1+AK4)*AI4</f>
        <v>0.99960365579775889</v>
      </c>
      <c r="AM4" s="28">
        <f>AG4-AL4</f>
        <v>-1.4258594305260885E-11</v>
      </c>
      <c r="AN4" s="9"/>
    </row>
    <row r="5" spans="1:40" x14ac:dyDescent="0.3">
      <c r="A5" t="s">
        <v>23</v>
      </c>
      <c r="B5" t="s">
        <v>24</v>
      </c>
      <c r="D5" t="s">
        <v>44</v>
      </c>
      <c r="E5" t="s">
        <v>51</v>
      </c>
      <c r="F5">
        <v>5.1920000000000002</v>
      </c>
      <c r="H5" s="2">
        <f t="shared" ref="H5:H66" si="9">IF(I5="","",H4+1)</f>
        <v>3</v>
      </c>
      <c r="I5" s="11">
        <f t="shared" si="2"/>
        <v>45487</v>
      </c>
      <c r="J5" s="11">
        <f t="shared" si="3"/>
        <v>45489</v>
      </c>
      <c r="K5" s="6">
        <f t="shared" si="4"/>
        <v>4.8571436745007752E-2</v>
      </c>
      <c r="L5" s="13">
        <f t="shared" ref="L5:L15" si="10">(1/(M5/M4)-1)/YEARFRAC(J4,J5,$W$3)</f>
        <v>5.9253220182748603E-2</v>
      </c>
      <c r="M5" s="2">
        <f t="shared" si="0"/>
        <v>0.99575073603711939</v>
      </c>
      <c r="O5" s="2" t="str" cm="1">
        <f t="array" ref="O5:P5">_xlfn.TEXTSPLIT(E5," ")</f>
        <v>1</v>
      </c>
      <c r="P5" s="2" t="str">
        <v>MO</v>
      </c>
      <c r="Q5" s="2" t="str">
        <f t="shared" si="5"/>
        <v>1</v>
      </c>
      <c r="R5" s="17" t="str">
        <f t="shared" si="6"/>
        <v>MO</v>
      </c>
      <c r="S5" s="6">
        <f t="shared" si="1"/>
        <v>5.1920000000000001E-2</v>
      </c>
      <c r="T5" s="2">
        <f t="shared" si="7"/>
        <v>8.2191780821917804E-2</v>
      </c>
      <c r="V5" s="2">
        <f t="shared" si="8"/>
        <v>8.7671232876712329E-2</v>
      </c>
      <c r="X5" s="9"/>
      <c r="Y5" s="9"/>
      <c r="Z5" s="9"/>
      <c r="AA5" s="9"/>
      <c r="AB5" s="9"/>
      <c r="AC5" s="9"/>
      <c r="AD5" s="9"/>
      <c r="AE5" s="9"/>
      <c r="AF5" s="9"/>
      <c r="AG5" s="9"/>
      <c r="AH5" s="9"/>
      <c r="AI5" s="9"/>
      <c r="AJ5" s="9"/>
      <c r="AK5" s="9"/>
      <c r="AL5" s="9"/>
      <c r="AM5" s="29"/>
      <c r="AN5" s="9"/>
    </row>
    <row r="6" spans="1:40" x14ac:dyDescent="0.3">
      <c r="A6" t="s">
        <v>25</v>
      </c>
      <c r="B6" t="s">
        <v>26</v>
      </c>
      <c r="D6" t="s">
        <v>44</v>
      </c>
      <c r="E6" t="s">
        <v>52</v>
      </c>
      <c r="F6">
        <v>5.1993999999999998</v>
      </c>
      <c r="H6" s="2">
        <f t="shared" si="9"/>
        <v>4</v>
      </c>
      <c r="I6" s="11">
        <f t="shared" si="2"/>
        <v>45518</v>
      </c>
      <c r="J6" s="11">
        <f t="shared" si="3"/>
        <v>45520</v>
      </c>
      <c r="K6" s="6">
        <f t="shared" si="4"/>
        <v>5.0125928534795902E-2</v>
      </c>
      <c r="L6" s="13">
        <f t="shared" si="10"/>
        <v>5.1844372370610861E-2</v>
      </c>
      <c r="M6" s="2">
        <f t="shared" si="0"/>
        <v>0.99138544714718557</v>
      </c>
      <c r="O6" s="2" t="str" cm="1">
        <f t="array" ref="O6:P6">_xlfn.TEXTSPLIT(E6," ")</f>
        <v>2</v>
      </c>
      <c r="P6" s="2" t="str">
        <v>MO</v>
      </c>
      <c r="Q6" s="2" t="str">
        <f t="shared" si="5"/>
        <v>2</v>
      </c>
      <c r="R6" s="17" t="str">
        <f t="shared" si="6"/>
        <v>MO</v>
      </c>
      <c r="S6" s="6">
        <f t="shared" si="1"/>
        <v>5.1993999999999999E-2</v>
      </c>
      <c r="T6" s="2">
        <f t="shared" si="7"/>
        <v>0.16712328767123288</v>
      </c>
      <c r="V6" s="2">
        <f t="shared" si="8"/>
        <v>0.17260273972602741</v>
      </c>
      <c r="X6" s="9"/>
      <c r="Y6" s="9"/>
      <c r="Z6" s="9"/>
      <c r="AA6" s="9"/>
      <c r="AB6" s="9"/>
      <c r="AC6" s="9"/>
      <c r="AD6" s="9"/>
      <c r="AE6" s="9"/>
      <c r="AF6" s="9"/>
      <c r="AG6" s="9"/>
      <c r="AH6" s="9"/>
      <c r="AI6" s="9"/>
      <c r="AJ6" s="9"/>
      <c r="AK6" s="9"/>
      <c r="AL6" s="9"/>
      <c r="AM6" s="9"/>
      <c r="AN6" s="9"/>
    </row>
    <row r="7" spans="1:40" x14ac:dyDescent="0.3">
      <c r="A7" s="36" t="s">
        <v>27</v>
      </c>
      <c r="B7" s="36"/>
      <c r="D7" t="s">
        <v>44</v>
      </c>
      <c r="E7" t="s">
        <v>53</v>
      </c>
      <c r="F7">
        <v>5.2031999999999998</v>
      </c>
      <c r="H7" s="2">
        <f t="shared" si="9"/>
        <v>5</v>
      </c>
      <c r="I7" s="11">
        <f t="shared" si="2"/>
        <v>45549</v>
      </c>
      <c r="J7" s="11">
        <f t="shared" si="3"/>
        <v>45552</v>
      </c>
      <c r="K7" s="6">
        <f t="shared" si="4"/>
        <v>5.0061322099944516E-2</v>
      </c>
      <c r="L7" s="13">
        <f t="shared" si="10"/>
        <v>5.0043588332226788E-2</v>
      </c>
      <c r="M7" s="2">
        <f t="shared" si="0"/>
        <v>0.9870548593516596</v>
      </c>
      <c r="O7" s="2" t="str" cm="1">
        <f t="array" ref="O7:P7">_xlfn.TEXTSPLIT(E7," ")</f>
        <v>3</v>
      </c>
      <c r="P7" s="2" t="str">
        <v>MO</v>
      </c>
      <c r="Q7" s="2" t="str">
        <f t="shared" si="5"/>
        <v>3</v>
      </c>
      <c r="R7" s="17" t="str">
        <f t="shared" si="6"/>
        <v>MO</v>
      </c>
      <c r="S7" s="6">
        <f t="shared" si="1"/>
        <v>5.2032000000000002E-2</v>
      </c>
      <c r="T7" s="2">
        <f t="shared" si="7"/>
        <v>0.25205479452054796</v>
      </c>
      <c r="V7" s="2">
        <f t="shared" si="8"/>
        <v>0.26027397260273971</v>
      </c>
      <c r="X7" s="9"/>
      <c r="Y7" s="9"/>
      <c r="Z7" s="9"/>
      <c r="AA7" s="9"/>
      <c r="AB7" s="9"/>
      <c r="AC7" s="9"/>
      <c r="AD7" s="9"/>
      <c r="AE7" s="9"/>
      <c r="AF7" s="9"/>
      <c r="AG7" s="9"/>
      <c r="AH7" s="9"/>
      <c r="AI7" s="9"/>
      <c r="AJ7" s="9"/>
      <c r="AK7" s="9"/>
      <c r="AL7" s="9"/>
      <c r="AM7" s="9"/>
      <c r="AN7" s="9"/>
    </row>
    <row r="8" spans="1:40" x14ac:dyDescent="0.3">
      <c r="A8" t="s">
        <v>28</v>
      </c>
      <c r="B8">
        <v>0</v>
      </c>
      <c r="D8" t="s">
        <v>44</v>
      </c>
      <c r="E8" t="s">
        <v>54</v>
      </c>
      <c r="F8">
        <v>5.1967999999999996</v>
      </c>
      <c r="H8" s="2">
        <f t="shared" si="9"/>
        <v>6</v>
      </c>
      <c r="I8" s="11">
        <f t="shared" si="2"/>
        <v>45579</v>
      </c>
      <c r="J8" s="11">
        <f t="shared" si="3"/>
        <v>45581</v>
      </c>
      <c r="K8" s="6">
        <f t="shared" si="4"/>
        <v>5.0690817103186382E-2</v>
      </c>
      <c r="L8" s="13">
        <f t="shared" si="10"/>
        <v>5.2863663065923508E-2</v>
      </c>
      <c r="M8" s="2">
        <f t="shared" si="0"/>
        <v>0.98292644379560878</v>
      </c>
      <c r="O8" s="2" t="str" cm="1">
        <f t="array" ref="O8:P8">_xlfn.TEXTSPLIT(E8," ")</f>
        <v>4</v>
      </c>
      <c r="P8" s="2" t="str">
        <v>MO</v>
      </c>
      <c r="Q8" s="2" t="str">
        <f t="shared" si="5"/>
        <v>4</v>
      </c>
      <c r="R8" s="17" t="str">
        <f t="shared" si="6"/>
        <v>MO</v>
      </c>
      <c r="S8" s="6">
        <f t="shared" si="1"/>
        <v>5.1968E-2</v>
      </c>
      <c r="T8" s="2">
        <f t="shared" si="7"/>
        <v>0.33424657534246577</v>
      </c>
      <c r="V8" s="2">
        <f t="shared" si="8"/>
        <v>0.33972602739726027</v>
      </c>
      <c r="X8" s="9"/>
      <c r="Y8" s="9"/>
      <c r="Z8" s="9"/>
      <c r="AA8" s="9"/>
      <c r="AB8" s="9"/>
      <c r="AC8" s="9"/>
      <c r="AD8" s="9"/>
      <c r="AE8" s="9"/>
      <c r="AF8" s="9"/>
      <c r="AG8" s="9"/>
      <c r="AH8" s="9"/>
      <c r="AI8" s="9"/>
      <c r="AJ8" s="9"/>
      <c r="AK8" s="9"/>
      <c r="AL8" s="9"/>
      <c r="AM8" s="9"/>
      <c r="AN8" s="9"/>
    </row>
    <row r="9" spans="1:40" x14ac:dyDescent="0.3">
      <c r="A9" t="s">
        <v>23</v>
      </c>
      <c r="B9" t="s">
        <v>24</v>
      </c>
      <c r="D9" t="s">
        <v>44</v>
      </c>
      <c r="E9" t="s">
        <v>55</v>
      </c>
      <c r="F9">
        <v>5.1818999999999997</v>
      </c>
      <c r="H9" s="2">
        <f t="shared" si="9"/>
        <v>7</v>
      </c>
      <c r="I9" s="11">
        <f t="shared" si="2"/>
        <v>45610</v>
      </c>
      <c r="J9" s="11">
        <f t="shared" si="3"/>
        <v>45614</v>
      </c>
      <c r="K9" s="6">
        <f t="shared" si="4"/>
        <v>4.9958133890694742E-2</v>
      </c>
      <c r="L9" s="13">
        <f t="shared" si="10"/>
        <v>4.7305896673546968E-2</v>
      </c>
      <c r="M9" s="2">
        <f t="shared" si="0"/>
        <v>0.9787403990225928</v>
      </c>
      <c r="O9" s="2" t="str" cm="1">
        <f t="array" ref="O9:P9">_xlfn.TEXTSPLIT(E9," ")</f>
        <v>5</v>
      </c>
      <c r="P9" s="2" t="str">
        <v>MO</v>
      </c>
      <c r="Q9" s="2" t="str">
        <f t="shared" si="5"/>
        <v>5</v>
      </c>
      <c r="R9" s="17" t="str">
        <f t="shared" si="6"/>
        <v>MO</v>
      </c>
      <c r="S9" s="6">
        <f t="shared" si="1"/>
        <v>5.1818999999999997E-2</v>
      </c>
      <c r="T9" s="2">
        <f t="shared" si="7"/>
        <v>0.41917808219178082</v>
      </c>
      <c r="V9" s="2">
        <f t="shared" si="8"/>
        <v>0.43013698630136987</v>
      </c>
      <c r="X9" s="9"/>
      <c r="Y9" s="9"/>
      <c r="Z9" s="9"/>
      <c r="AA9" s="9"/>
      <c r="AB9" s="9"/>
      <c r="AC9" s="9"/>
      <c r="AD9" s="9"/>
      <c r="AE9" s="9"/>
      <c r="AF9" s="9"/>
      <c r="AG9" s="9"/>
      <c r="AH9" s="9"/>
      <c r="AI9" s="9"/>
      <c r="AJ9" s="9"/>
      <c r="AK9" s="9"/>
      <c r="AL9" s="9"/>
      <c r="AM9" s="9"/>
      <c r="AN9" s="9"/>
    </row>
    <row r="10" spans="1:40" x14ac:dyDescent="0.3">
      <c r="A10" t="s">
        <v>25</v>
      </c>
      <c r="B10" t="s">
        <v>26</v>
      </c>
      <c r="D10" t="s">
        <v>44</v>
      </c>
      <c r="E10" t="s">
        <v>56</v>
      </c>
      <c r="F10">
        <v>5.1623999999999999</v>
      </c>
      <c r="H10" s="2">
        <f t="shared" si="9"/>
        <v>8</v>
      </c>
      <c r="I10" s="11">
        <f t="shared" si="2"/>
        <v>45640</v>
      </c>
      <c r="J10" s="11">
        <f t="shared" si="3"/>
        <v>45643</v>
      </c>
      <c r="K10" s="6">
        <f t="shared" si="4"/>
        <v>5.0145171943419893E-2</v>
      </c>
      <c r="L10" s="13">
        <f t="shared" si="10"/>
        <v>5.1261865895498283E-2</v>
      </c>
      <c r="M10" s="2">
        <f t="shared" si="0"/>
        <v>0.97477029551339234</v>
      </c>
      <c r="O10" s="2" t="str" cm="1">
        <f t="array" ref="O10:P10">_xlfn.TEXTSPLIT(E10," ")</f>
        <v>6</v>
      </c>
      <c r="P10" s="2" t="str">
        <v>MO</v>
      </c>
      <c r="Q10" s="2" t="str">
        <f t="shared" si="5"/>
        <v>6</v>
      </c>
      <c r="R10" s="17" t="str">
        <f t="shared" si="6"/>
        <v>MO</v>
      </c>
      <c r="S10" s="6">
        <f t="shared" si="1"/>
        <v>5.1624000000000003E-2</v>
      </c>
      <c r="T10" s="2">
        <f t="shared" si="7"/>
        <v>0.50136986301369868</v>
      </c>
      <c r="V10" s="2">
        <f t="shared" si="8"/>
        <v>0.50958904109589043</v>
      </c>
      <c r="X10" s="9"/>
      <c r="Y10" s="9"/>
      <c r="Z10" s="9"/>
      <c r="AA10" s="9"/>
      <c r="AB10" s="9"/>
      <c r="AC10" s="9"/>
      <c r="AD10" s="9"/>
      <c r="AE10" s="9"/>
      <c r="AF10" s="9"/>
      <c r="AG10" s="9"/>
      <c r="AH10" s="9"/>
      <c r="AI10" s="9"/>
      <c r="AJ10" s="9"/>
      <c r="AK10" s="9"/>
      <c r="AL10" s="9"/>
      <c r="AM10" s="9"/>
      <c r="AN10" s="9"/>
    </row>
    <row r="11" spans="1:40" x14ac:dyDescent="0.3">
      <c r="A11" s="36" t="s">
        <v>29</v>
      </c>
      <c r="B11" s="36"/>
      <c r="D11" t="s">
        <v>44</v>
      </c>
      <c r="E11" t="s">
        <v>57</v>
      </c>
      <c r="F11">
        <v>5.1299000000000001</v>
      </c>
      <c r="H11" s="2">
        <f t="shared" si="9"/>
        <v>9</v>
      </c>
      <c r="I11" s="11">
        <f t="shared" si="2"/>
        <v>45671</v>
      </c>
      <c r="J11" s="11">
        <f t="shared" si="3"/>
        <v>45673</v>
      </c>
      <c r="K11" s="6">
        <f t="shared" si="4"/>
        <v>5.00746883365287E-2</v>
      </c>
      <c r="L11" s="13">
        <f t="shared" si="10"/>
        <v>4.9739083991669084E-2</v>
      </c>
      <c r="M11" s="2">
        <f t="shared" si="0"/>
        <v>0.97080151921447866</v>
      </c>
      <c r="O11" s="2" t="str" cm="1">
        <f t="array" ref="O11:P11">_xlfn.TEXTSPLIT(E11," ")</f>
        <v>7</v>
      </c>
      <c r="P11" s="2" t="str">
        <v>MO</v>
      </c>
      <c r="Q11" s="2" t="str">
        <f t="shared" si="5"/>
        <v>7</v>
      </c>
      <c r="R11" s="17" t="str">
        <f t="shared" si="6"/>
        <v>MO</v>
      </c>
      <c r="S11" s="6">
        <f t="shared" si="1"/>
        <v>5.1299000000000004E-2</v>
      </c>
      <c r="T11" s="2">
        <f t="shared" si="7"/>
        <v>0.58630136986301373</v>
      </c>
      <c r="V11" s="2">
        <f t="shared" si="8"/>
        <v>0.59178082191780823</v>
      </c>
      <c r="X11" s="9"/>
      <c r="Y11" s="9"/>
      <c r="Z11" s="9"/>
      <c r="AA11" s="9"/>
      <c r="AB11" s="9"/>
      <c r="AC11" s="9"/>
      <c r="AD11" s="9"/>
      <c r="AE11" s="9"/>
      <c r="AF11" s="9"/>
      <c r="AG11" s="9"/>
      <c r="AH11" s="9"/>
      <c r="AI11" s="9"/>
      <c r="AJ11" s="9"/>
      <c r="AK11" s="9"/>
      <c r="AL11" s="9"/>
      <c r="AM11" s="9"/>
      <c r="AN11" s="9"/>
    </row>
    <row r="12" spans="1:40" x14ac:dyDescent="0.3">
      <c r="A12" t="s">
        <v>28</v>
      </c>
      <c r="B12">
        <v>0</v>
      </c>
      <c r="D12" t="s">
        <v>44</v>
      </c>
      <c r="E12" t="s">
        <v>58</v>
      </c>
      <c r="F12">
        <v>5.0976999999999997</v>
      </c>
      <c r="H12" s="2">
        <f t="shared" si="9"/>
        <v>10</v>
      </c>
      <c r="I12" s="11">
        <f t="shared" si="2"/>
        <v>45702</v>
      </c>
      <c r="J12" s="11">
        <f t="shared" si="3"/>
        <v>45706</v>
      </c>
      <c r="K12" s="6">
        <f t="shared" si="4"/>
        <v>4.9319038238452191E-2</v>
      </c>
      <c r="L12" s="13">
        <f t="shared" si="10"/>
        <v>4.446209179723664E-2</v>
      </c>
      <c r="M12" s="2">
        <f t="shared" si="0"/>
        <v>0.96691465731756443</v>
      </c>
      <c r="O12" s="2" t="str" cm="1">
        <f t="array" ref="O12:P12">_xlfn.TEXTSPLIT(E12," ")</f>
        <v>8</v>
      </c>
      <c r="P12" s="2" t="str">
        <v>MO</v>
      </c>
      <c r="Q12" s="2" t="str">
        <f t="shared" si="5"/>
        <v>8</v>
      </c>
      <c r="R12" s="17" t="str">
        <f t="shared" si="6"/>
        <v>MO</v>
      </c>
      <c r="S12" s="6">
        <f t="shared" si="1"/>
        <v>5.0976999999999995E-2</v>
      </c>
      <c r="T12" s="2">
        <f t="shared" si="7"/>
        <v>0.67123287671232879</v>
      </c>
      <c r="V12" s="2">
        <f t="shared" si="8"/>
        <v>0.68219178082191778</v>
      </c>
      <c r="X12" s="9"/>
      <c r="Y12" s="9"/>
      <c r="Z12" s="9"/>
      <c r="AA12" s="9"/>
      <c r="AB12" s="9"/>
      <c r="AC12" s="9"/>
      <c r="AD12" s="9"/>
      <c r="AE12" s="9"/>
      <c r="AF12" s="9"/>
      <c r="AG12" s="9"/>
      <c r="AH12" s="9"/>
      <c r="AI12" s="9"/>
      <c r="AJ12" s="9"/>
      <c r="AK12" s="9"/>
      <c r="AL12" s="9"/>
      <c r="AM12" s="9"/>
      <c r="AN12" s="9"/>
    </row>
    <row r="13" spans="1:40" x14ac:dyDescent="0.3">
      <c r="A13" s="10" t="s">
        <v>30</v>
      </c>
      <c r="D13" t="s">
        <v>44</v>
      </c>
      <c r="E13" t="s">
        <v>59</v>
      </c>
      <c r="F13">
        <v>5.0663999999999998</v>
      </c>
      <c r="H13" s="2">
        <f t="shared" si="9"/>
        <v>11</v>
      </c>
      <c r="I13" s="11">
        <f t="shared" si="2"/>
        <v>45730</v>
      </c>
      <c r="J13" s="11">
        <f t="shared" si="3"/>
        <v>45734</v>
      </c>
      <c r="K13" s="6">
        <f t="shared" si="4"/>
        <v>4.90095643048842E-2</v>
      </c>
      <c r="L13" s="13">
        <f t="shared" si="10"/>
        <v>4.6339626680610382E-2</v>
      </c>
      <c r="M13" s="2">
        <f t="shared" si="0"/>
        <v>0.96348962447851982</v>
      </c>
      <c r="O13" s="2" t="str" cm="1">
        <f t="array" ref="O13:P13">_xlfn.TEXTSPLIT(E13," ")</f>
        <v>9</v>
      </c>
      <c r="P13" s="2" t="str">
        <v>MO</v>
      </c>
      <c r="Q13" s="2" t="str">
        <f t="shared" si="5"/>
        <v>9</v>
      </c>
      <c r="R13" s="17" t="str">
        <f t="shared" si="6"/>
        <v>MO</v>
      </c>
      <c r="S13" s="6">
        <f t="shared" si="1"/>
        <v>5.0664000000000001E-2</v>
      </c>
      <c r="T13" s="2">
        <f t="shared" si="7"/>
        <v>0.74794520547945209</v>
      </c>
      <c r="V13" s="2">
        <f t="shared" si="8"/>
        <v>0.75890410958904109</v>
      </c>
      <c r="X13" s="9"/>
      <c r="Y13" s="9"/>
      <c r="Z13" s="9"/>
      <c r="AA13" s="9"/>
      <c r="AB13" s="9"/>
      <c r="AC13" s="9"/>
      <c r="AD13" s="9"/>
      <c r="AE13" s="9"/>
      <c r="AF13" s="9"/>
      <c r="AG13" s="9"/>
      <c r="AH13" s="9"/>
      <c r="AI13" s="9"/>
      <c r="AJ13" s="9"/>
      <c r="AK13" s="9"/>
      <c r="AL13" s="9"/>
      <c r="AM13" s="9"/>
      <c r="AN13" s="9"/>
    </row>
    <row r="14" spans="1:40" x14ac:dyDescent="0.3">
      <c r="A14" t="s">
        <v>31</v>
      </c>
      <c r="B14" t="s">
        <v>32</v>
      </c>
      <c r="D14" t="s">
        <v>44</v>
      </c>
      <c r="E14" t="s">
        <v>60</v>
      </c>
      <c r="F14">
        <v>5.0255000000000001</v>
      </c>
      <c r="H14" s="2">
        <f t="shared" si="9"/>
        <v>12</v>
      </c>
      <c r="I14" s="11">
        <f t="shared" si="2"/>
        <v>45761</v>
      </c>
      <c r="J14" s="11">
        <f t="shared" si="3"/>
        <v>45763</v>
      </c>
      <c r="K14" s="6">
        <f t="shared" si="4"/>
        <v>4.8909938423077184E-2</v>
      </c>
      <c r="L14" s="13">
        <f t="shared" si="10"/>
        <v>4.8049825600788083E-2</v>
      </c>
      <c r="M14" s="2">
        <f t="shared" si="0"/>
        <v>0.95982534018839705</v>
      </c>
      <c r="O14" s="2" t="str" cm="1">
        <f t="array" ref="O14:P14">_xlfn.TEXTSPLIT(E14," ")</f>
        <v>10</v>
      </c>
      <c r="P14" s="2" t="str">
        <v>MO</v>
      </c>
      <c r="Q14" s="2" t="str">
        <f t="shared" si="5"/>
        <v>10</v>
      </c>
      <c r="R14" s="17" t="str">
        <f t="shared" si="6"/>
        <v>MO</v>
      </c>
      <c r="S14" s="6">
        <f t="shared" si="1"/>
        <v>5.0255000000000001E-2</v>
      </c>
      <c r="T14" s="2">
        <f t="shared" si="7"/>
        <v>0.83287671232876714</v>
      </c>
      <c r="V14" s="2">
        <f t="shared" si="8"/>
        <v>0.83835616438356164</v>
      </c>
      <c r="X14" s="9"/>
      <c r="Y14" s="9"/>
      <c r="Z14" s="9"/>
      <c r="AA14" s="9"/>
      <c r="AB14" s="9"/>
      <c r="AC14" s="9"/>
      <c r="AD14" s="9"/>
      <c r="AE14" s="9"/>
      <c r="AF14" s="9"/>
      <c r="AG14" s="9"/>
      <c r="AH14" s="9"/>
      <c r="AI14" s="9"/>
      <c r="AJ14" s="9"/>
      <c r="AK14" s="9"/>
      <c r="AL14" s="9"/>
      <c r="AM14" s="9"/>
      <c r="AN14" s="9"/>
    </row>
    <row r="15" spans="1:40" x14ac:dyDescent="0.3">
      <c r="A15" t="s">
        <v>33</v>
      </c>
      <c r="B15" t="s">
        <v>34</v>
      </c>
      <c r="D15" t="s">
        <v>44</v>
      </c>
      <c r="E15" t="s">
        <v>61</v>
      </c>
      <c r="F15">
        <v>4.9854000000000003</v>
      </c>
      <c r="H15" s="2">
        <f t="shared" si="9"/>
        <v>13</v>
      </c>
      <c r="I15" s="11">
        <f t="shared" si="2"/>
        <v>45791</v>
      </c>
      <c r="J15" s="11">
        <f t="shared" si="3"/>
        <v>45793</v>
      </c>
      <c r="K15" s="6">
        <f t="shared" si="4"/>
        <v>4.8460097552176978E-2</v>
      </c>
      <c r="L15" s="13">
        <f t="shared" si="10"/>
        <v>4.3950914234073754E-2</v>
      </c>
      <c r="M15" s="2">
        <f t="shared" si="0"/>
        <v>0.95637054349799089</v>
      </c>
      <c r="O15" s="2" t="str" cm="1">
        <f t="array" ref="O15:P15">_xlfn.TEXTSPLIT(E15," ")</f>
        <v>11</v>
      </c>
      <c r="P15" s="2" t="str">
        <v>MO</v>
      </c>
      <c r="Q15" s="2" t="str">
        <f t="shared" si="5"/>
        <v>11</v>
      </c>
      <c r="R15" s="17" t="str">
        <f t="shared" si="6"/>
        <v>MO</v>
      </c>
      <c r="S15" s="6">
        <f t="shared" si="1"/>
        <v>4.9854000000000002E-2</v>
      </c>
      <c r="T15" s="2">
        <f t="shared" si="7"/>
        <v>0.91506849315068495</v>
      </c>
      <c r="V15" s="2">
        <f t="shared" si="8"/>
        <v>0.92054794520547945</v>
      </c>
      <c r="X15" s="9"/>
      <c r="Y15" s="9"/>
      <c r="Z15" s="9"/>
      <c r="AA15" s="9"/>
      <c r="AB15" s="9"/>
      <c r="AC15" s="9"/>
      <c r="AD15" s="9"/>
      <c r="AE15" s="9"/>
      <c r="AF15" s="9"/>
      <c r="AG15" s="9"/>
      <c r="AH15" s="9"/>
      <c r="AI15" s="9"/>
      <c r="AJ15" s="9"/>
      <c r="AK15" s="9"/>
      <c r="AL15" s="9"/>
      <c r="AM15" s="9"/>
      <c r="AN15" s="9"/>
    </row>
    <row r="16" spans="1:40" x14ac:dyDescent="0.3">
      <c r="A16" t="s">
        <v>25</v>
      </c>
      <c r="B16" t="s">
        <v>26</v>
      </c>
      <c r="D16" t="s">
        <v>44</v>
      </c>
      <c r="E16" t="s">
        <v>62</v>
      </c>
      <c r="F16">
        <v>4.9413499999999999</v>
      </c>
      <c r="H16" s="2">
        <f t="shared" si="9"/>
        <v>14</v>
      </c>
      <c r="I16" s="11">
        <f t="shared" si="2"/>
        <v>45822</v>
      </c>
      <c r="J16" s="19" t="s">
        <v>97</v>
      </c>
      <c r="K16" s="6">
        <f>-LN(M16)/YEARFRAC($B$2,AC4,3)</f>
        <v>4.823143669598836E-2</v>
      </c>
      <c r="L16" s="13">
        <f>(1/(M16/1)-1)/YEARFRAC($B$2,AC4,$W$3)</f>
        <v>4.9423374372457626E-2</v>
      </c>
      <c r="M16" s="2">
        <f>AI4</f>
        <v>0.9525355408363817</v>
      </c>
      <c r="O16" s="2" t="str" cm="1">
        <f t="array" ref="O16:P16">_xlfn.TEXTSPLIT(E16," ")</f>
        <v>1</v>
      </c>
      <c r="P16" s="2" t="str">
        <v>YR</v>
      </c>
      <c r="Q16" s="2" t="str">
        <f t="shared" si="5"/>
        <v>1</v>
      </c>
      <c r="R16" s="17" t="str">
        <f t="shared" si="6"/>
        <v>YR</v>
      </c>
      <c r="S16" s="6">
        <f t="shared" si="1"/>
        <v>4.9413499999999999E-2</v>
      </c>
      <c r="X16" s="9"/>
      <c r="Y16" s="9"/>
      <c r="Z16" s="9"/>
      <c r="AA16" s="9"/>
      <c r="AB16" s="9"/>
      <c r="AC16" s="9"/>
      <c r="AD16" s="9"/>
      <c r="AE16" s="9"/>
      <c r="AF16" s="9"/>
      <c r="AG16" s="9"/>
      <c r="AH16" s="9"/>
      <c r="AI16" s="9"/>
      <c r="AJ16" s="9"/>
      <c r="AK16" s="9"/>
      <c r="AL16" s="9"/>
      <c r="AM16" s="9"/>
      <c r="AN16" s="9"/>
    </row>
    <row r="17" spans="1:40" x14ac:dyDescent="0.3">
      <c r="A17" t="s">
        <v>35</v>
      </c>
      <c r="B17" t="s">
        <v>36</v>
      </c>
      <c r="D17" t="s">
        <v>44</v>
      </c>
      <c r="E17" t="s">
        <v>63</v>
      </c>
      <c r="F17">
        <v>4.6322400000000004</v>
      </c>
      <c r="H17" s="2">
        <f t="shared" si="9"/>
        <v>15</v>
      </c>
      <c r="I17" s="11">
        <f t="shared" si="2"/>
        <v>46005</v>
      </c>
      <c r="J17" s="19"/>
      <c r="K17" s="6" t="e">
        <f>-LN(M17)/YEARFRAC($B$2,#REF!,3)</f>
        <v>#NUM!</v>
      </c>
      <c r="L17" s="13"/>
      <c r="M17" s="2"/>
      <c r="O17" s="2" t="str" cm="1">
        <f t="array" ref="O17:P17">_xlfn.TEXTSPLIT(E17," ")</f>
        <v>18</v>
      </c>
      <c r="P17" s="2" t="str">
        <v>MO</v>
      </c>
      <c r="Q17" s="2" t="str">
        <f t="shared" si="5"/>
        <v>18</v>
      </c>
      <c r="R17" s="17" t="str">
        <f t="shared" si="6"/>
        <v>MO</v>
      </c>
      <c r="S17" s="6">
        <f t="shared" si="1"/>
        <v>4.6322400000000007E-2</v>
      </c>
      <c r="X17" s="9"/>
      <c r="Y17" s="9"/>
      <c r="Z17" s="9"/>
      <c r="AA17" s="9"/>
      <c r="AB17" s="9"/>
      <c r="AC17" s="9"/>
      <c r="AD17" s="9"/>
      <c r="AE17" s="9"/>
      <c r="AF17" s="9"/>
      <c r="AG17" s="9"/>
      <c r="AH17" s="9"/>
      <c r="AI17" s="9"/>
      <c r="AJ17" s="9"/>
      <c r="AK17" s="9"/>
      <c r="AL17" s="9"/>
      <c r="AM17" s="9"/>
      <c r="AN17" s="9"/>
    </row>
    <row r="18" spans="1:40" x14ac:dyDescent="0.3">
      <c r="A18" t="s">
        <v>37</v>
      </c>
      <c r="B18" t="s">
        <v>38</v>
      </c>
      <c r="D18" t="s">
        <v>44</v>
      </c>
      <c r="E18" t="s">
        <v>64</v>
      </c>
      <c r="F18">
        <v>4.4188999999999998</v>
      </c>
      <c r="H18" s="2">
        <f t="shared" si="9"/>
        <v>16</v>
      </c>
      <c r="I18" s="11">
        <f t="shared" si="2"/>
        <v>46187</v>
      </c>
      <c r="J18" s="11"/>
      <c r="K18" s="6" t="e">
        <f t="shared" si="4"/>
        <v>#NUM!</v>
      </c>
      <c r="L18" s="2"/>
      <c r="M18" s="14"/>
      <c r="O18" s="2" t="str" cm="1">
        <f t="array" ref="O18:P18">_xlfn.TEXTSPLIT(E18," ")</f>
        <v>2</v>
      </c>
      <c r="P18" s="2" t="str">
        <v>YR</v>
      </c>
      <c r="Q18" s="2" t="str">
        <f t="shared" si="5"/>
        <v>2</v>
      </c>
      <c r="R18" s="17" t="str">
        <f t="shared" si="6"/>
        <v>YR</v>
      </c>
      <c r="S18" s="6">
        <f t="shared" si="1"/>
        <v>4.4188999999999999E-2</v>
      </c>
      <c r="X18" s="9"/>
      <c r="Y18" s="9"/>
      <c r="Z18" s="9"/>
      <c r="AA18" s="9"/>
      <c r="AB18" s="9"/>
      <c r="AC18" s="9"/>
      <c r="AD18" s="9"/>
      <c r="AE18" s="9"/>
      <c r="AF18" s="9"/>
      <c r="AG18" s="9"/>
      <c r="AH18" s="9"/>
      <c r="AI18" s="9"/>
      <c r="AJ18" s="9"/>
      <c r="AK18" s="9"/>
      <c r="AL18" s="9"/>
      <c r="AM18" s="9"/>
      <c r="AN18" s="9"/>
    </row>
    <row r="19" spans="1:40" x14ac:dyDescent="0.3">
      <c r="A19" t="s">
        <v>39</v>
      </c>
      <c r="B19" t="s">
        <v>40</v>
      </c>
      <c r="D19" t="s">
        <v>44</v>
      </c>
      <c r="E19" t="s">
        <v>65</v>
      </c>
      <c r="F19">
        <v>4.1265999999999998</v>
      </c>
      <c r="H19" s="2">
        <f t="shared" si="9"/>
        <v>17</v>
      </c>
      <c r="I19" s="11">
        <f t="shared" si="2"/>
        <v>46552</v>
      </c>
      <c r="J19" s="11"/>
      <c r="K19" s="6" t="e">
        <f t="shared" si="4"/>
        <v>#NUM!</v>
      </c>
      <c r="L19" s="2"/>
      <c r="M19" s="2"/>
      <c r="O19" s="2" t="str" cm="1">
        <f t="array" ref="O19:P19">_xlfn.TEXTSPLIT(E19," ")</f>
        <v>3</v>
      </c>
      <c r="P19" s="2" t="str">
        <v>YR</v>
      </c>
      <c r="Q19" s="2" t="str">
        <f t="shared" si="5"/>
        <v>3</v>
      </c>
      <c r="R19" s="17" t="str">
        <f t="shared" si="6"/>
        <v>YR</v>
      </c>
      <c r="S19" s="6">
        <f t="shared" si="1"/>
        <v>4.1265999999999997E-2</v>
      </c>
      <c r="X19" s="9"/>
      <c r="Y19" s="9"/>
      <c r="Z19" s="9"/>
      <c r="AA19" s="9"/>
      <c r="AB19" s="9"/>
      <c r="AC19" s="9"/>
      <c r="AD19" s="9"/>
      <c r="AE19" s="9"/>
      <c r="AF19" s="9"/>
      <c r="AG19" s="9"/>
      <c r="AH19" s="9"/>
      <c r="AI19" s="9"/>
      <c r="AJ19" s="9"/>
      <c r="AK19" s="9"/>
      <c r="AL19" s="9"/>
      <c r="AM19" s="9"/>
      <c r="AN19" s="9"/>
    </row>
    <row r="20" spans="1:40" x14ac:dyDescent="0.3">
      <c r="A20" t="s">
        <v>23</v>
      </c>
      <c r="B20" t="s">
        <v>24</v>
      </c>
      <c r="D20" t="s">
        <v>44</v>
      </c>
      <c r="E20" t="s">
        <v>66</v>
      </c>
      <c r="F20">
        <v>3.9497</v>
      </c>
      <c r="H20" s="2">
        <f t="shared" si="9"/>
        <v>18</v>
      </c>
      <c r="I20" s="11">
        <f t="shared" si="2"/>
        <v>46918</v>
      </c>
      <c r="J20" s="11"/>
      <c r="K20" s="6" t="e">
        <f t="shared" si="4"/>
        <v>#NUM!</v>
      </c>
      <c r="L20" s="2"/>
      <c r="M20" s="2"/>
      <c r="O20" s="2" t="str" cm="1">
        <f t="array" ref="O20:P20">_xlfn.TEXTSPLIT(E20," ")</f>
        <v>4</v>
      </c>
      <c r="P20" s="2" t="str">
        <v>YR</v>
      </c>
      <c r="Q20" s="2" t="str">
        <f t="shared" si="5"/>
        <v>4</v>
      </c>
      <c r="R20" s="17" t="str">
        <f t="shared" si="6"/>
        <v>YR</v>
      </c>
      <c r="S20" s="6">
        <f t="shared" si="1"/>
        <v>3.9496999999999997E-2</v>
      </c>
      <c r="X20" s="9"/>
      <c r="Y20" s="9"/>
      <c r="Z20" s="9"/>
      <c r="AA20" s="9"/>
      <c r="AB20" s="9"/>
      <c r="AC20" s="9"/>
      <c r="AD20" s="9"/>
      <c r="AE20" s="9"/>
      <c r="AF20" s="9"/>
      <c r="AG20" s="9"/>
      <c r="AH20" s="9"/>
      <c r="AI20" s="9"/>
      <c r="AJ20" s="9"/>
      <c r="AK20" s="9"/>
      <c r="AL20" s="9"/>
      <c r="AM20" s="9"/>
      <c r="AN20" s="9"/>
    </row>
    <row r="21" spans="1:40" x14ac:dyDescent="0.3">
      <c r="A21" t="s">
        <v>41</v>
      </c>
      <c r="B21">
        <v>2</v>
      </c>
      <c r="D21" t="s">
        <v>44</v>
      </c>
      <c r="E21" t="s">
        <v>67</v>
      </c>
      <c r="F21">
        <v>3.8355000000000001</v>
      </c>
      <c r="H21" s="2">
        <f t="shared" si="9"/>
        <v>19</v>
      </c>
      <c r="I21" s="11">
        <f t="shared" si="2"/>
        <v>47283</v>
      </c>
      <c r="J21" s="11"/>
      <c r="K21" s="6" t="e">
        <f t="shared" si="4"/>
        <v>#NUM!</v>
      </c>
      <c r="L21" s="2"/>
      <c r="M21" s="2"/>
      <c r="O21" s="2" t="str" cm="1">
        <f t="array" ref="O21:P21">_xlfn.TEXTSPLIT(E21," ")</f>
        <v>5</v>
      </c>
      <c r="P21" s="2" t="str">
        <v>YR</v>
      </c>
      <c r="Q21" s="2" t="str">
        <f t="shared" si="5"/>
        <v>5</v>
      </c>
      <c r="R21" s="17" t="str">
        <f t="shared" si="6"/>
        <v>YR</v>
      </c>
      <c r="S21" s="6">
        <f t="shared" si="1"/>
        <v>3.8355E-2</v>
      </c>
      <c r="X21" s="9"/>
      <c r="Y21" s="9"/>
      <c r="Z21" s="9"/>
      <c r="AA21" s="9"/>
      <c r="AB21" s="9"/>
      <c r="AC21" s="9"/>
      <c r="AD21" s="9"/>
      <c r="AE21" s="9"/>
      <c r="AF21" s="9"/>
      <c r="AG21" s="9"/>
      <c r="AH21" s="9"/>
      <c r="AI21" s="9"/>
      <c r="AJ21" s="9"/>
      <c r="AK21" s="9"/>
      <c r="AL21" s="9"/>
      <c r="AM21" s="9"/>
      <c r="AN21" s="9"/>
    </row>
    <row r="22" spans="1:40" x14ac:dyDescent="0.3">
      <c r="D22" t="s">
        <v>44</v>
      </c>
      <c r="E22" t="s">
        <v>68</v>
      </c>
      <c r="F22">
        <v>3.7685</v>
      </c>
      <c r="H22" s="2">
        <f t="shared" si="9"/>
        <v>20</v>
      </c>
      <c r="I22" s="11">
        <f t="shared" si="2"/>
        <v>47648</v>
      </c>
      <c r="J22" s="11"/>
      <c r="K22" s="6" t="e">
        <f t="shared" si="4"/>
        <v>#NUM!</v>
      </c>
      <c r="L22" s="2"/>
      <c r="M22" s="2"/>
      <c r="O22" s="2" t="str" cm="1">
        <f t="array" ref="O22:P22">_xlfn.TEXTSPLIT(E22," ")</f>
        <v>6</v>
      </c>
      <c r="P22" s="2" t="str">
        <v>YR</v>
      </c>
      <c r="Q22" s="2" t="str">
        <f t="shared" si="5"/>
        <v>6</v>
      </c>
      <c r="R22" s="17" t="str">
        <f t="shared" si="6"/>
        <v>YR</v>
      </c>
      <c r="S22" s="6">
        <f t="shared" si="1"/>
        <v>3.7685000000000003E-2</v>
      </c>
      <c r="X22" s="9"/>
      <c r="Y22" s="9"/>
      <c r="Z22" s="9"/>
      <c r="AA22" s="9"/>
      <c r="AB22" s="9"/>
      <c r="AC22" s="9"/>
      <c r="AD22" s="9"/>
      <c r="AE22" s="9"/>
      <c r="AF22" s="9"/>
      <c r="AG22" s="9"/>
      <c r="AH22" s="9"/>
      <c r="AI22" s="9"/>
      <c r="AJ22" s="9"/>
      <c r="AK22" s="9"/>
      <c r="AL22" s="9"/>
      <c r="AM22" s="9"/>
      <c r="AN22" s="9"/>
    </row>
    <row r="23" spans="1:40" x14ac:dyDescent="0.3">
      <c r="A23" s="10" t="s">
        <v>42</v>
      </c>
      <c r="D23" t="s">
        <v>44</v>
      </c>
      <c r="E23" t="s">
        <v>69</v>
      </c>
      <c r="F23">
        <v>3.7328999999999999</v>
      </c>
      <c r="H23" s="2">
        <f t="shared" si="9"/>
        <v>21</v>
      </c>
      <c r="I23" s="11">
        <f t="shared" si="2"/>
        <v>48013</v>
      </c>
      <c r="J23" s="11"/>
      <c r="K23" s="6" t="e">
        <f t="shared" si="4"/>
        <v>#NUM!</v>
      </c>
      <c r="L23" s="2"/>
      <c r="M23" s="2"/>
      <c r="O23" s="2" t="str" cm="1">
        <f t="array" ref="O23:P23">_xlfn.TEXTSPLIT(E23," ")</f>
        <v>7</v>
      </c>
      <c r="P23" s="2" t="str">
        <v>YR</v>
      </c>
      <c r="Q23" s="2" t="str">
        <f t="shared" si="5"/>
        <v>7</v>
      </c>
      <c r="R23" s="17" t="str">
        <f t="shared" si="6"/>
        <v>YR</v>
      </c>
      <c r="S23" s="6">
        <f t="shared" si="1"/>
        <v>3.7329000000000001E-2</v>
      </c>
      <c r="X23" s="9"/>
      <c r="Y23" s="9"/>
      <c r="Z23" s="9"/>
      <c r="AA23" s="9"/>
      <c r="AB23" s="9"/>
      <c r="AC23" s="9"/>
      <c r="AD23" s="9"/>
      <c r="AE23" s="9"/>
      <c r="AF23" s="9"/>
      <c r="AG23" s="9"/>
      <c r="AH23" s="9"/>
      <c r="AI23" s="9"/>
      <c r="AJ23" s="9"/>
      <c r="AK23" s="9"/>
      <c r="AL23" s="9"/>
      <c r="AM23" s="9"/>
      <c r="AN23" s="9"/>
    </row>
    <row r="24" spans="1:40" x14ac:dyDescent="0.3">
      <c r="A24" t="s">
        <v>31</v>
      </c>
      <c r="B24" t="s">
        <v>43</v>
      </c>
      <c r="D24" t="s">
        <v>44</v>
      </c>
      <c r="E24" t="s">
        <v>70</v>
      </c>
      <c r="F24">
        <v>3.7210000000000001</v>
      </c>
      <c r="H24" s="2">
        <f t="shared" si="9"/>
        <v>22</v>
      </c>
      <c r="I24" s="11">
        <f t="shared" si="2"/>
        <v>48379</v>
      </c>
      <c r="J24" s="11"/>
      <c r="K24" s="6" t="e">
        <f t="shared" si="4"/>
        <v>#NUM!</v>
      </c>
      <c r="L24" s="2"/>
      <c r="M24" s="2"/>
      <c r="O24" s="2" t="str" cm="1">
        <f t="array" ref="O24:P24">_xlfn.TEXTSPLIT(E24," ")</f>
        <v>8</v>
      </c>
      <c r="P24" s="2" t="str">
        <v>YR</v>
      </c>
      <c r="Q24" s="2" t="str">
        <f t="shared" si="5"/>
        <v>8</v>
      </c>
      <c r="R24" s="17" t="str">
        <f t="shared" si="6"/>
        <v>YR</v>
      </c>
      <c r="S24" s="6">
        <f t="shared" si="1"/>
        <v>3.721E-2</v>
      </c>
      <c r="X24" s="9"/>
      <c r="Y24" s="9"/>
      <c r="Z24" s="9"/>
      <c r="AA24" s="9"/>
      <c r="AB24" s="9"/>
      <c r="AC24" s="9"/>
      <c r="AD24" s="9"/>
      <c r="AE24" s="9"/>
      <c r="AF24" s="9"/>
      <c r="AG24" s="9"/>
      <c r="AH24" s="9"/>
      <c r="AI24" s="9"/>
      <c r="AJ24" s="9"/>
      <c r="AK24" s="9"/>
      <c r="AL24" s="9"/>
      <c r="AM24" s="9"/>
      <c r="AN24" s="9"/>
    </row>
    <row r="25" spans="1:40" x14ac:dyDescent="0.3">
      <c r="A25" t="s">
        <v>33</v>
      </c>
      <c r="B25" t="s">
        <v>34</v>
      </c>
      <c r="D25" t="s">
        <v>44</v>
      </c>
      <c r="E25" t="s">
        <v>71</v>
      </c>
      <c r="F25">
        <v>3.7225999999999999</v>
      </c>
      <c r="H25" s="2">
        <f t="shared" si="9"/>
        <v>23</v>
      </c>
      <c r="I25" s="11">
        <f t="shared" si="2"/>
        <v>48744</v>
      </c>
      <c r="J25" s="11"/>
      <c r="K25" s="6" t="e">
        <f t="shared" si="4"/>
        <v>#NUM!</v>
      </c>
      <c r="L25" s="2"/>
      <c r="M25" s="2"/>
      <c r="O25" s="2" t="str" cm="1">
        <f t="array" ref="O25:P25">_xlfn.TEXTSPLIT(E25," ")</f>
        <v>9</v>
      </c>
      <c r="P25" s="2" t="str">
        <v>YR</v>
      </c>
      <c r="Q25" s="2" t="str">
        <f t="shared" si="5"/>
        <v>9</v>
      </c>
      <c r="R25" s="17" t="str">
        <f t="shared" si="6"/>
        <v>YR</v>
      </c>
      <c r="S25" s="6">
        <f t="shared" si="1"/>
        <v>3.7226000000000002E-2</v>
      </c>
      <c r="X25" s="9"/>
      <c r="Y25" s="9"/>
      <c r="Z25" s="9"/>
      <c r="AA25" s="9"/>
      <c r="AB25" s="9"/>
      <c r="AC25" s="9"/>
      <c r="AD25" s="9"/>
      <c r="AE25" s="9"/>
      <c r="AF25" s="9"/>
      <c r="AG25" s="9"/>
      <c r="AH25" s="9"/>
      <c r="AI25" s="9"/>
      <c r="AJ25" s="9"/>
      <c r="AK25" s="9"/>
      <c r="AL25" s="9"/>
      <c r="AM25" s="9"/>
      <c r="AN25" s="9"/>
    </row>
    <row r="26" spans="1:40" x14ac:dyDescent="0.3">
      <c r="A26" t="s">
        <v>25</v>
      </c>
      <c r="B26" t="s">
        <v>26</v>
      </c>
      <c r="D26" t="s">
        <v>44</v>
      </c>
      <c r="E26" t="s">
        <v>72</v>
      </c>
      <c r="F26">
        <v>3.7377600000000002</v>
      </c>
      <c r="H26" s="2">
        <f t="shared" si="9"/>
        <v>24</v>
      </c>
      <c r="I26" s="11">
        <f t="shared" si="2"/>
        <v>49109</v>
      </c>
      <c r="J26" s="11"/>
      <c r="K26" s="6" t="e">
        <f t="shared" si="4"/>
        <v>#NUM!</v>
      </c>
      <c r="L26" s="2"/>
      <c r="M26" s="2"/>
      <c r="O26" s="2" t="str" cm="1">
        <f t="array" ref="O26:P26">_xlfn.TEXTSPLIT(E26," ")</f>
        <v>10</v>
      </c>
      <c r="P26" s="2" t="str">
        <v>YR</v>
      </c>
      <c r="Q26" s="2" t="str">
        <f t="shared" si="5"/>
        <v>10</v>
      </c>
      <c r="R26" s="17" t="str">
        <f t="shared" si="6"/>
        <v>YR</v>
      </c>
      <c r="S26" s="6">
        <f t="shared" si="1"/>
        <v>3.7377600000000004E-2</v>
      </c>
      <c r="X26" s="9"/>
      <c r="Y26" s="9"/>
      <c r="Z26" s="9"/>
      <c r="AA26" s="9"/>
      <c r="AB26" s="9"/>
      <c r="AC26" s="9"/>
      <c r="AD26" s="9"/>
      <c r="AE26" s="9"/>
      <c r="AF26" s="9"/>
      <c r="AG26" s="9"/>
      <c r="AH26" s="9"/>
      <c r="AI26" s="9"/>
      <c r="AJ26" s="9"/>
      <c r="AK26" s="9"/>
      <c r="AL26" s="9"/>
      <c r="AM26" s="9"/>
      <c r="AN26" s="9"/>
    </row>
    <row r="27" spans="1:40" x14ac:dyDescent="0.3">
      <c r="A27" t="s">
        <v>35</v>
      </c>
      <c r="B27" t="s">
        <v>36</v>
      </c>
      <c r="D27" t="s">
        <v>44</v>
      </c>
      <c r="E27" t="s">
        <v>73</v>
      </c>
      <c r="F27">
        <v>3.7777699999999999</v>
      </c>
      <c r="H27" s="2">
        <f t="shared" si="9"/>
        <v>25</v>
      </c>
      <c r="I27" s="11">
        <f t="shared" si="2"/>
        <v>49474</v>
      </c>
      <c r="J27" s="11"/>
      <c r="K27" s="6" t="e">
        <f t="shared" si="4"/>
        <v>#NUM!</v>
      </c>
      <c r="L27" s="2"/>
      <c r="M27" s="2"/>
      <c r="O27" s="2" t="str" cm="1">
        <f t="array" ref="O27:P27">_xlfn.TEXTSPLIT(E27," ")</f>
        <v>12</v>
      </c>
      <c r="P27" s="2" t="str">
        <v>YR</v>
      </c>
      <c r="Q27" s="12">
        <f>IF(Q26 &gt;$O$33,"",Q26+1)</f>
        <v>11</v>
      </c>
      <c r="R27" s="17" t="str">
        <f t="shared" si="6"/>
        <v>YR</v>
      </c>
      <c r="S27" s="6">
        <f t="shared" si="1"/>
        <v>3.7777699999999997E-2</v>
      </c>
      <c r="X27" s="9"/>
      <c r="Y27" s="9"/>
      <c r="Z27" s="9"/>
      <c r="AA27" s="9"/>
      <c r="AB27" s="9"/>
      <c r="AC27" s="9"/>
      <c r="AD27" s="9"/>
      <c r="AE27" s="9"/>
      <c r="AF27" s="9"/>
      <c r="AG27" s="9"/>
      <c r="AH27" s="9"/>
      <c r="AI27" s="9"/>
      <c r="AJ27" s="9"/>
      <c r="AK27" s="9"/>
      <c r="AL27" s="9"/>
      <c r="AM27" s="9"/>
      <c r="AN27" s="9"/>
    </row>
    <row r="28" spans="1:40" x14ac:dyDescent="0.3">
      <c r="A28" t="s">
        <v>37</v>
      </c>
      <c r="B28" t="s">
        <v>38</v>
      </c>
      <c r="D28" t="s">
        <v>44</v>
      </c>
      <c r="E28" t="s">
        <v>74</v>
      </c>
      <c r="F28">
        <v>3.8257699999999999</v>
      </c>
      <c r="H28" s="2">
        <f t="shared" si="9"/>
        <v>26</v>
      </c>
      <c r="I28" s="11">
        <f t="shared" si="2"/>
        <v>49840</v>
      </c>
      <c r="J28" s="11"/>
      <c r="K28" s="6" t="e">
        <f t="shared" si="4"/>
        <v>#NUM!</v>
      </c>
      <c r="L28" s="2"/>
      <c r="M28" s="2"/>
      <c r="O28" s="2" t="str" cm="1">
        <f t="array" ref="O28:P28">_xlfn.TEXTSPLIT(E28," ")</f>
        <v>15</v>
      </c>
      <c r="P28" s="2" t="str">
        <v>YR</v>
      </c>
      <c r="Q28" s="12">
        <f t="shared" ref="Q28:Q65" si="11">IF(Q27 &gt;$O$33,"",Q27+1)</f>
        <v>12</v>
      </c>
      <c r="R28" s="17" t="str">
        <f t="shared" si="6"/>
        <v>YR</v>
      </c>
      <c r="S28" s="6">
        <f t="shared" si="1"/>
        <v>3.8257699999999999E-2</v>
      </c>
      <c r="X28" s="9"/>
      <c r="Y28" s="9"/>
      <c r="Z28" s="9"/>
      <c r="AA28" s="9"/>
      <c r="AB28" s="9"/>
      <c r="AC28" s="9"/>
      <c r="AD28" s="9"/>
      <c r="AE28" s="9"/>
      <c r="AF28" s="9"/>
      <c r="AG28" s="9"/>
      <c r="AH28" s="9"/>
      <c r="AI28" s="9"/>
      <c r="AJ28" s="9"/>
      <c r="AK28" s="9"/>
      <c r="AL28" s="9"/>
      <c r="AM28" s="9"/>
      <c r="AN28" s="9"/>
    </row>
    <row r="29" spans="1:40" x14ac:dyDescent="0.3">
      <c r="A29" t="s">
        <v>39</v>
      </c>
      <c r="B29" t="s">
        <v>40</v>
      </c>
      <c r="D29" t="s">
        <v>44</v>
      </c>
      <c r="E29" t="s">
        <v>75</v>
      </c>
      <c r="F29">
        <v>3.8587699999999998</v>
      </c>
      <c r="H29" s="2">
        <f t="shared" si="9"/>
        <v>27</v>
      </c>
      <c r="I29" s="11">
        <f t="shared" si="2"/>
        <v>50205</v>
      </c>
      <c r="J29" s="11"/>
      <c r="K29" s="6" t="e">
        <f t="shared" si="4"/>
        <v>#NUM!</v>
      </c>
      <c r="L29" s="2"/>
      <c r="M29" s="2"/>
      <c r="O29" s="2" t="str" cm="1">
        <f t="array" ref="O29:P29">_xlfn.TEXTSPLIT(E29," ")</f>
        <v>20</v>
      </c>
      <c r="P29" s="2" t="str">
        <v>YR</v>
      </c>
      <c r="Q29" s="12">
        <f t="shared" si="11"/>
        <v>13</v>
      </c>
      <c r="R29" s="17" t="str">
        <f t="shared" si="6"/>
        <v>YR</v>
      </c>
      <c r="S29" s="6">
        <f t="shared" si="1"/>
        <v>3.8587699999999996E-2</v>
      </c>
      <c r="X29" s="9"/>
      <c r="Y29" s="9"/>
      <c r="Z29" s="9"/>
      <c r="AA29" s="9"/>
      <c r="AB29" s="9"/>
      <c r="AC29" s="9"/>
      <c r="AD29" s="9"/>
      <c r="AE29" s="9"/>
      <c r="AF29" s="9"/>
      <c r="AG29" s="9"/>
      <c r="AH29" s="9"/>
      <c r="AI29" s="9"/>
      <c r="AJ29" s="9"/>
      <c r="AK29" s="9"/>
      <c r="AL29" s="9"/>
      <c r="AM29" s="9"/>
      <c r="AN29" s="9"/>
    </row>
    <row r="30" spans="1:40" x14ac:dyDescent="0.3">
      <c r="A30" t="s">
        <v>23</v>
      </c>
      <c r="B30" t="s">
        <v>24</v>
      </c>
      <c r="D30" t="s">
        <v>44</v>
      </c>
      <c r="E30" t="s">
        <v>76</v>
      </c>
      <c r="F30">
        <v>3.8559999999999999</v>
      </c>
      <c r="H30" s="2">
        <f t="shared" si="9"/>
        <v>28</v>
      </c>
      <c r="I30" s="11">
        <f t="shared" si="2"/>
        <v>50570</v>
      </c>
      <c r="J30" s="11"/>
      <c r="K30" s="6" t="e">
        <f t="shared" si="4"/>
        <v>#NUM!</v>
      </c>
      <c r="L30" s="2"/>
      <c r="M30" s="2"/>
      <c r="O30" s="2" t="str" cm="1">
        <f t="array" ref="O30:P30">_xlfn.TEXTSPLIT(E30," ")</f>
        <v>25</v>
      </c>
      <c r="P30" s="2" t="str">
        <v>YR</v>
      </c>
      <c r="Q30" s="12">
        <f t="shared" si="11"/>
        <v>14</v>
      </c>
      <c r="R30" s="17" t="str">
        <f t="shared" si="6"/>
        <v>YR</v>
      </c>
      <c r="S30" s="6">
        <f t="shared" si="1"/>
        <v>3.8559999999999997E-2</v>
      </c>
      <c r="X30" s="9"/>
      <c r="Y30" s="9"/>
      <c r="Z30" s="9"/>
      <c r="AA30" s="9"/>
      <c r="AB30" s="9"/>
      <c r="AC30" s="9"/>
      <c r="AD30" s="9"/>
      <c r="AE30" s="9"/>
      <c r="AF30" s="9"/>
      <c r="AG30" s="9"/>
      <c r="AH30" s="9"/>
      <c r="AI30" s="9"/>
      <c r="AJ30" s="9"/>
      <c r="AK30" s="9"/>
      <c r="AL30" s="9"/>
      <c r="AM30" s="9"/>
      <c r="AN30" s="9"/>
    </row>
    <row r="31" spans="1:40" x14ac:dyDescent="0.3">
      <c r="A31" t="s">
        <v>41</v>
      </c>
      <c r="B31">
        <v>2</v>
      </c>
      <c r="D31" t="s">
        <v>44</v>
      </c>
      <c r="E31" t="s">
        <v>77</v>
      </c>
      <c r="F31">
        <v>3.82877</v>
      </c>
      <c r="H31" s="2">
        <f t="shared" si="9"/>
        <v>29</v>
      </c>
      <c r="I31" s="11">
        <f t="shared" si="2"/>
        <v>50935</v>
      </c>
      <c r="J31" s="11"/>
      <c r="K31" s="6" t="e">
        <f t="shared" si="4"/>
        <v>#NUM!</v>
      </c>
      <c r="L31" s="2"/>
      <c r="M31" s="2"/>
      <c r="O31" s="2" t="str" cm="1">
        <f t="array" ref="O31:P31">_xlfn.TEXTSPLIT(E31," ")</f>
        <v>30</v>
      </c>
      <c r="P31" s="2" t="str">
        <v>YR</v>
      </c>
      <c r="Q31" s="12">
        <f t="shared" si="11"/>
        <v>15</v>
      </c>
      <c r="R31" s="17" t="str">
        <f t="shared" si="6"/>
        <v>YR</v>
      </c>
      <c r="S31" s="6">
        <f t="shared" si="1"/>
        <v>3.8287700000000001E-2</v>
      </c>
      <c r="X31" s="9"/>
      <c r="Y31" s="9"/>
      <c r="Z31" s="9"/>
      <c r="AA31" s="9"/>
      <c r="AB31" s="9"/>
      <c r="AC31" s="9"/>
      <c r="AD31" s="9"/>
      <c r="AE31" s="9"/>
      <c r="AF31" s="9"/>
      <c r="AG31" s="9"/>
      <c r="AH31" s="9"/>
      <c r="AI31" s="9"/>
      <c r="AJ31" s="9"/>
      <c r="AK31" s="9"/>
      <c r="AL31" s="9"/>
      <c r="AM31" s="9"/>
      <c r="AN31" s="9"/>
    </row>
    <row r="32" spans="1:40" x14ac:dyDescent="0.3">
      <c r="D32" t="s">
        <v>44</v>
      </c>
      <c r="E32" t="s">
        <v>78</v>
      </c>
      <c r="F32">
        <v>3.7407699999999999</v>
      </c>
      <c r="H32" s="2">
        <f t="shared" si="9"/>
        <v>30</v>
      </c>
      <c r="I32" s="11">
        <f t="shared" si="2"/>
        <v>51301</v>
      </c>
      <c r="J32" s="11"/>
      <c r="K32" s="6" t="e">
        <f t="shared" si="4"/>
        <v>#NUM!</v>
      </c>
      <c r="L32" s="2"/>
      <c r="M32" s="2"/>
      <c r="O32" s="2" t="str" cm="1">
        <f t="array" ref="O32:P32">_xlfn.TEXTSPLIT(E32," ")</f>
        <v>40</v>
      </c>
      <c r="P32" s="2" t="str">
        <v>YR</v>
      </c>
      <c r="Q32" s="12">
        <f t="shared" si="11"/>
        <v>16</v>
      </c>
      <c r="R32" s="17" t="str">
        <f t="shared" si="6"/>
        <v>YR</v>
      </c>
      <c r="S32" s="6">
        <f t="shared" si="1"/>
        <v>3.7407700000000002E-2</v>
      </c>
      <c r="X32" s="9"/>
      <c r="Y32" s="9"/>
      <c r="Z32" s="9"/>
      <c r="AA32" s="9"/>
      <c r="AB32" s="9"/>
      <c r="AC32" s="9"/>
      <c r="AD32" s="9"/>
      <c r="AE32" s="9"/>
      <c r="AF32" s="9"/>
      <c r="AG32" s="9"/>
      <c r="AH32" s="9"/>
      <c r="AI32" s="9"/>
      <c r="AJ32" s="9"/>
      <c r="AK32" s="9"/>
      <c r="AL32" s="9"/>
      <c r="AM32" s="9"/>
      <c r="AN32" s="9"/>
    </row>
    <row r="33" spans="4:40" x14ac:dyDescent="0.3">
      <c r="D33" t="s">
        <v>44</v>
      </c>
      <c r="E33" t="s">
        <v>79</v>
      </c>
      <c r="F33">
        <v>3.6347700000000001</v>
      </c>
      <c r="H33" s="2">
        <f t="shared" si="9"/>
        <v>31</v>
      </c>
      <c r="I33" s="11">
        <f t="shared" si="2"/>
        <v>51666</v>
      </c>
      <c r="J33" s="11"/>
      <c r="K33" s="6" t="e">
        <f t="shared" si="4"/>
        <v>#NUM!</v>
      </c>
      <c r="L33" s="2"/>
      <c r="M33" s="2"/>
      <c r="O33" s="2" t="str" cm="1">
        <f t="array" ref="O33:P33">_xlfn.TEXTSPLIT(E33," ")</f>
        <v>50</v>
      </c>
      <c r="P33" s="17" t="str">
        <v>YR</v>
      </c>
      <c r="Q33" s="12">
        <f t="shared" si="11"/>
        <v>17</v>
      </c>
      <c r="R33" s="2" t="str">
        <f t="shared" si="6"/>
        <v>YR</v>
      </c>
      <c r="S33" s="6">
        <f t="shared" si="1"/>
        <v>3.6347700000000004E-2</v>
      </c>
      <c r="X33" s="9"/>
      <c r="Y33" s="9"/>
      <c r="Z33" s="9"/>
      <c r="AA33" s="9"/>
      <c r="AB33" s="9"/>
      <c r="AC33" s="9"/>
      <c r="AD33" s="9"/>
      <c r="AE33" s="9"/>
      <c r="AF33" s="9"/>
      <c r="AG33" s="9"/>
      <c r="AH33" s="9"/>
      <c r="AI33" s="9"/>
      <c r="AJ33" s="9"/>
      <c r="AK33" s="9"/>
      <c r="AL33" s="9"/>
      <c r="AM33" s="9"/>
      <c r="AN33" s="9"/>
    </row>
    <row r="34" spans="4:40" x14ac:dyDescent="0.3">
      <c r="H34" s="2">
        <f t="shared" si="9"/>
        <v>32</v>
      </c>
      <c r="I34" s="11">
        <f t="shared" si="2"/>
        <v>52031</v>
      </c>
      <c r="J34" s="11"/>
      <c r="K34" s="6" t="e">
        <f t="shared" si="4"/>
        <v>#NUM!</v>
      </c>
      <c r="L34" s="2"/>
      <c r="M34" s="2"/>
      <c r="Q34" s="12">
        <f t="shared" si="11"/>
        <v>18</v>
      </c>
      <c r="R34" s="2" t="s">
        <v>84</v>
      </c>
      <c r="X34" s="9"/>
      <c r="Y34" s="9"/>
      <c r="Z34" s="9"/>
      <c r="AA34" s="9"/>
      <c r="AB34" s="9"/>
      <c r="AC34" s="9"/>
      <c r="AD34" s="9"/>
      <c r="AE34" s="9"/>
      <c r="AF34" s="9"/>
      <c r="AG34" s="9"/>
      <c r="AH34" s="9"/>
      <c r="AI34" s="9"/>
      <c r="AJ34" s="9"/>
      <c r="AK34" s="9"/>
      <c r="AL34" s="9"/>
      <c r="AM34" s="9"/>
      <c r="AN34" s="9"/>
    </row>
    <row r="35" spans="4:40" x14ac:dyDescent="0.3">
      <c r="H35" s="2">
        <f t="shared" si="9"/>
        <v>33</v>
      </c>
      <c r="I35" s="11">
        <f t="shared" si="2"/>
        <v>52396</v>
      </c>
      <c r="J35" s="11"/>
      <c r="K35" s="6" t="e">
        <f t="shared" si="4"/>
        <v>#NUM!</v>
      </c>
      <c r="L35" s="2"/>
      <c r="M35" s="2"/>
      <c r="Q35" s="12">
        <f t="shared" si="11"/>
        <v>19</v>
      </c>
      <c r="R35" s="2" t="s">
        <v>84</v>
      </c>
      <c r="X35" s="9"/>
      <c r="Y35" s="9"/>
      <c r="Z35" s="9"/>
      <c r="AA35" s="9"/>
      <c r="AB35" s="9"/>
      <c r="AC35" s="9"/>
      <c r="AD35" s="9"/>
      <c r="AE35" s="9"/>
      <c r="AF35" s="9"/>
      <c r="AG35" s="9"/>
      <c r="AH35" s="9"/>
      <c r="AI35" s="9"/>
      <c r="AJ35" s="9"/>
      <c r="AK35" s="9"/>
      <c r="AL35" s="9"/>
      <c r="AM35" s="9"/>
      <c r="AN35" s="9"/>
    </row>
    <row r="36" spans="4:40" x14ac:dyDescent="0.3">
      <c r="H36" s="2">
        <f t="shared" si="9"/>
        <v>34</v>
      </c>
      <c r="I36" s="11">
        <f t="shared" si="2"/>
        <v>52762</v>
      </c>
      <c r="J36" s="11"/>
      <c r="K36" s="6" t="e">
        <f t="shared" si="4"/>
        <v>#NUM!</v>
      </c>
      <c r="L36" s="2"/>
      <c r="M36" s="2"/>
      <c r="Q36" s="12">
        <f t="shared" si="11"/>
        <v>20</v>
      </c>
      <c r="R36" s="2" t="s">
        <v>84</v>
      </c>
      <c r="X36" s="9"/>
      <c r="Y36" s="9"/>
      <c r="Z36" s="9"/>
      <c r="AA36" s="9"/>
      <c r="AB36" s="9"/>
      <c r="AC36" s="9"/>
      <c r="AD36" s="9"/>
      <c r="AE36" s="9"/>
      <c r="AF36" s="9"/>
      <c r="AG36" s="9"/>
      <c r="AH36" s="9"/>
      <c r="AI36" s="9"/>
      <c r="AJ36" s="9"/>
      <c r="AK36" s="9"/>
      <c r="AL36" s="9"/>
      <c r="AM36" s="9"/>
      <c r="AN36" s="9"/>
    </row>
    <row r="37" spans="4:40" x14ac:dyDescent="0.3">
      <c r="H37" s="2">
        <f t="shared" si="9"/>
        <v>35</v>
      </c>
      <c r="I37" s="11">
        <f t="shared" si="2"/>
        <v>53127</v>
      </c>
      <c r="J37" s="11"/>
      <c r="K37" s="6" t="e">
        <f t="shared" si="4"/>
        <v>#NUM!</v>
      </c>
      <c r="L37" s="2"/>
      <c r="M37" s="2"/>
      <c r="Q37" s="12">
        <f t="shared" si="11"/>
        <v>21</v>
      </c>
      <c r="R37" s="2" t="s">
        <v>84</v>
      </c>
      <c r="X37" s="9"/>
      <c r="Y37" s="9"/>
      <c r="Z37" s="9"/>
      <c r="AA37" s="9"/>
      <c r="AB37" s="9"/>
      <c r="AC37" s="9"/>
      <c r="AD37" s="9"/>
      <c r="AE37" s="9"/>
      <c r="AF37" s="9"/>
      <c r="AG37" s="9"/>
      <c r="AH37" s="9"/>
      <c r="AI37" s="9"/>
      <c r="AJ37" s="9"/>
      <c r="AK37" s="9"/>
      <c r="AL37" s="9"/>
      <c r="AM37" s="9"/>
      <c r="AN37" s="9"/>
    </row>
    <row r="38" spans="4:40" x14ac:dyDescent="0.3">
      <c r="H38" s="2">
        <f t="shared" si="9"/>
        <v>36</v>
      </c>
      <c r="I38" s="11">
        <f t="shared" si="2"/>
        <v>53492</v>
      </c>
      <c r="J38" s="11"/>
      <c r="K38" s="6" t="e">
        <f t="shared" si="4"/>
        <v>#NUM!</v>
      </c>
      <c r="L38" s="2"/>
      <c r="M38" s="2"/>
      <c r="Q38" s="12">
        <f t="shared" si="11"/>
        <v>22</v>
      </c>
      <c r="R38" s="2" t="s">
        <v>84</v>
      </c>
      <c r="X38" s="9"/>
      <c r="Y38" s="9"/>
      <c r="Z38" s="9"/>
      <c r="AA38" s="9"/>
      <c r="AB38" s="9"/>
      <c r="AC38" s="9"/>
      <c r="AD38" s="9"/>
      <c r="AE38" s="9"/>
      <c r="AF38" s="9"/>
      <c r="AG38" s="9"/>
      <c r="AH38" s="9"/>
      <c r="AI38" s="9"/>
      <c r="AJ38" s="9"/>
      <c r="AK38" s="9"/>
      <c r="AL38" s="9"/>
      <c r="AM38" s="9"/>
      <c r="AN38" s="9"/>
    </row>
    <row r="39" spans="4:40" x14ac:dyDescent="0.3">
      <c r="H39" s="2">
        <f t="shared" si="9"/>
        <v>37</v>
      </c>
      <c r="I39" s="11">
        <f t="shared" si="2"/>
        <v>53857</v>
      </c>
      <c r="J39" s="11"/>
      <c r="K39" s="6" t="e">
        <f t="shared" si="4"/>
        <v>#NUM!</v>
      </c>
      <c r="L39" s="2"/>
      <c r="M39" s="2"/>
      <c r="Q39" s="12">
        <f t="shared" si="11"/>
        <v>23</v>
      </c>
      <c r="R39" s="2" t="s">
        <v>84</v>
      </c>
      <c r="X39" s="9"/>
      <c r="Y39" s="9"/>
      <c r="Z39" s="9"/>
      <c r="AA39" s="9"/>
      <c r="AB39" s="9"/>
      <c r="AC39" s="9"/>
      <c r="AD39" s="9"/>
      <c r="AE39" s="9"/>
      <c r="AF39" s="9"/>
      <c r="AG39" s="9"/>
      <c r="AH39" s="9"/>
      <c r="AI39" s="9"/>
      <c r="AJ39" s="9"/>
      <c r="AK39" s="9"/>
      <c r="AL39" s="9"/>
      <c r="AM39" s="9"/>
      <c r="AN39" s="9"/>
    </row>
    <row r="40" spans="4:40" x14ac:dyDescent="0.3">
      <c r="H40" s="2">
        <f t="shared" si="9"/>
        <v>38</v>
      </c>
      <c r="I40" s="11">
        <f t="shared" si="2"/>
        <v>54223</v>
      </c>
      <c r="J40" s="11"/>
      <c r="K40" s="6" t="e">
        <f t="shared" si="4"/>
        <v>#NUM!</v>
      </c>
      <c r="L40" s="2"/>
      <c r="M40" s="2"/>
      <c r="Q40" s="12">
        <f t="shared" si="11"/>
        <v>24</v>
      </c>
      <c r="R40" s="2" t="s">
        <v>84</v>
      </c>
      <c r="X40" s="9"/>
      <c r="Y40" s="9"/>
      <c r="Z40" s="9"/>
      <c r="AA40" s="9"/>
      <c r="AB40" s="9"/>
      <c r="AC40" s="9"/>
      <c r="AD40" s="9"/>
      <c r="AE40" s="9"/>
      <c r="AF40" s="9"/>
      <c r="AG40" s="9"/>
      <c r="AH40" s="9"/>
      <c r="AI40" s="9"/>
      <c r="AJ40" s="9"/>
      <c r="AK40" s="9"/>
      <c r="AL40" s="9"/>
      <c r="AM40" s="9"/>
      <c r="AN40" s="9"/>
    </row>
    <row r="41" spans="4:40" x14ac:dyDescent="0.3">
      <c r="H41" s="2">
        <f t="shared" si="9"/>
        <v>39</v>
      </c>
      <c r="I41" s="11">
        <f t="shared" si="2"/>
        <v>54588</v>
      </c>
      <c r="J41" s="11"/>
      <c r="K41" s="6" t="e">
        <f t="shared" si="4"/>
        <v>#NUM!</v>
      </c>
      <c r="L41" s="2"/>
      <c r="M41" s="2"/>
      <c r="Q41" s="12">
        <f t="shared" si="11"/>
        <v>25</v>
      </c>
      <c r="R41" s="2" t="s">
        <v>84</v>
      </c>
      <c r="X41" s="9"/>
      <c r="Y41" s="9"/>
      <c r="Z41" s="9"/>
      <c r="AA41" s="9"/>
      <c r="AB41" s="9"/>
      <c r="AC41" s="9"/>
      <c r="AD41" s="9"/>
      <c r="AE41" s="9"/>
      <c r="AF41" s="9"/>
      <c r="AG41" s="9"/>
      <c r="AH41" s="9"/>
      <c r="AI41" s="9"/>
      <c r="AJ41" s="9"/>
      <c r="AK41" s="9"/>
      <c r="AL41" s="9"/>
      <c r="AM41" s="9"/>
      <c r="AN41" s="9"/>
    </row>
    <row r="42" spans="4:40" x14ac:dyDescent="0.3">
      <c r="H42" s="2">
        <f t="shared" si="9"/>
        <v>40</v>
      </c>
      <c r="I42" s="11">
        <f t="shared" si="2"/>
        <v>54953</v>
      </c>
      <c r="J42" s="11"/>
      <c r="K42" s="6" t="e">
        <f t="shared" si="4"/>
        <v>#NUM!</v>
      </c>
      <c r="L42" s="2"/>
      <c r="M42" s="2"/>
      <c r="Q42" s="12">
        <f t="shared" si="11"/>
        <v>26</v>
      </c>
      <c r="R42" s="2" t="s">
        <v>84</v>
      </c>
      <c r="X42" s="9"/>
      <c r="Y42" s="9"/>
      <c r="Z42" s="9"/>
      <c r="AA42" s="9"/>
      <c r="AB42" s="9"/>
      <c r="AC42" s="9"/>
      <c r="AD42" s="9"/>
      <c r="AE42" s="9"/>
      <c r="AF42" s="9"/>
      <c r="AG42" s="9"/>
      <c r="AH42" s="9"/>
      <c r="AI42" s="9"/>
      <c r="AJ42" s="9"/>
      <c r="AK42" s="9"/>
      <c r="AL42" s="9"/>
      <c r="AM42" s="9"/>
      <c r="AN42" s="9"/>
    </row>
    <row r="43" spans="4:40" x14ac:dyDescent="0.3">
      <c r="H43" s="2">
        <f t="shared" si="9"/>
        <v>41</v>
      </c>
      <c r="I43" s="11">
        <f t="shared" si="2"/>
        <v>55318</v>
      </c>
      <c r="J43" s="11"/>
      <c r="K43" s="6" t="e">
        <f t="shared" si="4"/>
        <v>#NUM!</v>
      </c>
      <c r="L43" s="2"/>
      <c r="M43" s="2"/>
      <c r="Q43" s="12">
        <f t="shared" si="11"/>
        <v>27</v>
      </c>
      <c r="R43" s="2" t="s">
        <v>84</v>
      </c>
      <c r="X43" s="9"/>
      <c r="Y43" s="9"/>
      <c r="Z43" s="9"/>
      <c r="AA43" s="9"/>
      <c r="AB43" s="9"/>
      <c r="AC43" s="9"/>
      <c r="AD43" s="9"/>
      <c r="AE43" s="9"/>
      <c r="AF43" s="9"/>
      <c r="AG43" s="9"/>
      <c r="AH43" s="9"/>
      <c r="AI43" s="9"/>
      <c r="AJ43" s="9"/>
      <c r="AK43" s="9"/>
      <c r="AL43" s="9"/>
      <c r="AM43" s="9"/>
      <c r="AN43" s="9"/>
    </row>
    <row r="44" spans="4:40" x14ac:dyDescent="0.3">
      <c r="H44" s="2">
        <f t="shared" si="9"/>
        <v>42</v>
      </c>
      <c r="I44" s="11">
        <f t="shared" si="2"/>
        <v>55684</v>
      </c>
      <c r="J44" s="11"/>
      <c r="K44" s="6" t="e">
        <f t="shared" si="4"/>
        <v>#NUM!</v>
      </c>
      <c r="L44" s="2"/>
      <c r="M44" s="2"/>
      <c r="Q44" s="12">
        <f t="shared" si="11"/>
        <v>28</v>
      </c>
      <c r="R44" s="2" t="s">
        <v>84</v>
      </c>
      <c r="X44" s="9"/>
      <c r="Y44" s="9"/>
      <c r="Z44" s="9"/>
      <c r="AA44" s="9"/>
      <c r="AB44" s="9"/>
      <c r="AC44" s="9"/>
      <c r="AD44" s="9"/>
      <c r="AE44" s="9"/>
      <c r="AF44" s="9"/>
      <c r="AG44" s="9"/>
      <c r="AH44" s="9"/>
      <c r="AI44" s="9"/>
      <c r="AJ44" s="9"/>
      <c r="AK44" s="9"/>
      <c r="AL44" s="9"/>
      <c r="AM44" s="9"/>
      <c r="AN44" s="9"/>
    </row>
    <row r="45" spans="4:40" x14ac:dyDescent="0.3">
      <c r="H45" s="2">
        <f t="shared" si="9"/>
        <v>43</v>
      </c>
      <c r="I45" s="11">
        <f t="shared" si="2"/>
        <v>56049</v>
      </c>
      <c r="J45" s="11"/>
      <c r="K45" s="6" t="e">
        <f t="shared" si="4"/>
        <v>#NUM!</v>
      </c>
      <c r="L45" s="2"/>
      <c r="M45" s="2"/>
      <c r="Q45" s="12">
        <f t="shared" si="11"/>
        <v>29</v>
      </c>
      <c r="R45" s="2" t="s">
        <v>84</v>
      </c>
      <c r="X45" s="9"/>
      <c r="Y45" s="9"/>
      <c r="Z45" s="9"/>
      <c r="AA45" s="9"/>
      <c r="AB45" s="9"/>
      <c r="AC45" s="9"/>
      <c r="AD45" s="9"/>
      <c r="AE45" s="9"/>
      <c r="AF45" s="9"/>
      <c r="AG45" s="9"/>
      <c r="AH45" s="9"/>
      <c r="AI45" s="9"/>
      <c r="AJ45" s="9"/>
      <c r="AK45" s="9"/>
      <c r="AL45" s="9"/>
      <c r="AM45" s="9"/>
      <c r="AN45" s="9"/>
    </row>
    <row r="46" spans="4:40" x14ac:dyDescent="0.3">
      <c r="H46" s="2">
        <f t="shared" si="9"/>
        <v>44</v>
      </c>
      <c r="I46" s="11">
        <f t="shared" si="2"/>
        <v>56414</v>
      </c>
      <c r="J46" s="11"/>
      <c r="K46" s="6" t="e">
        <f t="shared" si="4"/>
        <v>#NUM!</v>
      </c>
      <c r="L46" s="2"/>
      <c r="M46" s="2"/>
      <c r="Q46" s="12">
        <f t="shared" si="11"/>
        <v>30</v>
      </c>
      <c r="R46" s="2" t="s">
        <v>84</v>
      </c>
      <c r="X46" s="9"/>
      <c r="Y46" s="9"/>
      <c r="Z46" s="9"/>
      <c r="AA46" s="9"/>
      <c r="AB46" s="9"/>
      <c r="AC46" s="9"/>
      <c r="AD46" s="9"/>
      <c r="AE46" s="9"/>
      <c r="AF46" s="9"/>
      <c r="AG46" s="9"/>
      <c r="AH46" s="9"/>
      <c r="AI46" s="9"/>
      <c r="AJ46" s="9"/>
      <c r="AK46" s="9"/>
      <c r="AL46" s="9"/>
      <c r="AM46" s="9"/>
      <c r="AN46" s="9"/>
    </row>
    <row r="47" spans="4:40" x14ac:dyDescent="0.3">
      <c r="H47" s="2">
        <f t="shared" si="9"/>
        <v>45</v>
      </c>
      <c r="I47" s="11">
        <f t="shared" si="2"/>
        <v>56779</v>
      </c>
      <c r="J47" s="11"/>
      <c r="K47" s="6" t="e">
        <f t="shared" si="4"/>
        <v>#NUM!</v>
      </c>
      <c r="L47" s="2"/>
      <c r="M47" s="2"/>
      <c r="Q47" s="12">
        <f t="shared" si="11"/>
        <v>31</v>
      </c>
      <c r="R47" s="2" t="s">
        <v>84</v>
      </c>
      <c r="X47" s="9"/>
      <c r="Y47" s="9"/>
      <c r="Z47" s="9"/>
      <c r="AA47" s="9"/>
      <c r="AB47" s="9"/>
      <c r="AC47" s="9"/>
      <c r="AD47" s="9"/>
      <c r="AE47" s="9"/>
      <c r="AF47" s="9"/>
      <c r="AG47" s="9"/>
      <c r="AH47" s="9"/>
      <c r="AI47" s="9"/>
      <c r="AJ47" s="9"/>
      <c r="AK47" s="9"/>
      <c r="AL47" s="9"/>
      <c r="AM47" s="9"/>
      <c r="AN47" s="9"/>
    </row>
    <row r="48" spans="4:40" x14ac:dyDescent="0.3">
      <c r="H48" s="2">
        <f t="shared" si="9"/>
        <v>46</v>
      </c>
      <c r="I48" s="11">
        <f t="shared" si="2"/>
        <v>57145</v>
      </c>
      <c r="J48" s="11"/>
      <c r="K48" s="6" t="e">
        <f t="shared" si="4"/>
        <v>#NUM!</v>
      </c>
      <c r="L48" s="2"/>
      <c r="M48" s="2"/>
      <c r="Q48" s="12">
        <f t="shared" si="11"/>
        <v>32</v>
      </c>
      <c r="R48" s="2" t="s">
        <v>84</v>
      </c>
      <c r="X48" s="9"/>
      <c r="Y48" s="9"/>
      <c r="Z48" s="9"/>
      <c r="AA48" s="9"/>
      <c r="AB48" s="9"/>
      <c r="AC48" s="9"/>
      <c r="AD48" s="9"/>
      <c r="AE48" s="9"/>
      <c r="AF48" s="9"/>
      <c r="AG48" s="9"/>
      <c r="AH48" s="9"/>
      <c r="AI48" s="9"/>
      <c r="AJ48" s="9"/>
      <c r="AK48" s="9"/>
      <c r="AL48" s="9"/>
      <c r="AM48" s="9"/>
      <c r="AN48" s="9"/>
    </row>
    <row r="49" spans="8:40" x14ac:dyDescent="0.3">
      <c r="H49" s="2">
        <f t="shared" si="9"/>
        <v>47</v>
      </c>
      <c r="I49" s="11">
        <f t="shared" si="2"/>
        <v>57510</v>
      </c>
      <c r="J49" s="11"/>
      <c r="K49" s="6" t="e">
        <f t="shared" si="4"/>
        <v>#NUM!</v>
      </c>
      <c r="L49" s="2"/>
      <c r="M49" s="2"/>
      <c r="Q49" s="12">
        <f t="shared" si="11"/>
        <v>33</v>
      </c>
      <c r="R49" s="2" t="s">
        <v>84</v>
      </c>
      <c r="X49" s="9"/>
      <c r="Y49" s="9"/>
      <c r="Z49" s="9"/>
      <c r="AA49" s="9"/>
      <c r="AB49" s="9"/>
      <c r="AC49" s="9"/>
      <c r="AD49" s="9"/>
      <c r="AE49" s="9"/>
      <c r="AF49" s="9"/>
      <c r="AG49" s="9"/>
      <c r="AH49" s="9"/>
      <c r="AI49" s="9"/>
      <c r="AJ49" s="9"/>
      <c r="AK49" s="9"/>
      <c r="AL49" s="9"/>
      <c r="AM49" s="9"/>
      <c r="AN49" s="9"/>
    </row>
    <row r="50" spans="8:40" x14ac:dyDescent="0.3">
      <c r="H50" s="2">
        <f t="shared" si="9"/>
        <v>48</v>
      </c>
      <c r="I50" s="11">
        <f t="shared" si="2"/>
        <v>57875</v>
      </c>
      <c r="J50" s="11"/>
      <c r="K50" s="6" t="e">
        <f t="shared" si="4"/>
        <v>#NUM!</v>
      </c>
      <c r="L50" s="2"/>
      <c r="M50" s="2"/>
      <c r="Q50" s="12">
        <f t="shared" si="11"/>
        <v>34</v>
      </c>
      <c r="R50" s="2" t="s">
        <v>84</v>
      </c>
      <c r="X50" s="9"/>
      <c r="Y50" s="9"/>
      <c r="Z50" s="9"/>
      <c r="AA50" s="9"/>
      <c r="AB50" s="9"/>
      <c r="AC50" s="9"/>
      <c r="AD50" s="9"/>
      <c r="AE50" s="9"/>
      <c r="AF50" s="9"/>
      <c r="AG50" s="9"/>
      <c r="AH50" s="9"/>
      <c r="AI50" s="9"/>
      <c r="AJ50" s="9"/>
      <c r="AK50" s="9"/>
      <c r="AL50" s="9"/>
      <c r="AM50" s="9"/>
      <c r="AN50" s="9"/>
    </row>
    <row r="51" spans="8:40" x14ac:dyDescent="0.3">
      <c r="H51" s="2">
        <f t="shared" si="9"/>
        <v>49</v>
      </c>
      <c r="I51" s="11">
        <f t="shared" si="2"/>
        <v>58240</v>
      </c>
      <c r="J51" s="11"/>
      <c r="K51" s="6" t="e">
        <f t="shared" si="4"/>
        <v>#NUM!</v>
      </c>
      <c r="L51" s="2"/>
      <c r="M51" s="2"/>
      <c r="Q51" s="12">
        <f t="shared" si="11"/>
        <v>35</v>
      </c>
      <c r="R51" s="2" t="s">
        <v>84</v>
      </c>
      <c r="X51" s="9"/>
      <c r="Y51" s="9"/>
      <c r="Z51" s="9"/>
      <c r="AA51" s="9"/>
      <c r="AB51" s="9"/>
      <c r="AC51" s="9"/>
      <c r="AD51" s="9"/>
      <c r="AE51" s="9"/>
      <c r="AF51" s="9"/>
      <c r="AG51" s="9"/>
      <c r="AH51" s="9"/>
      <c r="AI51" s="9"/>
      <c r="AJ51" s="9"/>
      <c r="AK51" s="9"/>
      <c r="AL51" s="9"/>
      <c r="AM51" s="9"/>
      <c r="AN51" s="9"/>
    </row>
    <row r="52" spans="8:40" x14ac:dyDescent="0.3">
      <c r="H52" s="2">
        <f t="shared" si="9"/>
        <v>50</v>
      </c>
      <c r="I52" s="11">
        <f t="shared" si="2"/>
        <v>58606</v>
      </c>
      <c r="J52" s="11"/>
      <c r="K52" s="6" t="e">
        <f t="shared" si="4"/>
        <v>#NUM!</v>
      </c>
      <c r="L52" s="2"/>
      <c r="M52" s="2"/>
      <c r="Q52" s="12">
        <f t="shared" si="11"/>
        <v>36</v>
      </c>
      <c r="R52" s="2" t="s">
        <v>84</v>
      </c>
      <c r="X52" s="9"/>
      <c r="Y52" s="9"/>
      <c r="Z52" s="9"/>
      <c r="AA52" s="9"/>
      <c r="AB52" s="9"/>
      <c r="AC52" s="9"/>
      <c r="AD52" s="9"/>
      <c r="AE52" s="9"/>
      <c r="AF52" s="9"/>
      <c r="AG52" s="9"/>
      <c r="AH52" s="9"/>
      <c r="AI52" s="9"/>
      <c r="AJ52" s="9"/>
      <c r="AK52" s="9"/>
      <c r="AL52" s="9"/>
      <c r="AM52" s="9"/>
      <c r="AN52" s="9"/>
    </row>
    <row r="53" spans="8:40" x14ac:dyDescent="0.3">
      <c r="H53" s="2">
        <f t="shared" si="9"/>
        <v>51</v>
      </c>
      <c r="I53" s="11">
        <f t="shared" si="2"/>
        <v>58971</v>
      </c>
      <c r="J53" s="11"/>
      <c r="K53" s="6" t="e">
        <f t="shared" si="4"/>
        <v>#NUM!</v>
      </c>
      <c r="L53" s="2"/>
      <c r="M53" s="2"/>
      <c r="Q53" s="12">
        <f t="shared" si="11"/>
        <v>37</v>
      </c>
      <c r="R53" s="2" t="s">
        <v>84</v>
      </c>
    </row>
    <row r="54" spans="8:40" x14ac:dyDescent="0.3">
      <c r="H54" s="2">
        <f t="shared" si="9"/>
        <v>52</v>
      </c>
      <c r="I54" s="11">
        <f t="shared" si="2"/>
        <v>59336</v>
      </c>
      <c r="J54" s="11"/>
      <c r="K54" s="6" t="e">
        <f t="shared" si="4"/>
        <v>#NUM!</v>
      </c>
      <c r="L54" s="2"/>
      <c r="M54" s="2"/>
      <c r="Q54" s="12">
        <f t="shared" si="11"/>
        <v>38</v>
      </c>
      <c r="R54" s="2" t="s">
        <v>84</v>
      </c>
    </row>
    <row r="55" spans="8:40" x14ac:dyDescent="0.3">
      <c r="H55" s="2">
        <f t="shared" si="9"/>
        <v>53</v>
      </c>
      <c r="I55" s="11">
        <f t="shared" si="2"/>
        <v>59701</v>
      </c>
      <c r="J55" s="11"/>
      <c r="K55" s="6" t="e">
        <f t="shared" si="4"/>
        <v>#NUM!</v>
      </c>
      <c r="L55" s="2"/>
      <c r="M55" s="2"/>
      <c r="Q55" s="12">
        <f t="shared" si="11"/>
        <v>39</v>
      </c>
      <c r="R55" s="2" t="s">
        <v>84</v>
      </c>
    </row>
    <row r="56" spans="8:40" x14ac:dyDescent="0.3">
      <c r="H56" s="2">
        <f t="shared" si="9"/>
        <v>54</v>
      </c>
      <c r="I56" s="11">
        <f t="shared" si="2"/>
        <v>60067</v>
      </c>
      <c r="J56" s="11"/>
      <c r="K56" s="6" t="e">
        <f t="shared" si="4"/>
        <v>#NUM!</v>
      </c>
      <c r="L56" s="2"/>
      <c r="M56" s="2"/>
      <c r="Q56" s="12">
        <f t="shared" si="11"/>
        <v>40</v>
      </c>
      <c r="R56" s="2" t="s">
        <v>84</v>
      </c>
    </row>
    <row r="57" spans="8:40" x14ac:dyDescent="0.3">
      <c r="H57" s="2">
        <f t="shared" si="9"/>
        <v>55</v>
      </c>
      <c r="I57" s="11">
        <f t="shared" si="2"/>
        <v>60432</v>
      </c>
      <c r="J57" s="11"/>
      <c r="K57" s="6" t="e">
        <f t="shared" si="4"/>
        <v>#NUM!</v>
      </c>
      <c r="L57" s="2"/>
      <c r="M57" s="2"/>
      <c r="Q57" s="12">
        <f t="shared" si="11"/>
        <v>41</v>
      </c>
      <c r="R57" s="2" t="s">
        <v>84</v>
      </c>
    </row>
    <row r="58" spans="8:40" x14ac:dyDescent="0.3">
      <c r="H58" s="2">
        <f t="shared" si="9"/>
        <v>56</v>
      </c>
      <c r="I58" s="11">
        <f t="shared" si="2"/>
        <v>60797</v>
      </c>
      <c r="J58" s="11"/>
      <c r="K58" s="6" t="e">
        <f t="shared" si="4"/>
        <v>#NUM!</v>
      </c>
      <c r="L58" s="2"/>
      <c r="M58" s="2"/>
      <c r="Q58" s="12">
        <f t="shared" si="11"/>
        <v>42</v>
      </c>
      <c r="R58" s="2" t="s">
        <v>84</v>
      </c>
    </row>
    <row r="59" spans="8:40" x14ac:dyDescent="0.3">
      <c r="H59" s="2">
        <f t="shared" si="9"/>
        <v>57</v>
      </c>
      <c r="I59" s="11">
        <f t="shared" si="2"/>
        <v>61162</v>
      </c>
      <c r="J59" s="11"/>
      <c r="K59" s="6" t="e">
        <f t="shared" si="4"/>
        <v>#NUM!</v>
      </c>
      <c r="L59" s="2"/>
      <c r="M59" s="2"/>
      <c r="Q59" s="12">
        <f t="shared" si="11"/>
        <v>43</v>
      </c>
      <c r="R59" s="2" t="s">
        <v>84</v>
      </c>
    </row>
    <row r="60" spans="8:40" x14ac:dyDescent="0.3">
      <c r="H60" s="2">
        <f t="shared" si="9"/>
        <v>58</v>
      </c>
      <c r="I60" s="11">
        <f t="shared" si="2"/>
        <v>61528</v>
      </c>
      <c r="J60" s="11"/>
      <c r="K60" s="6" t="e">
        <f t="shared" si="4"/>
        <v>#NUM!</v>
      </c>
      <c r="L60" s="2"/>
      <c r="M60" s="2"/>
      <c r="Q60" s="12">
        <f t="shared" si="11"/>
        <v>44</v>
      </c>
      <c r="R60" s="2" t="s">
        <v>84</v>
      </c>
    </row>
    <row r="61" spans="8:40" x14ac:dyDescent="0.3">
      <c r="H61" s="2">
        <f t="shared" si="9"/>
        <v>59</v>
      </c>
      <c r="I61" s="11">
        <f t="shared" si="2"/>
        <v>61893</v>
      </c>
      <c r="J61" s="11"/>
      <c r="K61" s="6" t="e">
        <f t="shared" si="4"/>
        <v>#NUM!</v>
      </c>
      <c r="L61" s="2"/>
      <c r="M61" s="2"/>
      <c r="Q61" s="12">
        <f t="shared" si="11"/>
        <v>45</v>
      </c>
      <c r="R61" s="2" t="s">
        <v>84</v>
      </c>
    </row>
    <row r="62" spans="8:40" x14ac:dyDescent="0.3">
      <c r="H62" s="2">
        <f t="shared" si="9"/>
        <v>60</v>
      </c>
      <c r="I62" s="11">
        <f t="shared" si="2"/>
        <v>62258</v>
      </c>
      <c r="J62" s="11"/>
      <c r="K62" s="6" t="e">
        <f t="shared" si="4"/>
        <v>#NUM!</v>
      </c>
      <c r="L62" s="2"/>
      <c r="M62" s="2"/>
      <c r="Q62" s="12">
        <f t="shared" si="11"/>
        <v>46</v>
      </c>
      <c r="R62" s="2" t="s">
        <v>84</v>
      </c>
    </row>
    <row r="63" spans="8:40" x14ac:dyDescent="0.3">
      <c r="H63" s="2">
        <f t="shared" si="9"/>
        <v>61</v>
      </c>
      <c r="I63" s="11">
        <f t="shared" si="2"/>
        <v>62623</v>
      </c>
      <c r="J63" s="11"/>
      <c r="K63" s="6" t="e">
        <f t="shared" si="4"/>
        <v>#NUM!</v>
      </c>
      <c r="L63" s="2"/>
      <c r="M63" s="2"/>
      <c r="Q63" s="12">
        <f t="shared" si="11"/>
        <v>47</v>
      </c>
      <c r="R63" s="2" t="s">
        <v>84</v>
      </c>
    </row>
    <row r="64" spans="8:40" x14ac:dyDescent="0.3">
      <c r="H64" s="2">
        <f t="shared" si="9"/>
        <v>62</v>
      </c>
      <c r="I64" s="11">
        <f t="shared" si="2"/>
        <v>62989</v>
      </c>
      <c r="J64" s="11"/>
      <c r="K64" s="6" t="e">
        <f t="shared" si="4"/>
        <v>#NUM!</v>
      </c>
      <c r="L64" s="2"/>
      <c r="M64" s="2"/>
      <c r="Q64" s="12">
        <f t="shared" si="11"/>
        <v>48</v>
      </c>
      <c r="R64" s="2" t="s">
        <v>84</v>
      </c>
    </row>
    <row r="65" spans="8:18" x14ac:dyDescent="0.3">
      <c r="H65" s="2">
        <f t="shared" si="9"/>
        <v>63</v>
      </c>
      <c r="I65" s="11">
        <f t="shared" si="2"/>
        <v>63354</v>
      </c>
      <c r="J65" s="11"/>
      <c r="K65" s="6" t="e">
        <f t="shared" si="4"/>
        <v>#NUM!</v>
      </c>
      <c r="L65" s="2"/>
      <c r="M65" s="2"/>
      <c r="Q65" s="12">
        <f t="shared" si="11"/>
        <v>49</v>
      </c>
      <c r="R65" s="2" t="s">
        <v>84</v>
      </c>
    </row>
    <row r="66" spans="8:18" x14ac:dyDescent="0.3">
      <c r="H66" s="2">
        <f t="shared" si="9"/>
        <v>64</v>
      </c>
      <c r="I66" s="11">
        <f t="shared" si="2"/>
        <v>63719</v>
      </c>
      <c r="J66" s="11"/>
      <c r="K66" s="6" t="e">
        <f t="shared" si="4"/>
        <v>#NUM!</v>
      </c>
      <c r="L66" s="2"/>
      <c r="M66" s="2"/>
      <c r="Q66" s="12">
        <f>IF(Q65+1 &gt;$O$33,"",Q65+1)</f>
        <v>50</v>
      </c>
      <c r="R66" s="2" t="s">
        <v>84</v>
      </c>
    </row>
  </sheetData>
  <mergeCells count="10">
    <mergeCell ref="Y1:AM1"/>
    <mergeCell ref="H1:M1"/>
    <mergeCell ref="O2:P2"/>
    <mergeCell ref="Q2:R2"/>
    <mergeCell ref="A1:B1"/>
    <mergeCell ref="A4:B4"/>
    <mergeCell ref="A11:B11"/>
    <mergeCell ref="A7:B7"/>
    <mergeCell ref="D1:F1"/>
    <mergeCell ref="O1:W1"/>
  </mergeCells>
  <phoneticPr fontId="2"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Bond Bootstrapping &gt;&gt;</vt:lpstr>
      <vt:lpstr>KRW KTB</vt:lpstr>
      <vt:lpstr>USD SOFR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성구 김</dc:creator>
  <cp:lastModifiedBy>성구 김</cp:lastModifiedBy>
  <dcterms:created xsi:type="dcterms:W3CDTF">2024-06-17T12:04:15Z</dcterms:created>
  <dcterms:modified xsi:type="dcterms:W3CDTF">2024-06-19T13:18:09Z</dcterms:modified>
</cp:coreProperties>
</file>