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VD\Input_data\"/>
    </mc:Choice>
  </mc:AlternateContent>
  <bookViews>
    <workbookView xWindow="0" yWindow="0" windowWidth="28800" windowHeight="12300"/>
  </bookViews>
  <sheets>
    <sheet name="Test scenarios" sheetId="1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1" l="1"/>
  <c r="C63" i="11"/>
  <c r="E109" i="11"/>
  <c r="E42" i="11"/>
  <c r="BL10" i="11" l="1"/>
  <c r="BM10" i="11" s="1"/>
  <c r="BL7" i="11"/>
  <c r="BM7" i="11" s="1"/>
  <c r="A134" i="11"/>
  <c r="BL6" i="11"/>
  <c r="BM6" i="11" s="1"/>
  <c r="E135" i="11"/>
  <c r="BL5" i="11"/>
  <c r="BM5" i="11" s="1"/>
  <c r="Q14" i="11" l="1"/>
  <c r="V21" i="11"/>
  <c r="S20" i="11"/>
  <c r="T20" i="11"/>
  <c r="U20" i="11"/>
  <c r="V20" i="11"/>
  <c r="R20" i="11"/>
  <c r="V19" i="11"/>
  <c r="T18" i="11"/>
  <c r="V18" i="11"/>
  <c r="S17" i="11"/>
  <c r="T17" i="11"/>
  <c r="U17" i="11"/>
  <c r="V17" i="11"/>
  <c r="R17" i="11"/>
  <c r="S16" i="11"/>
  <c r="T16" i="11"/>
  <c r="U16" i="11"/>
  <c r="V16" i="11"/>
  <c r="R16" i="11"/>
  <c r="BL4" i="11"/>
  <c r="BM4" i="11" s="1"/>
  <c r="N13" i="11" l="1"/>
  <c r="N12" i="11"/>
  <c r="N11" i="11"/>
  <c r="AG18" i="11"/>
  <c r="AE18" i="11"/>
  <c r="AG17" i="11"/>
  <c r="AE17" i="11"/>
  <c r="AC17" i="11"/>
  <c r="AA17" i="11"/>
  <c r="AG16" i="11"/>
  <c r="AE16" i="11"/>
  <c r="AC16" i="11"/>
  <c r="AA16" i="11"/>
  <c r="B157" i="11"/>
  <c r="B155" i="11"/>
  <c r="C32" i="11"/>
  <c r="D32" i="11"/>
  <c r="B32" i="11"/>
  <c r="H33" i="11"/>
  <c r="I33" i="11"/>
  <c r="G33" i="11"/>
  <c r="W50" i="11"/>
  <c r="M36" i="11"/>
  <c r="N36" i="11"/>
  <c r="O36" i="11"/>
  <c r="O11" i="11" l="1"/>
  <c r="L36" i="11"/>
  <c r="H83" i="11"/>
  <c r="E73" i="11"/>
  <c r="B72" i="11"/>
  <c r="AC69" i="11"/>
  <c r="AB73" i="11" s="1"/>
  <c r="AB72" i="11" s="1"/>
  <c r="Z77" i="11"/>
  <c r="R76" i="11"/>
  <c r="Q72" i="11"/>
  <c r="R72" i="11"/>
  <c r="S72" i="11"/>
  <c r="T72" i="11"/>
  <c r="U72" i="11"/>
  <c r="V72" i="11"/>
  <c r="W72" i="11"/>
  <c r="X72" i="11"/>
  <c r="Y72" i="11"/>
  <c r="Z72" i="11"/>
  <c r="AD72" i="11"/>
  <c r="AE72" i="11"/>
  <c r="AF72" i="11"/>
  <c r="AF73" i="11"/>
  <c r="AE73" i="11"/>
  <c r="AD73" i="11"/>
  <c r="AA73" i="11"/>
  <c r="AA72" i="11" s="1"/>
  <c r="AC73" i="11" l="1"/>
  <c r="AC72" i="11" s="1"/>
  <c r="R73" i="11" l="1"/>
  <c r="S73" i="11"/>
  <c r="T73" i="11"/>
  <c r="U73" i="11"/>
  <c r="V73" i="11"/>
  <c r="W73" i="11"/>
  <c r="X73" i="11"/>
  <c r="Y73" i="11"/>
  <c r="Z73" i="11"/>
  <c r="Q73" i="11"/>
  <c r="R70" i="11"/>
  <c r="P72" i="11"/>
  <c r="O73" i="11" l="1"/>
  <c r="O72" i="11" s="1"/>
  <c r="D135" i="11"/>
  <c r="W123" i="11" l="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22" i="11"/>
  <c r="E22" i="11" l="1"/>
  <c r="E21" i="11" s="1"/>
  <c r="N22" i="11"/>
  <c r="O21" i="11"/>
  <c r="M22" i="11"/>
  <c r="L22" i="11"/>
  <c r="K22" i="11"/>
  <c r="O17" i="11"/>
  <c r="O18" i="11"/>
  <c r="O19" i="11"/>
  <c r="O20" i="11"/>
  <c r="O16" i="11"/>
  <c r="O22" i="11" l="1"/>
  <c r="BL9" i="11" l="1"/>
  <c r="BM9" i="11" s="1"/>
  <c r="AB40" i="11" l="1"/>
  <c r="T40" i="11"/>
  <c r="L40" i="11"/>
  <c r="E40" i="11"/>
  <c r="L57" i="11"/>
  <c r="L58" i="11"/>
  <c r="R59" i="11"/>
  <c r="R58" i="11"/>
  <c r="R57" i="11"/>
  <c r="P59" i="11"/>
  <c r="P58" i="11"/>
  <c r="P57" i="11"/>
  <c r="H115" i="11" s="1"/>
  <c r="N58" i="11"/>
  <c r="N57" i="11"/>
  <c r="B135" i="11"/>
  <c r="C135" i="11"/>
  <c r="E105" i="11" l="1"/>
  <c r="S56" i="11"/>
  <c r="W32" i="11"/>
  <c r="X24" i="11" s="1"/>
  <c r="H38" i="11"/>
  <c r="O38" i="11"/>
  <c r="X38" i="11"/>
  <c r="X31" i="11" l="1"/>
  <c r="X27" i="11"/>
  <c r="X25" i="11"/>
  <c r="X30" i="11"/>
  <c r="X29" i="11"/>
  <c r="X28" i="11"/>
  <c r="X26" i="11"/>
  <c r="X32" i="11"/>
  <c r="E11" i="11"/>
  <c r="F11" i="11"/>
  <c r="G11" i="11"/>
  <c r="H11" i="11"/>
  <c r="D11" i="11"/>
  <c r="G60" i="11" l="1"/>
  <c r="F60" i="11"/>
  <c r="E60" i="11"/>
  <c r="D60" i="11"/>
  <c r="C60" i="11"/>
  <c r="C58" i="11"/>
  <c r="D58" i="11"/>
  <c r="E58" i="11"/>
  <c r="F58" i="11"/>
  <c r="G58" i="11"/>
  <c r="D56" i="11"/>
  <c r="E56" i="11"/>
  <c r="F56" i="11"/>
  <c r="G56" i="11"/>
  <c r="C56" i="11"/>
  <c r="D54" i="11"/>
  <c r="E54" i="11"/>
  <c r="F54" i="11"/>
  <c r="C54" i="11"/>
  <c r="G53" i="11"/>
  <c r="W49" i="11"/>
  <c r="BL8" i="11" l="1"/>
  <c r="BM8" i="11" s="1"/>
  <c r="E16" i="11" l="1"/>
  <c r="C22" i="11"/>
  <c r="D22" i="11"/>
  <c r="B22" i="11"/>
  <c r="Y42" i="11" l="1"/>
  <c r="AB42" i="11" s="1"/>
  <c r="Y43" i="11"/>
  <c r="C16" i="11"/>
  <c r="C21" i="11"/>
  <c r="D16" i="11"/>
  <c r="D21" i="11"/>
  <c r="B20" i="11"/>
  <c r="C43" i="11" s="1"/>
  <c r="F43" i="11" s="1"/>
  <c r="B21" i="11"/>
  <c r="B16" i="11"/>
  <c r="B19" i="11"/>
  <c r="C19" i="11"/>
  <c r="E17" i="11"/>
  <c r="E19" i="11"/>
  <c r="C17" i="11"/>
  <c r="C18" i="11"/>
  <c r="D18" i="11"/>
  <c r="S47" i="11" s="1"/>
  <c r="E18" i="11"/>
  <c r="D17" i="11"/>
  <c r="R50" i="11" s="1"/>
  <c r="V50" i="11" s="1"/>
  <c r="C20" i="11"/>
  <c r="B17" i="11"/>
  <c r="D19" i="11"/>
  <c r="B18" i="11"/>
  <c r="D20" i="11"/>
  <c r="Q50" i="11" s="1"/>
  <c r="U50" i="11" s="1"/>
  <c r="E20" i="11"/>
  <c r="AA42" i="11" l="1"/>
  <c r="AA43" i="11"/>
  <c r="AD43" i="11" s="1"/>
  <c r="E31" i="11"/>
  <c r="E28" i="11"/>
  <c r="F87" i="11" s="1"/>
  <c r="E27" i="11"/>
  <c r="F86" i="11" s="1"/>
  <c r="E29" i="11"/>
  <c r="F88" i="11" s="1"/>
  <c r="E30" i="11"/>
  <c r="P43" i="11"/>
  <c r="T43" i="11" s="1"/>
  <c r="P50" i="11"/>
  <c r="P36" i="11"/>
  <c r="P34" i="11"/>
  <c r="P27" i="11"/>
  <c r="F91" i="11" s="1"/>
  <c r="P30" i="11"/>
  <c r="P33" i="11"/>
  <c r="P35" i="11"/>
  <c r="P28" i="11"/>
  <c r="F92" i="11" s="1"/>
  <c r="P29" i="11"/>
  <c r="P31" i="11"/>
  <c r="P32" i="11"/>
  <c r="Z42" i="11"/>
  <c r="B103" i="11" s="1"/>
  <c r="D103" i="11" s="1"/>
  <c r="B154" i="11" s="1"/>
  <c r="Z43" i="11"/>
  <c r="AC43" i="11" s="1"/>
  <c r="I46" i="11"/>
  <c r="L46" i="11" s="1"/>
  <c r="J30" i="11"/>
  <c r="J28" i="11"/>
  <c r="F90" i="11" s="1"/>
  <c r="J31" i="11"/>
  <c r="J32" i="11"/>
  <c r="J27" i="11"/>
  <c r="F89" i="11" s="1"/>
  <c r="J29" i="11"/>
  <c r="F93" i="11" s="1"/>
  <c r="P48" i="11"/>
  <c r="T48" i="11" s="1"/>
  <c r="P42" i="11"/>
  <c r="T42" i="11" s="1"/>
  <c r="U28" i="11"/>
  <c r="U27" i="11"/>
  <c r="AB43" i="11"/>
  <c r="F21" i="11"/>
  <c r="P44" i="11"/>
  <c r="T44" i="11" s="1"/>
  <c r="C44" i="11"/>
  <c r="F44" i="11" s="1"/>
  <c r="P47" i="11"/>
  <c r="T47" i="11" s="1"/>
  <c r="I42" i="11"/>
  <c r="L42" i="11" s="1"/>
  <c r="I37" i="11"/>
  <c r="I43" i="11"/>
  <c r="L43" i="11" s="1"/>
  <c r="F16" i="11"/>
  <c r="P46" i="11"/>
  <c r="T46" i="11" s="1"/>
  <c r="I44" i="11"/>
  <c r="I47" i="11"/>
  <c r="L47" i="11" s="1"/>
  <c r="I45" i="11"/>
  <c r="L45" i="11" s="1"/>
  <c r="P45" i="11"/>
  <c r="C42" i="11"/>
  <c r="C46" i="11"/>
  <c r="F46" i="11" s="1"/>
  <c r="P49" i="11"/>
  <c r="T49" i="11" s="1"/>
  <c r="C45" i="11"/>
  <c r="F45" i="11" s="1"/>
  <c r="S48" i="11"/>
  <c r="S42" i="11"/>
  <c r="S43" i="11"/>
  <c r="W43" i="11" s="1"/>
  <c r="S44" i="11"/>
  <c r="W44" i="11" s="1"/>
  <c r="S45" i="11"/>
  <c r="W45" i="11" s="1"/>
  <c r="S46" i="11"/>
  <c r="B46" i="11"/>
  <c r="B43" i="11"/>
  <c r="B42" i="11"/>
  <c r="B44" i="11"/>
  <c r="B45" i="11"/>
  <c r="Q49" i="11"/>
  <c r="U49" i="11" s="1"/>
  <c r="Q42" i="11"/>
  <c r="Q44" i="11"/>
  <c r="U44" i="11" s="1"/>
  <c r="Q45" i="11"/>
  <c r="U45" i="11" s="1"/>
  <c r="Q46" i="11"/>
  <c r="U46" i="11" s="1"/>
  <c r="Q43" i="11"/>
  <c r="U43" i="11" s="1"/>
  <c r="Q47" i="11"/>
  <c r="U47" i="11" s="1"/>
  <c r="Q48" i="11"/>
  <c r="U48" i="11" s="1"/>
  <c r="D43" i="11"/>
  <c r="G43" i="11" s="1"/>
  <c r="D45" i="11"/>
  <c r="G45" i="11" s="1"/>
  <c r="D44" i="11"/>
  <c r="G44" i="11" s="1"/>
  <c r="D42" i="11"/>
  <c r="D46" i="11"/>
  <c r="G46" i="11" s="1"/>
  <c r="K42" i="11"/>
  <c r="K43" i="11"/>
  <c r="N43" i="11" s="1"/>
  <c r="K47" i="11"/>
  <c r="N47" i="11" s="1"/>
  <c r="K44" i="11"/>
  <c r="N44" i="11" s="1"/>
  <c r="K45" i="11"/>
  <c r="N45" i="11" s="1"/>
  <c r="K46" i="11"/>
  <c r="N46" i="11" s="1"/>
  <c r="AD42" i="11"/>
  <c r="J44" i="11"/>
  <c r="M44" i="11" s="1"/>
  <c r="J45" i="11"/>
  <c r="M45" i="11" s="1"/>
  <c r="J42" i="11"/>
  <c r="J46" i="11"/>
  <c r="M46" i="11" s="1"/>
  <c r="J47" i="11"/>
  <c r="M47" i="11" s="1"/>
  <c r="J43" i="11"/>
  <c r="M43" i="11" s="1"/>
  <c r="R48" i="11"/>
  <c r="V48" i="11" s="1"/>
  <c r="R49" i="11"/>
  <c r="V49" i="11" s="1"/>
  <c r="R42" i="11"/>
  <c r="R43" i="11"/>
  <c r="V43" i="11" s="1"/>
  <c r="R44" i="11"/>
  <c r="V44" i="11" s="1"/>
  <c r="R45" i="11"/>
  <c r="V45" i="11" s="1"/>
  <c r="R46" i="11"/>
  <c r="V46" i="11" s="1"/>
  <c r="R47" i="11"/>
  <c r="V47" i="11" s="1"/>
  <c r="F20" i="11"/>
  <c r="F18" i="11"/>
  <c r="F17" i="11"/>
  <c r="F19" i="11"/>
  <c r="Y45" i="11" l="1"/>
  <c r="AA38" i="11"/>
  <c r="Z38" i="11"/>
  <c r="AC42" i="11"/>
  <c r="Y44" i="11" s="1"/>
  <c r="U29" i="11"/>
  <c r="G17" i="11"/>
  <c r="F42" i="11"/>
  <c r="F38" i="11" s="1"/>
  <c r="G20" i="11"/>
  <c r="P52" i="11"/>
  <c r="E32" i="11"/>
  <c r="P37" i="11"/>
  <c r="J33" i="11"/>
  <c r="B109" i="11"/>
  <c r="D109" i="11" s="1"/>
  <c r="G16" i="11"/>
  <c r="B107" i="11"/>
  <c r="D107" i="11" s="1"/>
  <c r="T50" i="11"/>
  <c r="E107" i="11" s="1"/>
  <c r="P38" i="11"/>
  <c r="T45" i="11"/>
  <c r="T38" i="11" s="1"/>
  <c r="I38" i="11"/>
  <c r="L44" i="11"/>
  <c r="E93" i="11" s="1"/>
  <c r="C38" i="11"/>
  <c r="B89" i="11"/>
  <c r="D89" i="11" s="1"/>
  <c r="B159" i="11" s="1"/>
  <c r="E97" i="11"/>
  <c r="B91" i="11"/>
  <c r="D91" i="11" s="1"/>
  <c r="B161" i="11" s="1"/>
  <c r="B108" i="11"/>
  <c r="D108" i="11" s="1"/>
  <c r="B102" i="11"/>
  <c r="D102" i="11" s="1"/>
  <c r="B153" i="11" s="1"/>
  <c r="B86" i="11"/>
  <c r="D86" i="11" s="1"/>
  <c r="E43" i="11"/>
  <c r="E87" i="11" s="1"/>
  <c r="B87" i="11"/>
  <c r="D87" i="11" s="1"/>
  <c r="B156" i="11" s="1"/>
  <c r="B96" i="11"/>
  <c r="D96" i="11" s="1"/>
  <c r="B147" i="11" s="1"/>
  <c r="I49" i="11"/>
  <c r="E44" i="11"/>
  <c r="E88" i="11" s="1"/>
  <c r="B88" i="11"/>
  <c r="D88" i="11" s="1"/>
  <c r="B158" i="11" s="1"/>
  <c r="E46" i="11"/>
  <c r="E95" i="11" s="1"/>
  <c r="B95" i="11"/>
  <c r="D95" i="11" s="1"/>
  <c r="B146" i="11" s="1"/>
  <c r="B106" i="11"/>
  <c r="D106" i="11" s="1"/>
  <c r="B92" i="11"/>
  <c r="D92" i="11" s="1"/>
  <c r="B162" i="11" s="1"/>
  <c r="B98" i="11"/>
  <c r="D98" i="11" s="1"/>
  <c r="B101" i="11"/>
  <c r="D101" i="11" s="1"/>
  <c r="B152" i="11" s="1"/>
  <c r="B99" i="11"/>
  <c r="D99" i="11" s="1"/>
  <c r="B150" i="11" s="1"/>
  <c r="B93" i="11"/>
  <c r="D93" i="11" s="1"/>
  <c r="B163" i="11" s="1"/>
  <c r="B90" i="11"/>
  <c r="D90" i="11" s="1"/>
  <c r="B100" i="11"/>
  <c r="D100" i="11" s="1"/>
  <c r="B151" i="11" s="1"/>
  <c r="E45" i="11"/>
  <c r="E94" i="11" s="1"/>
  <c r="B94" i="11"/>
  <c r="D94" i="11" s="1"/>
  <c r="B164" i="11" s="1"/>
  <c r="B97" i="11"/>
  <c r="D97" i="11" s="1"/>
  <c r="E96" i="11"/>
  <c r="E90" i="11"/>
  <c r="E108" i="11"/>
  <c r="E106" i="11"/>
  <c r="E92" i="11"/>
  <c r="E98" i="11"/>
  <c r="S38" i="11"/>
  <c r="W42" i="11"/>
  <c r="B38" i="11"/>
  <c r="B48" i="11"/>
  <c r="R38" i="11"/>
  <c r="V42" i="11"/>
  <c r="V38" i="11" s="1"/>
  <c r="J38" i="11"/>
  <c r="M42" i="11"/>
  <c r="M38" i="11" s="1"/>
  <c r="D38" i="11"/>
  <c r="G42" i="11"/>
  <c r="G38" i="11" s="1"/>
  <c r="Q38" i="11"/>
  <c r="U42" i="11"/>
  <c r="U38" i="11" s="1"/>
  <c r="K38" i="11"/>
  <c r="N42" i="11"/>
  <c r="N38" i="11" s="1"/>
  <c r="W47" i="11"/>
  <c r="E101" i="11" s="1"/>
  <c r="G18" i="11"/>
  <c r="W46" i="11"/>
  <c r="W48" i="11"/>
  <c r="E102" i="11" s="1"/>
  <c r="E103" i="11" l="1"/>
  <c r="Y38" i="11"/>
  <c r="E86" i="11"/>
  <c r="L38" i="11"/>
  <c r="F108" i="11"/>
  <c r="B160" i="11"/>
  <c r="B145" i="11"/>
  <c r="F106" i="11"/>
  <c r="B148" i="11"/>
  <c r="F107" i="11"/>
  <c r="F109" i="11"/>
  <c r="B149" i="11"/>
  <c r="P51" i="11"/>
  <c r="E99" i="11"/>
  <c r="AB38" i="11"/>
  <c r="AC38" i="11"/>
  <c r="AD38" i="11"/>
  <c r="E91" i="11"/>
  <c r="E89" i="11"/>
  <c r="W38" i="11"/>
  <c r="E100" i="11"/>
  <c r="B47" i="11"/>
  <c r="E38" i="11"/>
  <c r="G22" i="11"/>
  <c r="I48" i="11"/>
  <c r="D120" i="11" l="1"/>
  <c r="B168" i="11"/>
  <c r="G23" i="11"/>
  <c r="E110" i="11"/>
  <c r="E114" i="11"/>
  <c r="H118" i="11"/>
  <c r="B50" i="11"/>
  <c r="B65" i="11" s="1"/>
  <c r="E115" i="11" l="1"/>
  <c r="H112" i="11"/>
  <c r="H114" i="11"/>
  <c r="H117" i="11"/>
  <c r="H111" i="11"/>
  <c r="H116" i="11"/>
  <c r="H113" i="11"/>
  <c r="C136" i="11"/>
  <c r="C137" i="11" s="1"/>
  <c r="C138" i="11" s="1"/>
  <c r="E113" i="11"/>
  <c r="E116" i="11"/>
  <c r="E112" i="11"/>
  <c r="B136" i="11"/>
  <c r="B137" i="11" s="1"/>
  <c r="B138" i="11" s="1"/>
  <c r="D136" i="11"/>
  <c r="D137" i="11" s="1"/>
  <c r="D138" i="11" s="1"/>
  <c r="E136" i="11"/>
  <c r="E137" i="11" s="1"/>
  <c r="E138" i="11" s="1"/>
  <c r="E111" i="11"/>
  <c r="E117" i="11"/>
  <c r="E65" i="11"/>
  <c r="L70" i="11" s="1"/>
  <c r="H108" i="11" s="1"/>
  <c r="C65" i="11"/>
  <c r="F72" i="11" s="1"/>
  <c r="H97" i="11" s="1"/>
  <c r="D65" i="11"/>
  <c r="I82" i="11" s="1"/>
  <c r="H104" i="11" s="1"/>
  <c r="J116" i="11" l="1"/>
  <c r="E120" i="11"/>
  <c r="J102" i="11"/>
  <c r="J89" i="11"/>
  <c r="I76" i="11"/>
  <c r="H100" i="11" s="1"/>
  <c r="I77" i="11"/>
  <c r="H101" i="11" s="1"/>
  <c r="J101" i="11"/>
  <c r="I80" i="11"/>
  <c r="H105" i="11" s="1"/>
  <c r="J88" i="11"/>
  <c r="J90" i="11"/>
  <c r="I74" i="11"/>
  <c r="H98" i="11" s="1"/>
  <c r="J100" i="11"/>
  <c r="J97" i="11"/>
  <c r="I75" i="11"/>
  <c r="H99" i="11" s="1"/>
  <c r="J104" i="11"/>
  <c r="I71" i="11"/>
  <c r="H88" i="11" s="1"/>
  <c r="I72" i="11"/>
  <c r="H89" i="11" s="1"/>
  <c r="J86" i="11"/>
  <c r="J98" i="11"/>
  <c r="J103" i="11"/>
  <c r="I70" i="11"/>
  <c r="H87" i="11" s="1"/>
  <c r="I78" i="11"/>
  <c r="H102" i="11" s="1"/>
  <c r="J87" i="11"/>
  <c r="I79" i="11"/>
  <c r="H103" i="11" s="1"/>
  <c r="I81" i="11"/>
  <c r="H106" i="11" s="1"/>
  <c r="J99" i="11"/>
  <c r="I73" i="11"/>
  <c r="H90" i="11" s="1"/>
  <c r="I69" i="11"/>
  <c r="H86" i="11" s="1"/>
  <c r="J92" i="11"/>
  <c r="C71" i="11"/>
  <c r="H93" i="11" s="1"/>
  <c r="J93" i="11"/>
  <c r="J91" i="11"/>
  <c r="C70" i="11"/>
  <c r="H92" i="11" s="1"/>
  <c r="C69" i="11"/>
  <c r="H91" i="11" s="1"/>
  <c r="J95" i="11"/>
  <c r="J96" i="11"/>
  <c r="F71" i="11"/>
  <c r="H96" i="11" s="1"/>
  <c r="J94" i="11"/>
  <c r="F69" i="11"/>
  <c r="H94" i="11" s="1"/>
  <c r="F70" i="11"/>
  <c r="H95" i="11" s="1"/>
  <c r="J105" i="11"/>
  <c r="L69" i="11"/>
  <c r="H107" i="11" s="1"/>
  <c r="H120" i="11" l="1"/>
  <c r="B75" i="11"/>
  <c r="B74" i="11"/>
</calcChain>
</file>

<file path=xl/sharedStrings.xml><?xml version="1.0" encoding="utf-8"?>
<sst xmlns="http://schemas.openxmlformats.org/spreadsheetml/2006/main" count="655" uniqueCount="251">
  <si>
    <t>g19</t>
  </si>
  <si>
    <t>g20</t>
  </si>
  <si>
    <t>Name</t>
  </si>
  <si>
    <t>Load</t>
  </si>
  <si>
    <t>Generation</t>
  </si>
  <si>
    <t>g06</t>
  </si>
  <si>
    <t>g07</t>
  </si>
  <si>
    <t>g13 (CS)</t>
  </si>
  <si>
    <t>g14</t>
  </si>
  <si>
    <t>g15</t>
  </si>
  <si>
    <t>g16</t>
  </si>
  <si>
    <t>g17</t>
  </si>
  <si>
    <t>g18</t>
  </si>
  <si>
    <t>g01</t>
  </si>
  <si>
    <t>g02</t>
  </si>
  <si>
    <t>g03</t>
  </si>
  <si>
    <t>g04</t>
  </si>
  <si>
    <t>g05</t>
  </si>
  <si>
    <t>g08</t>
  </si>
  <si>
    <t>g09</t>
  </si>
  <si>
    <t>g10</t>
  </si>
  <si>
    <t>g11</t>
  </si>
  <si>
    <t>g12</t>
  </si>
  <si>
    <t>Nordic 32</t>
  </si>
  <si>
    <t>Nordic</t>
  </si>
  <si>
    <t>P_act</t>
  </si>
  <si>
    <t>Loading</t>
  </si>
  <si>
    <t>Sum</t>
  </si>
  <si>
    <t>MW</t>
  </si>
  <si>
    <t>delta</t>
  </si>
  <si>
    <t>Installed capacity</t>
  </si>
  <si>
    <t>Hydro</t>
  </si>
  <si>
    <t>Nuclear</t>
  </si>
  <si>
    <t>Solar</t>
  </si>
  <si>
    <t>Thermal</t>
  </si>
  <si>
    <t>SUM</t>
  </si>
  <si>
    <t>-</t>
  </si>
  <si>
    <t>Real Data</t>
  </si>
  <si>
    <t>Installed Capacity</t>
  </si>
  <si>
    <t>SE</t>
  </si>
  <si>
    <t>SE1</t>
  </si>
  <si>
    <t>SE2</t>
  </si>
  <si>
    <t>SE3</t>
  </si>
  <si>
    <t>SE4</t>
  </si>
  <si>
    <t>%</t>
  </si>
  <si>
    <t>region</t>
  </si>
  <si>
    <t>Pinst</t>
  </si>
  <si>
    <t>Pact</t>
  </si>
  <si>
    <t>Thermal -Appr.</t>
  </si>
  <si>
    <t>Wind region</t>
  </si>
  <si>
    <t>Nordic 32 - Installed</t>
  </si>
  <si>
    <t>Nordic 32 - New data</t>
  </si>
  <si>
    <t>Generator</t>
  </si>
  <si>
    <t>g6</t>
  </si>
  <si>
    <t>g13</t>
  </si>
  <si>
    <t>Test cases - real data</t>
  </si>
  <si>
    <t>Counter</t>
  </si>
  <si>
    <t>Day</t>
  </si>
  <si>
    <t>Hours</t>
  </si>
  <si>
    <t>SE2 &gt; SE3</t>
  </si>
  <si>
    <t>SE3 &gt; SE2</t>
  </si>
  <si>
    <t>SE3 &gt; SE4</t>
  </si>
  <si>
    <t>SE4 &gt; SE3</t>
  </si>
  <si>
    <t>SE4 &gt; DK2</t>
  </si>
  <si>
    <t>DK2 &gt; SE4</t>
  </si>
  <si>
    <t>SE3 &gt; NO1</t>
  </si>
  <si>
    <t>NO1 &gt; SE3</t>
  </si>
  <si>
    <t>SE3 &gt; DK1</t>
  </si>
  <si>
    <t>DK1 &gt; SE3</t>
  </si>
  <si>
    <t>SE1 &gt; FI</t>
  </si>
  <si>
    <t>FI &gt; SE1</t>
  </si>
  <si>
    <t>SE3 &gt; FI</t>
  </si>
  <si>
    <t>FI &gt; SE3</t>
  </si>
  <si>
    <t>SE1 &gt; SE2</t>
  </si>
  <si>
    <t>SE2 &gt; SE1</t>
  </si>
  <si>
    <t>SE2 &gt; NO3</t>
  </si>
  <si>
    <t>NO3 &gt; SE2</t>
  </si>
  <si>
    <t>SE1 &gt; NO4</t>
  </si>
  <si>
    <t>NO4 &gt; SE1</t>
  </si>
  <si>
    <t>SE2 &gt; NO4</t>
  </si>
  <si>
    <t>NO4 &gt; SE2</t>
  </si>
  <si>
    <t>SE4 &gt; PL</t>
  </si>
  <si>
    <t>PL &gt; SE4</t>
  </si>
  <si>
    <t>SE4 &gt; LT</t>
  </si>
  <si>
    <t>LT &gt; SE4</t>
  </si>
  <si>
    <t>04 - 05</t>
  </si>
  <si>
    <t>LC</t>
  </si>
  <si>
    <t>04-08-2018</t>
  </si>
  <si>
    <t>05 - 06</t>
  </si>
  <si>
    <t>Production SE areas in MWh</t>
  </si>
  <si>
    <t>Consumption SE areas in MWh</t>
  </si>
  <si>
    <t>Elspot flow SE in MWh/h</t>
  </si>
  <si>
    <t>Wind power SE in MWh</t>
  </si>
  <si>
    <t>Nuclear Power</t>
  </si>
  <si>
    <t>Thermal power/wo gas and diesel in MWh</t>
  </si>
  <si>
    <t>Hydropower in MWh</t>
  </si>
  <si>
    <t>Gasturbine/Diesel</t>
  </si>
  <si>
    <t>Not specified</t>
  </si>
  <si>
    <t>Solar Power</t>
  </si>
  <si>
    <t>Wave Power</t>
  </si>
  <si>
    <t>CONTROL</t>
  </si>
  <si>
    <t>Wind</t>
  </si>
  <si>
    <t xml:space="preserve">Thermal </t>
  </si>
  <si>
    <t xml:space="preserve">Hydro </t>
  </si>
  <si>
    <t>SE - installiert</t>
  </si>
  <si>
    <t>Sum -data</t>
  </si>
  <si>
    <t>Loads</t>
  </si>
  <si>
    <t>% - region</t>
  </si>
  <si>
    <t>MW HP</t>
  </si>
  <si>
    <t>source</t>
  </si>
  <si>
    <t>NP - HC</t>
  </si>
  <si>
    <t>NP - LC</t>
  </si>
  <si>
    <t>NP - MC</t>
  </si>
  <si>
    <t>individual</t>
  </si>
  <si>
    <t>part</t>
  </si>
  <si>
    <t>percent</t>
  </si>
  <si>
    <t>Load Flow</t>
  </si>
  <si>
    <t>SE1&gt;SE2</t>
  </si>
  <si>
    <t>SE2&gt;SE3</t>
  </si>
  <si>
    <t>SE3&gt;SE4</t>
  </si>
  <si>
    <t>EQU&gt;SE1</t>
  </si>
  <si>
    <t>g32</t>
  </si>
  <si>
    <t>cos(fi)</t>
  </si>
  <si>
    <t>Sinst</t>
  </si>
  <si>
    <t>Loadname</t>
  </si>
  <si>
    <t>PC</t>
  </si>
  <si>
    <t>EQUV&gt;SE1</t>
  </si>
  <si>
    <t>SE1&gt;</t>
  </si>
  <si>
    <t>External grid</t>
  </si>
  <si>
    <t>FI</t>
  </si>
  <si>
    <t>NO4</t>
  </si>
  <si>
    <t>NO3</t>
  </si>
  <si>
    <t>NO1</t>
  </si>
  <si>
    <t>DK1</t>
  </si>
  <si>
    <t>Fi</t>
  </si>
  <si>
    <t>DK2</t>
  </si>
  <si>
    <t>PL</t>
  </si>
  <si>
    <t>LT</t>
  </si>
  <si>
    <t>g61</t>
  </si>
  <si>
    <t>g_ex_DK</t>
  </si>
  <si>
    <t>g_ex_FI</t>
  </si>
  <si>
    <t>g_ex_FI(1)</t>
  </si>
  <si>
    <t>g_ex_NO3</t>
  </si>
  <si>
    <t>g_ex_NO4</t>
  </si>
  <si>
    <t>g_ex_PL</t>
  </si>
  <si>
    <t xml:space="preserve">SUM - all </t>
  </si>
  <si>
    <t>Percentage</t>
  </si>
  <si>
    <t>Nordic/Real</t>
  </si>
  <si>
    <t>l_ex_DK</t>
  </si>
  <si>
    <t>l_ex_FI</t>
  </si>
  <si>
    <t>l_ex_FI(1)</t>
  </si>
  <si>
    <t>l_ex_NO3</t>
  </si>
  <si>
    <t>l_ex_NO4</t>
  </si>
  <si>
    <t>l_ex_PL</t>
  </si>
  <si>
    <t>Powerfactory Data</t>
  </si>
  <si>
    <t>delta MWh</t>
  </si>
  <si>
    <t>% of total load</t>
  </si>
  <si>
    <t>15-01-2018</t>
  </si>
  <si>
    <t>09 - 10</t>
  </si>
  <si>
    <t>HP -15.1</t>
  </si>
  <si>
    <t>Other</t>
  </si>
  <si>
    <t>g_ex_NO1</t>
  </si>
  <si>
    <t>g_ex_DK2</t>
  </si>
  <si>
    <t>Transformer</t>
  </si>
  <si>
    <t>Tr1012-g1</t>
  </si>
  <si>
    <t>Three Phase Transformer</t>
  </si>
  <si>
    <t>Tr1013-g2</t>
  </si>
  <si>
    <t>Tr1014-g3</t>
  </si>
  <si>
    <t>Tr1021-g4</t>
  </si>
  <si>
    <t>Tr1022-g5</t>
  </si>
  <si>
    <t>Tr1042-g6</t>
  </si>
  <si>
    <t>Tr1043-g7</t>
  </si>
  <si>
    <t>Tr2032-g8</t>
  </si>
  <si>
    <t>Tr4011-g9</t>
  </si>
  <si>
    <t>Tr4012-g10</t>
  </si>
  <si>
    <t>Tr4021-g11</t>
  </si>
  <si>
    <t>Tr4031-g12</t>
  </si>
  <si>
    <t>Tr4041-g13</t>
  </si>
  <si>
    <t>Tr4042-g14</t>
  </si>
  <si>
    <t>Tr4047-g15</t>
  </si>
  <si>
    <t>Tr4051-g16</t>
  </si>
  <si>
    <t>Tr4061-g17</t>
  </si>
  <si>
    <t>Tr4063-g18</t>
  </si>
  <si>
    <t>Tr4071-g19</t>
  </si>
  <si>
    <t>Tr4072-g20</t>
  </si>
  <si>
    <t>g1</t>
  </si>
  <si>
    <t>g13(CS)</t>
  </si>
  <si>
    <t>g2</t>
  </si>
  <si>
    <t>g3</t>
  </si>
  <si>
    <t>g4</t>
  </si>
  <si>
    <t>g5</t>
  </si>
  <si>
    <t>g7</t>
  </si>
  <si>
    <t>g8</t>
  </si>
  <si>
    <t>g9</t>
  </si>
  <si>
    <t>Tr1-1041</t>
  </si>
  <si>
    <t>Tr11-1011</t>
  </si>
  <si>
    <t>Tr12-1012</t>
  </si>
  <si>
    <t>Tr13-1013</t>
  </si>
  <si>
    <t>Tr2-1042</t>
  </si>
  <si>
    <t>Tr22-1022</t>
  </si>
  <si>
    <t>Tr3-1043</t>
  </si>
  <si>
    <t>Tr31-2031</t>
  </si>
  <si>
    <t>Tr32-2032</t>
  </si>
  <si>
    <t>Tr4-1044</t>
  </si>
  <si>
    <t>Tr41-4041</t>
  </si>
  <si>
    <t>Tr42-4042</t>
  </si>
  <si>
    <t>Tr43-4043</t>
  </si>
  <si>
    <t>Tr46-4046</t>
  </si>
  <si>
    <t>Tr47-4047</t>
  </si>
  <si>
    <t>Tr5-1045</t>
  </si>
  <si>
    <t>Tr51-4051</t>
  </si>
  <si>
    <t>Tr61-4061</t>
  </si>
  <si>
    <t>Tr62-4062</t>
  </si>
  <si>
    <t>Tr63-4063</t>
  </si>
  <si>
    <t>Tr71-4071</t>
  </si>
  <si>
    <t>Tr72-4072</t>
  </si>
  <si>
    <t>4032(1)</t>
  </si>
  <si>
    <t>g60</t>
  </si>
  <si>
    <t>g64</t>
  </si>
  <si>
    <t>l_ex_DK2</t>
  </si>
  <si>
    <t>l_ex_NO1</t>
  </si>
  <si>
    <t>g_ex</t>
  </si>
  <si>
    <t>SE&gt;SUM</t>
  </si>
  <si>
    <t>Export</t>
  </si>
  <si>
    <t>12-01-2018</t>
  </si>
  <si>
    <t>17 - 18</t>
  </si>
  <si>
    <t>90% generation</t>
  </si>
  <si>
    <t>P_wo_powertype</t>
  </si>
  <si>
    <t>Case</t>
  </si>
  <si>
    <t>00 - 01</t>
  </si>
  <si>
    <t>08-08-2018</t>
  </si>
  <si>
    <t>03 - 04</t>
  </si>
  <si>
    <t>Low demand</t>
  </si>
  <si>
    <t>10% generation</t>
  </si>
  <si>
    <t>-&gt; sehr schlecht</t>
  </si>
  <si>
    <t>Low demand schelcht</t>
  </si>
  <si>
    <t>23-07-2018</t>
  </si>
  <si>
    <t>18-08-2018</t>
  </si>
  <si>
    <t>High demand</t>
  </si>
  <si>
    <t>Mid load</t>
  </si>
  <si>
    <t>-&gt; viel Wind</t>
  </si>
  <si>
    <t>wenig Wind</t>
  </si>
  <si>
    <t>case</t>
  </si>
  <si>
    <t>wind</t>
  </si>
  <si>
    <t>nuclear</t>
  </si>
  <si>
    <t>hydro</t>
  </si>
  <si>
    <t>thermal</t>
  </si>
  <si>
    <t>production</t>
  </si>
  <si>
    <t>consumption</t>
  </si>
  <si>
    <t>15-07-2018</t>
  </si>
  <si>
    <t>07 - 08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</si>
</sst>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3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2" borderId="0" xfId="0" applyFill="1"/>
    <xf numFmtId="10" fontId="0" fillId="0" borderId="0" xfId="0" applyNumberFormat="1"/>
    <xf numFmtId="4" fontId="1" fillId="0" borderId="2" xfId="2" applyNumberFormat="1" applyBorder="1"/>
    <xf numFmtId="4" fontId="0" fillId="0" borderId="2" xfId="0" applyNumberFormat="1" applyBorder="1"/>
    <xf numFmtId="4" fontId="0" fillId="0" borderId="0" xfId="0" applyNumberFormat="1" applyAlignment="1">
      <alignment horizontal="right" wrapText="1"/>
    </xf>
    <xf numFmtId="4" fontId="1" fillId="0" borderId="0" xfId="2" applyNumberFormat="1" applyFill="1" applyBorder="1"/>
    <xf numFmtId="3" fontId="1" fillId="0" borderId="2" xfId="2" applyNumberFormat="1" applyBorder="1"/>
    <xf numFmtId="3" fontId="0" fillId="0" borderId="2" xfId="0" applyNumberFormat="1" applyBorder="1"/>
    <xf numFmtId="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0" borderId="0" xfId="0" applyFill="1"/>
    <xf numFmtId="0" fontId="2" fillId="3" borderId="0" xfId="0" applyFont="1" applyFill="1"/>
    <xf numFmtId="0" fontId="0" fillId="6" borderId="0" xfId="0" applyFill="1"/>
    <xf numFmtId="0" fontId="2" fillId="0" borderId="0" xfId="0" applyFont="1" applyFill="1"/>
    <xf numFmtId="9" fontId="0" fillId="5" borderId="0" xfId="1" applyFont="1" applyFill="1"/>
    <xf numFmtId="1" fontId="0" fillId="0" borderId="0" xfId="0" applyNumberFormat="1"/>
    <xf numFmtId="1" fontId="0" fillId="5" borderId="0" xfId="0" applyNumberFormat="1" applyFill="1"/>
    <xf numFmtId="0" fontId="0" fillId="0" borderId="0" xfId="0" quotePrefix="1"/>
    <xf numFmtId="1" fontId="0" fillId="7" borderId="0" xfId="0" applyNumberFormat="1" applyFill="1"/>
    <xf numFmtId="0" fontId="0" fillId="7" borderId="0" xfId="0" applyFill="1"/>
    <xf numFmtId="165" fontId="0" fillId="0" borderId="0" xfId="1" applyNumberFormat="1" applyFont="1"/>
    <xf numFmtId="0" fontId="0" fillId="5" borderId="0" xfId="0" applyFill="1"/>
    <xf numFmtId="9" fontId="0" fillId="0" borderId="0" xfId="1" applyFont="1" applyFill="1"/>
    <xf numFmtId="9" fontId="0" fillId="0" borderId="0" xfId="0" applyNumberFormat="1"/>
    <xf numFmtId="0" fontId="2" fillId="6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9" borderId="1" xfId="0" applyFont="1" applyFill="1" applyBorder="1"/>
    <xf numFmtId="0" fontId="2" fillId="8" borderId="1" xfId="0" applyFont="1" applyFill="1" applyBorder="1"/>
    <xf numFmtId="0" fontId="2" fillId="4" borderId="0" xfId="0" applyFont="1" applyFill="1" applyAlignment="1">
      <alignment horizontal="center"/>
    </xf>
    <xf numFmtId="0" fontId="3" fillId="8" borderId="0" xfId="0" applyFont="1" applyFill="1"/>
    <xf numFmtId="0" fontId="2" fillId="8" borderId="0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/>
    <xf numFmtId="0" fontId="2" fillId="0" borderId="1" xfId="0" applyNumberFormat="1" applyFont="1" applyFill="1" applyBorder="1"/>
    <xf numFmtId="0" fontId="0" fillId="0" borderId="0" xfId="0" applyNumberFormat="1"/>
    <xf numFmtId="0" fontId="2" fillId="3" borderId="0" xfId="0" applyNumberFormat="1" applyFont="1" applyFill="1"/>
    <xf numFmtId="0" fontId="0" fillId="3" borderId="0" xfId="0" applyNumberFormat="1" applyFill="1" applyBorder="1"/>
    <xf numFmtId="0" fontId="0" fillId="3" borderId="0" xfId="1" applyNumberFormat="1" applyFont="1" applyFill="1"/>
    <xf numFmtId="0" fontId="0" fillId="3" borderId="0" xfId="0" applyNumberFormat="1" applyFill="1"/>
    <xf numFmtId="0" fontId="2" fillId="3" borderId="1" xfId="0" applyNumberFormat="1" applyFont="1" applyFill="1" applyBorder="1"/>
    <xf numFmtId="9" fontId="0" fillId="3" borderId="0" xfId="1" applyFont="1" applyFill="1"/>
    <xf numFmtId="10" fontId="0" fillId="3" borderId="0" xfId="1" applyNumberFormat="1" applyFont="1" applyFill="1"/>
    <xf numFmtId="10" fontId="0" fillId="0" borderId="0" xfId="1" applyNumberFormat="1" applyFont="1" applyFill="1"/>
    <xf numFmtId="165" fontId="0" fillId="0" borderId="0" xfId="0" applyNumberFormat="1"/>
    <xf numFmtId="1" fontId="0" fillId="0" borderId="0" xfId="0" applyNumberFormat="1" applyFill="1"/>
    <xf numFmtId="10" fontId="0" fillId="0" borderId="0" xfId="0" applyNumberFormat="1" applyFill="1"/>
    <xf numFmtId="1" fontId="0" fillId="3" borderId="0" xfId="0" applyNumberFormat="1" applyFill="1"/>
    <xf numFmtId="0" fontId="0" fillId="8" borderId="0" xfId="0" applyFill="1"/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right" wrapText="1"/>
    </xf>
    <xf numFmtId="4" fontId="1" fillId="4" borderId="2" xfId="2" applyNumberFormat="1" applyFill="1" applyBorder="1"/>
    <xf numFmtId="4" fontId="0" fillId="4" borderId="2" xfId="0" applyNumberFormat="1" applyFill="1" applyBorder="1"/>
    <xf numFmtId="4" fontId="0" fillId="4" borderId="0" xfId="0" applyNumberFormat="1" applyFill="1" applyAlignment="1">
      <alignment horizontal="right" wrapText="1"/>
    </xf>
    <xf numFmtId="4" fontId="1" fillId="4" borderId="0" xfId="2" applyNumberFormat="1" applyFill="1" applyBorder="1"/>
    <xf numFmtId="3" fontId="1" fillId="4" borderId="2" xfId="2" applyNumberFormat="1" applyFill="1" applyBorder="1"/>
    <xf numFmtId="3" fontId="0" fillId="4" borderId="2" xfId="0" applyNumberFormat="1" applyFill="1" applyBorder="1"/>
    <xf numFmtId="4" fontId="0" fillId="4" borderId="0" xfId="0" applyNumberFormat="1" applyFill="1"/>
    <xf numFmtId="9" fontId="0" fillId="0" borderId="0" xfId="1" quotePrefix="1" applyFont="1"/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right" wrapText="1"/>
    </xf>
    <xf numFmtId="4" fontId="1" fillId="3" borderId="2" xfId="2" applyNumberFormat="1" applyFill="1" applyBorder="1"/>
    <xf numFmtId="4" fontId="0" fillId="3" borderId="2" xfId="0" applyNumberFormat="1" applyFill="1" applyBorder="1"/>
    <xf numFmtId="4" fontId="0" fillId="3" borderId="0" xfId="0" applyNumberFormat="1" applyFill="1" applyAlignment="1">
      <alignment horizontal="right" wrapText="1"/>
    </xf>
    <xf numFmtId="4" fontId="1" fillId="3" borderId="0" xfId="2" applyNumberFormat="1" applyFill="1" applyBorder="1"/>
    <xf numFmtId="3" fontId="1" fillId="3" borderId="2" xfId="2" applyNumberFormat="1" applyFill="1" applyBorder="1"/>
    <xf numFmtId="3" fontId="0" fillId="3" borderId="2" xfId="0" applyNumberFormat="1" applyFill="1" applyBorder="1"/>
    <xf numFmtId="4" fontId="0" fillId="3" borderId="0" xfId="0" applyNumberFormat="1" applyFill="1"/>
    <xf numFmtId="0" fontId="0" fillId="0" borderId="0" xfId="0" quotePrefix="1" applyFill="1"/>
    <xf numFmtId="165" fontId="0" fillId="0" borderId="0" xfId="1" applyNumberFormat="1" applyFont="1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right" wrapText="1"/>
    </xf>
    <xf numFmtId="4" fontId="1" fillId="2" borderId="2" xfId="2" applyNumberFormat="1" applyFill="1" applyBorder="1"/>
    <xf numFmtId="4" fontId="0" fillId="2" borderId="2" xfId="0" applyNumberFormat="1" applyFill="1" applyBorder="1"/>
    <xf numFmtId="4" fontId="0" fillId="2" borderId="0" xfId="0" applyNumberFormat="1" applyFill="1" applyAlignment="1">
      <alignment horizontal="right" wrapText="1"/>
    </xf>
    <xf numFmtId="4" fontId="1" fillId="2" borderId="0" xfId="2" applyNumberFormat="1" applyFill="1" applyBorder="1"/>
    <xf numFmtId="3" fontId="1" fillId="2" borderId="2" xfId="2" applyNumberFormat="1" applyFill="1" applyBorder="1"/>
    <xf numFmtId="3" fontId="0" fillId="2" borderId="2" xfId="0" applyNumberFormat="1" applyFill="1" applyBorder="1"/>
    <xf numFmtId="4" fontId="0" fillId="2" borderId="0" xfId="0" applyNumberFormat="1" applyFill="1"/>
    <xf numFmtId="0" fontId="2" fillId="4" borderId="0" xfId="0" applyFont="1" applyFill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8"/>
  <sheetViews>
    <sheetView tabSelected="1" zoomScaleNormal="100" workbookViewId="0">
      <selection activeCell="AE94" sqref="AE94"/>
    </sheetView>
  </sheetViews>
  <sheetFormatPr defaultRowHeight="15" x14ac:dyDescent="0.25"/>
  <cols>
    <col min="2" max="2" width="11" customWidth="1"/>
    <col min="6" max="6" width="12" bestFit="1" customWidth="1"/>
    <col min="10" max="10" width="13.5703125" customWidth="1"/>
    <col min="12" max="12" width="13.85546875" customWidth="1"/>
    <col min="18" max="18" width="12.28515625" customWidth="1"/>
    <col min="20" max="20" width="10.140625" customWidth="1"/>
    <col min="21" max="21" width="10.42578125" customWidth="1"/>
    <col min="30" max="30" width="10.42578125" customWidth="1"/>
    <col min="31" max="31" width="10.140625" customWidth="1"/>
    <col min="32" max="32" width="10.85546875" customWidth="1"/>
    <col min="33" max="33" width="12.28515625" customWidth="1"/>
    <col min="34" max="34" width="10.42578125" customWidth="1"/>
    <col min="35" max="35" width="10.140625" customWidth="1"/>
    <col min="36" max="36" width="10" customWidth="1"/>
  </cols>
  <sheetData>
    <row r="1" spans="1:65" x14ac:dyDescent="0.25">
      <c r="A1" t="s">
        <v>55</v>
      </c>
    </row>
    <row r="2" spans="1:65" s="1" customFormat="1" ht="15" customHeight="1" x14ac:dyDescent="0.25">
      <c r="B2" s="17" t="s">
        <v>89</v>
      </c>
      <c r="C2" s="14"/>
      <c r="D2" s="14"/>
      <c r="E2" s="14"/>
      <c r="F2" s="14"/>
      <c r="G2" s="14"/>
      <c r="H2" s="14"/>
      <c r="I2" s="17" t="s">
        <v>90</v>
      </c>
      <c r="J2" s="17"/>
      <c r="K2" s="17"/>
      <c r="L2" s="17"/>
      <c r="M2" s="17"/>
      <c r="N2" s="17" t="s">
        <v>91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 t="s">
        <v>92</v>
      </c>
      <c r="AO2" s="17"/>
      <c r="AP2" s="17"/>
      <c r="AQ2" s="17"/>
      <c r="AR2" s="17"/>
      <c r="AS2" s="17" t="s">
        <v>93</v>
      </c>
      <c r="AX2" s="1" t="s">
        <v>94</v>
      </c>
      <c r="BC2" s="1" t="s">
        <v>95</v>
      </c>
      <c r="BH2" s="1" t="s">
        <v>96</v>
      </c>
      <c r="BI2" s="1" t="s">
        <v>97</v>
      </c>
      <c r="BJ2" s="1" t="s">
        <v>98</v>
      </c>
      <c r="BK2" s="1" t="s">
        <v>99</v>
      </c>
      <c r="BL2" s="1" t="s">
        <v>100</v>
      </c>
    </row>
    <row r="3" spans="1:65" s="1" customFormat="1" ht="15" customHeight="1" x14ac:dyDescent="0.25">
      <c r="A3" s="1" t="s">
        <v>56</v>
      </c>
      <c r="B3" s="14" t="s">
        <v>57</v>
      </c>
      <c r="C3" s="15" t="s">
        <v>58</v>
      </c>
      <c r="D3" s="16" t="s">
        <v>40</v>
      </c>
      <c r="E3" s="16" t="s">
        <v>41</v>
      </c>
      <c r="F3" s="16" t="s">
        <v>42</v>
      </c>
      <c r="G3" s="16" t="s">
        <v>43</v>
      </c>
      <c r="H3" s="16" t="s">
        <v>39</v>
      </c>
      <c r="I3" s="16" t="s">
        <v>40</v>
      </c>
      <c r="J3" s="16" t="s">
        <v>41</v>
      </c>
      <c r="K3" s="16" t="s">
        <v>42</v>
      </c>
      <c r="L3" s="16" t="s">
        <v>43</v>
      </c>
      <c r="M3" s="16" t="s">
        <v>39</v>
      </c>
      <c r="N3" s="16" t="s">
        <v>59</v>
      </c>
      <c r="O3" s="16" t="s">
        <v>60</v>
      </c>
      <c r="P3" s="16" t="s">
        <v>61</v>
      </c>
      <c r="Q3" s="16" t="s">
        <v>62</v>
      </c>
      <c r="R3" s="16" t="s">
        <v>63</v>
      </c>
      <c r="S3" s="16" t="s">
        <v>64</v>
      </c>
      <c r="T3" s="16" t="s">
        <v>65</v>
      </c>
      <c r="U3" s="16" t="s">
        <v>66</v>
      </c>
      <c r="V3" s="16" t="s">
        <v>67</v>
      </c>
      <c r="W3" s="16" t="s">
        <v>68</v>
      </c>
      <c r="X3" s="16" t="s">
        <v>69</v>
      </c>
      <c r="Y3" s="16" t="s">
        <v>70</v>
      </c>
      <c r="Z3" s="16" t="s">
        <v>71</v>
      </c>
      <c r="AA3" s="16" t="s">
        <v>72</v>
      </c>
      <c r="AB3" s="16" t="s">
        <v>73</v>
      </c>
      <c r="AC3" s="16" t="s">
        <v>74</v>
      </c>
      <c r="AD3" s="16" t="s">
        <v>75</v>
      </c>
      <c r="AE3" s="16" t="s">
        <v>76</v>
      </c>
      <c r="AF3" s="16" t="s">
        <v>77</v>
      </c>
      <c r="AG3" s="16" t="s">
        <v>78</v>
      </c>
      <c r="AH3" s="16" t="s">
        <v>79</v>
      </c>
      <c r="AI3" s="16" t="s">
        <v>80</v>
      </c>
      <c r="AJ3" s="16" t="s">
        <v>81</v>
      </c>
      <c r="AK3" s="16" t="s">
        <v>82</v>
      </c>
      <c r="AL3" s="16" t="s">
        <v>83</v>
      </c>
      <c r="AM3" s="16" t="s">
        <v>84</v>
      </c>
      <c r="AN3" s="16" t="s">
        <v>40</v>
      </c>
      <c r="AO3" s="16" t="s">
        <v>41</v>
      </c>
      <c r="AP3" s="16" t="s">
        <v>42</v>
      </c>
      <c r="AQ3" s="16" t="s">
        <v>43</v>
      </c>
      <c r="AR3" s="16" t="s">
        <v>39</v>
      </c>
      <c r="AS3" s="16" t="s">
        <v>40</v>
      </c>
      <c r="AT3" s="16" t="s">
        <v>41</v>
      </c>
      <c r="AU3" s="16" t="s">
        <v>42</v>
      </c>
      <c r="AV3" s="16" t="s">
        <v>43</v>
      </c>
      <c r="AW3" s="16" t="s">
        <v>39</v>
      </c>
      <c r="AX3" s="16" t="s">
        <v>40</v>
      </c>
      <c r="AY3" s="16" t="s">
        <v>41</v>
      </c>
      <c r="AZ3" s="16" t="s">
        <v>42</v>
      </c>
      <c r="BA3" s="16" t="s">
        <v>43</v>
      </c>
      <c r="BB3" s="16" t="s">
        <v>39</v>
      </c>
      <c r="BC3" s="16" t="s">
        <v>40</v>
      </c>
      <c r="BD3" s="16" t="s">
        <v>41</v>
      </c>
      <c r="BE3" s="16" t="s">
        <v>42</v>
      </c>
      <c r="BF3" s="16" t="s">
        <v>43</v>
      </c>
      <c r="BG3" s="16" t="s">
        <v>39</v>
      </c>
      <c r="BH3" s="1" t="s">
        <v>39</v>
      </c>
      <c r="BI3" s="1" t="s">
        <v>39</v>
      </c>
      <c r="BJ3" s="1" t="s">
        <v>39</v>
      </c>
      <c r="BK3" s="1" t="s">
        <v>39</v>
      </c>
      <c r="BL3" s="1" t="s">
        <v>39</v>
      </c>
      <c r="BM3" s="1" t="s">
        <v>29</v>
      </c>
    </row>
    <row r="4" spans="1:65" s="18" customFormat="1" x14ac:dyDescent="0.25">
      <c r="A4" s="18" t="s">
        <v>226</v>
      </c>
      <c r="B4" s="72" t="s">
        <v>224</v>
      </c>
      <c r="C4" s="72" t="s">
        <v>225</v>
      </c>
      <c r="D4" s="73">
        <v>4354</v>
      </c>
      <c r="E4" s="73">
        <v>6865</v>
      </c>
      <c r="F4" s="73">
        <v>12211</v>
      </c>
      <c r="G4" s="73">
        <v>1172</v>
      </c>
      <c r="H4" s="73">
        <v>24603</v>
      </c>
      <c r="I4" s="73">
        <v>1424</v>
      </c>
      <c r="J4" s="73">
        <v>2898</v>
      </c>
      <c r="K4" s="73">
        <v>13866</v>
      </c>
      <c r="L4" s="73">
        <v>3907</v>
      </c>
      <c r="M4" s="73">
        <v>22095</v>
      </c>
      <c r="N4" s="73">
        <v>6366.4</v>
      </c>
      <c r="O4" s="73">
        <v>0</v>
      </c>
      <c r="P4" s="73">
        <v>5260</v>
      </c>
      <c r="Q4" s="73">
        <v>0</v>
      </c>
      <c r="R4" s="73">
        <v>719.3</v>
      </c>
      <c r="S4" s="73">
        <v>0</v>
      </c>
      <c r="T4" s="73">
        <v>0</v>
      </c>
      <c r="U4" s="73">
        <v>1550</v>
      </c>
      <c r="V4" s="73">
        <v>0</v>
      </c>
      <c r="W4" s="73">
        <v>0</v>
      </c>
      <c r="X4" s="73">
        <v>1530</v>
      </c>
      <c r="Y4" s="73">
        <v>0</v>
      </c>
      <c r="Z4" s="73">
        <v>1200</v>
      </c>
      <c r="AA4" s="73">
        <v>0</v>
      </c>
      <c r="AB4" s="73">
        <v>1681.3</v>
      </c>
      <c r="AC4" s="73">
        <v>0</v>
      </c>
      <c r="AD4" s="73">
        <v>0</v>
      </c>
      <c r="AE4" s="73">
        <v>359.4</v>
      </c>
      <c r="AF4" s="73">
        <v>0</v>
      </c>
      <c r="AG4" s="73">
        <v>500</v>
      </c>
      <c r="AH4" s="73">
        <v>0</v>
      </c>
      <c r="AI4" s="73">
        <v>200</v>
      </c>
      <c r="AJ4" s="73">
        <v>600</v>
      </c>
      <c r="AK4" s="73">
        <v>0</v>
      </c>
      <c r="AL4" s="73">
        <v>450.4</v>
      </c>
      <c r="AM4" s="73">
        <v>0</v>
      </c>
      <c r="AN4" s="74">
        <v>201.915109</v>
      </c>
      <c r="AO4" s="75">
        <v>98.808402000000001</v>
      </c>
      <c r="AP4" s="75">
        <v>143.797065</v>
      </c>
      <c r="AQ4" s="76">
        <v>500.59396999999996</v>
      </c>
      <c r="AR4" s="74">
        <v>945.11454700000002</v>
      </c>
      <c r="AS4" s="18">
        <v>0</v>
      </c>
      <c r="AT4" s="77">
        <v>0</v>
      </c>
      <c r="AU4" s="78">
        <v>8535.61</v>
      </c>
      <c r="AV4" s="78">
        <v>0</v>
      </c>
      <c r="AW4" s="79">
        <v>8535.61</v>
      </c>
      <c r="AX4" s="74">
        <v>41.520760000000003</v>
      </c>
      <c r="AY4" s="74">
        <v>158.25458399999999</v>
      </c>
      <c r="AZ4" s="74">
        <v>1230.4394069999998</v>
      </c>
      <c r="BA4" s="74">
        <v>287.95129900000001</v>
      </c>
      <c r="BB4" s="74">
        <v>1718.16605</v>
      </c>
      <c r="BC4" s="75">
        <v>4066.5019830000001</v>
      </c>
      <c r="BD4" s="75">
        <v>6364.6534769999998</v>
      </c>
      <c r="BE4" s="75">
        <v>1864.609244</v>
      </c>
      <c r="BF4" s="75">
        <v>294.82777299999998</v>
      </c>
      <c r="BG4" s="75">
        <v>12590.592477</v>
      </c>
      <c r="BH4" s="79">
        <v>0</v>
      </c>
      <c r="BI4" s="75">
        <v>73.58596</v>
      </c>
      <c r="BJ4" s="75">
        <v>7.0391999999999996E-2</v>
      </c>
      <c r="BK4" s="79">
        <v>0</v>
      </c>
      <c r="BL4" s="80">
        <f t="shared" ref="BL4:BL7" si="0">BJ4+BI4+BH4+BG4+BB4+AW4+AR4+AR4</f>
        <v>24808.253973000003</v>
      </c>
      <c r="BM4" s="80">
        <f t="shared" ref="BM4:BM7" si="1">BL4-H4</f>
        <v>205.25397300000259</v>
      </c>
    </row>
    <row r="5" spans="1:65" s="18" customFormat="1" x14ac:dyDescent="0.25">
      <c r="A5" s="18" t="s">
        <v>235</v>
      </c>
      <c r="B5" s="72" t="s">
        <v>230</v>
      </c>
      <c r="C5" s="72" t="s">
        <v>231</v>
      </c>
      <c r="D5" s="73">
        <v>648</v>
      </c>
      <c r="E5" s="73">
        <v>1815</v>
      </c>
      <c r="F5" s="73">
        <v>8618</v>
      </c>
      <c r="G5" s="73">
        <v>717</v>
      </c>
      <c r="H5" s="73">
        <v>11798</v>
      </c>
      <c r="I5" s="73">
        <v>788</v>
      </c>
      <c r="J5" s="73">
        <v>1295</v>
      </c>
      <c r="K5" s="73">
        <v>6254</v>
      </c>
      <c r="L5" s="73">
        <v>1668</v>
      </c>
      <c r="M5" s="73">
        <v>10005</v>
      </c>
      <c r="N5" s="73">
        <v>0</v>
      </c>
      <c r="O5" s="73">
        <v>398.4</v>
      </c>
      <c r="P5" s="73">
        <v>820</v>
      </c>
      <c r="Q5" s="73">
        <v>0</v>
      </c>
      <c r="R5" s="73">
        <v>0</v>
      </c>
      <c r="S5" s="73">
        <v>418.5</v>
      </c>
      <c r="T5" s="73">
        <v>583.6</v>
      </c>
      <c r="U5" s="73">
        <v>0</v>
      </c>
      <c r="V5" s="73">
        <v>0</v>
      </c>
      <c r="W5" s="73">
        <v>0</v>
      </c>
      <c r="X5" s="73">
        <v>0</v>
      </c>
      <c r="Y5" s="73">
        <v>0</v>
      </c>
      <c r="Z5" s="73">
        <v>552.6</v>
      </c>
      <c r="AA5" s="73">
        <v>0</v>
      </c>
      <c r="AB5" s="73">
        <v>0</v>
      </c>
      <c r="AC5" s="73">
        <v>251.7</v>
      </c>
      <c r="AD5" s="73">
        <v>500</v>
      </c>
      <c r="AE5" s="73">
        <v>0</v>
      </c>
      <c r="AF5" s="73">
        <v>77.099999999999994</v>
      </c>
      <c r="AG5" s="73">
        <v>0</v>
      </c>
      <c r="AH5" s="73">
        <v>100</v>
      </c>
      <c r="AI5" s="73">
        <v>0</v>
      </c>
      <c r="AJ5" s="73">
        <v>0</v>
      </c>
      <c r="AK5" s="73">
        <v>154</v>
      </c>
      <c r="AL5" s="73">
        <v>401.9</v>
      </c>
      <c r="AM5" s="73">
        <v>0</v>
      </c>
      <c r="AN5" s="74">
        <v>76.618290999999999</v>
      </c>
      <c r="AO5" s="75">
        <v>462.07180900000003</v>
      </c>
      <c r="AP5" s="75">
        <v>845.59367599999996</v>
      </c>
      <c r="AQ5" s="76">
        <v>592.09291000000007</v>
      </c>
      <c r="AR5" s="74">
        <v>1976.3766889999999</v>
      </c>
      <c r="AS5" s="18">
        <v>0</v>
      </c>
      <c r="AT5" s="77">
        <v>0</v>
      </c>
      <c r="AU5" s="78">
        <v>7172.53</v>
      </c>
      <c r="AV5" s="78">
        <v>0</v>
      </c>
      <c r="AW5" s="79">
        <v>7172.53</v>
      </c>
      <c r="AX5" s="78">
        <v>14.58</v>
      </c>
      <c r="AY5" s="74">
        <v>36.335286999999994</v>
      </c>
      <c r="AZ5" s="74">
        <v>148.67402999999999</v>
      </c>
      <c r="BA5" s="74">
        <v>72.244112999999999</v>
      </c>
      <c r="BB5" s="74">
        <v>271.83343000000002</v>
      </c>
      <c r="BC5" s="75">
        <v>1016.01877</v>
      </c>
      <c r="BD5" s="75">
        <v>1335.773561</v>
      </c>
      <c r="BE5" s="75">
        <v>400.431017</v>
      </c>
      <c r="BF5" s="75">
        <v>3.588813</v>
      </c>
      <c r="BG5" s="75">
        <v>2755.8121609999998</v>
      </c>
      <c r="BH5" s="79">
        <v>0</v>
      </c>
      <c r="BI5" s="75">
        <v>0.32044</v>
      </c>
      <c r="BJ5" s="75">
        <v>8.4429000000000004E-2</v>
      </c>
      <c r="BK5" s="79">
        <v>0</v>
      </c>
      <c r="BL5" s="80">
        <f t="shared" si="0"/>
        <v>14153.333838</v>
      </c>
      <c r="BM5" s="80">
        <f t="shared" si="1"/>
        <v>2355.3338380000005</v>
      </c>
    </row>
    <row r="6" spans="1:65" x14ac:dyDescent="0.25">
      <c r="A6">
        <v>4873</v>
      </c>
      <c r="B6" s="4" t="s">
        <v>236</v>
      </c>
      <c r="C6" s="4" t="s">
        <v>229</v>
      </c>
      <c r="D6" s="3">
        <v>639</v>
      </c>
      <c r="E6" s="3">
        <v>1582</v>
      </c>
      <c r="F6" s="3">
        <v>8613</v>
      </c>
      <c r="G6" s="3">
        <v>351</v>
      </c>
      <c r="H6" s="3">
        <v>11186</v>
      </c>
      <c r="I6" s="3">
        <v>803</v>
      </c>
      <c r="J6" s="3">
        <v>1244</v>
      </c>
      <c r="K6" s="3">
        <v>6284</v>
      </c>
      <c r="L6" s="3">
        <v>1665</v>
      </c>
      <c r="M6" s="3">
        <v>9996</v>
      </c>
      <c r="N6" s="3">
        <v>0</v>
      </c>
      <c r="O6" s="3">
        <v>770</v>
      </c>
      <c r="P6" s="3">
        <v>206.5</v>
      </c>
      <c r="Q6" s="3">
        <v>0</v>
      </c>
      <c r="R6" s="3">
        <v>0</v>
      </c>
      <c r="S6" s="3">
        <v>386.8</v>
      </c>
      <c r="T6" s="3">
        <v>1223</v>
      </c>
      <c r="U6" s="3">
        <v>0</v>
      </c>
      <c r="V6" s="3">
        <v>38.799999999999997</v>
      </c>
      <c r="W6" s="3">
        <v>0</v>
      </c>
      <c r="X6" s="3">
        <v>0</v>
      </c>
      <c r="Y6" s="3">
        <v>0</v>
      </c>
      <c r="Z6" s="3">
        <v>189.1</v>
      </c>
      <c r="AA6" s="3">
        <v>0</v>
      </c>
      <c r="AB6" s="3">
        <v>0</v>
      </c>
      <c r="AC6" s="3">
        <v>253.4</v>
      </c>
      <c r="AD6" s="3">
        <v>675.5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300</v>
      </c>
      <c r="AL6" s="3">
        <v>0</v>
      </c>
      <c r="AM6" s="3">
        <v>377</v>
      </c>
      <c r="AN6" s="7">
        <v>105.871506</v>
      </c>
      <c r="AO6" s="8">
        <v>525.88434699999993</v>
      </c>
      <c r="AP6" s="8">
        <v>633.49767899999995</v>
      </c>
      <c r="AQ6" s="9">
        <v>152.08479</v>
      </c>
      <c r="AR6" s="7">
        <v>1417.3383240000001</v>
      </c>
      <c r="AS6">
        <v>0</v>
      </c>
      <c r="AT6" s="10">
        <v>0</v>
      </c>
      <c r="AU6" s="11">
        <v>7173.57</v>
      </c>
      <c r="AV6" s="11">
        <v>0</v>
      </c>
      <c r="AW6" s="12">
        <v>7173.57</v>
      </c>
      <c r="AX6" s="11">
        <v>17.812000000000001</v>
      </c>
      <c r="AY6" s="7">
        <v>32.406782999999997</v>
      </c>
      <c r="AZ6" s="7">
        <v>179.041864</v>
      </c>
      <c r="BA6" s="7">
        <v>70.258206999999999</v>
      </c>
      <c r="BB6" s="7">
        <v>299.51885399999998</v>
      </c>
      <c r="BC6" s="8">
        <v>461.77211999999997</v>
      </c>
      <c r="BD6" s="8">
        <v>868.67725300000006</v>
      </c>
      <c r="BE6" s="8">
        <v>332.679371</v>
      </c>
      <c r="BF6" s="8">
        <v>5.7332150000000004</v>
      </c>
      <c r="BG6" s="8">
        <v>1668.8619590000001</v>
      </c>
      <c r="BH6" s="12">
        <v>0</v>
      </c>
      <c r="BI6" s="8">
        <v>3.42516</v>
      </c>
      <c r="BJ6" s="8">
        <v>5.7298000000000002E-2</v>
      </c>
      <c r="BK6" s="12">
        <v>0</v>
      </c>
      <c r="BL6" s="13">
        <f t="shared" si="0"/>
        <v>11980.109919</v>
      </c>
      <c r="BM6" s="13">
        <f t="shared" si="1"/>
        <v>794.10991900000045</v>
      </c>
    </row>
    <row r="7" spans="1:65" s="20" customFormat="1" x14ac:dyDescent="0.25">
      <c r="A7" s="20">
        <v>5501</v>
      </c>
      <c r="B7" s="62" t="s">
        <v>237</v>
      </c>
      <c r="C7" s="62" t="s">
        <v>85</v>
      </c>
      <c r="D7" s="63">
        <v>816</v>
      </c>
      <c r="E7" s="63">
        <v>1657</v>
      </c>
      <c r="F7" s="63">
        <v>8184</v>
      </c>
      <c r="G7" s="63">
        <v>290</v>
      </c>
      <c r="H7" s="63">
        <v>10947</v>
      </c>
      <c r="I7" s="63">
        <v>847</v>
      </c>
      <c r="J7" s="63">
        <v>1316</v>
      </c>
      <c r="K7" s="63">
        <v>6253</v>
      </c>
      <c r="L7" s="63">
        <v>1602</v>
      </c>
      <c r="M7" s="63">
        <v>10018</v>
      </c>
      <c r="N7" s="63">
        <v>16.899999999999999</v>
      </c>
      <c r="O7" s="63">
        <v>0</v>
      </c>
      <c r="P7" s="63">
        <v>2456.6999999999998</v>
      </c>
      <c r="Q7" s="63">
        <v>0</v>
      </c>
      <c r="R7" s="63">
        <v>1040</v>
      </c>
      <c r="S7" s="63">
        <v>0</v>
      </c>
      <c r="T7" s="63">
        <v>0</v>
      </c>
      <c r="U7" s="63">
        <v>363.4</v>
      </c>
      <c r="V7" s="63">
        <v>680</v>
      </c>
      <c r="W7" s="63">
        <v>0</v>
      </c>
      <c r="X7" s="63">
        <v>0</v>
      </c>
      <c r="Y7" s="63">
        <v>0</v>
      </c>
      <c r="Z7" s="63">
        <v>0</v>
      </c>
      <c r="AA7" s="63">
        <v>603.5</v>
      </c>
      <c r="AB7" s="63">
        <v>0</v>
      </c>
      <c r="AC7" s="63">
        <v>63</v>
      </c>
      <c r="AD7" s="63">
        <v>328.4</v>
      </c>
      <c r="AE7" s="63">
        <v>0</v>
      </c>
      <c r="AF7" s="63">
        <v>0</v>
      </c>
      <c r="AG7" s="63">
        <v>0</v>
      </c>
      <c r="AH7" s="63">
        <v>0</v>
      </c>
      <c r="AI7" s="63">
        <v>0</v>
      </c>
      <c r="AJ7" s="63">
        <v>0</v>
      </c>
      <c r="AK7" s="63">
        <v>300</v>
      </c>
      <c r="AL7" s="63">
        <v>0</v>
      </c>
      <c r="AM7" s="63">
        <v>0</v>
      </c>
      <c r="AN7" s="64">
        <v>118.688014</v>
      </c>
      <c r="AO7" s="65">
        <v>510.408703</v>
      </c>
      <c r="AP7" s="65">
        <v>744.02748499999996</v>
      </c>
      <c r="AQ7" s="66">
        <v>169.70651999999998</v>
      </c>
      <c r="AR7" s="64">
        <v>1542.8307239999999</v>
      </c>
      <c r="AS7" s="20">
        <v>0</v>
      </c>
      <c r="AT7" s="67">
        <v>0</v>
      </c>
      <c r="AU7" s="68">
        <v>6873.58</v>
      </c>
      <c r="AV7" s="68">
        <v>0</v>
      </c>
      <c r="AW7" s="69">
        <v>6873.58</v>
      </c>
      <c r="AX7" s="68">
        <v>21.706</v>
      </c>
      <c r="AY7" s="64">
        <v>36.370862000000002</v>
      </c>
      <c r="AZ7" s="64">
        <v>117.748356</v>
      </c>
      <c r="BA7" s="64">
        <v>62.183690000000006</v>
      </c>
      <c r="BB7" s="64">
        <v>238.00890799999999</v>
      </c>
      <c r="BC7" s="65">
        <v>628.58614999999998</v>
      </c>
      <c r="BD7" s="65">
        <v>947.15293700000007</v>
      </c>
      <c r="BE7" s="65">
        <v>267.97382400000004</v>
      </c>
      <c r="BF7" s="65">
        <v>5.8289239999999998</v>
      </c>
      <c r="BG7" s="65">
        <v>1849.541835</v>
      </c>
      <c r="BH7" s="69">
        <v>0</v>
      </c>
      <c r="BI7" s="65">
        <v>0.95829999999999993</v>
      </c>
      <c r="BJ7" s="65">
        <v>0.12315000000000001</v>
      </c>
      <c r="BK7" s="69">
        <v>0</v>
      </c>
      <c r="BL7" s="70">
        <f t="shared" si="0"/>
        <v>12047.873640999998</v>
      </c>
      <c r="BM7" s="70">
        <f t="shared" si="1"/>
        <v>1100.8736409999983</v>
      </c>
    </row>
    <row r="8" spans="1:65" ht="15" customHeight="1" x14ac:dyDescent="0.25">
      <c r="A8" t="s">
        <v>86</v>
      </c>
      <c r="B8" s="4" t="s">
        <v>87</v>
      </c>
      <c r="C8" s="4" t="s">
        <v>88</v>
      </c>
      <c r="D8" s="3">
        <v>777</v>
      </c>
      <c r="E8" s="3">
        <v>1703</v>
      </c>
      <c r="F8" s="3">
        <v>8111</v>
      </c>
      <c r="G8" s="3">
        <v>319</v>
      </c>
      <c r="H8" s="3">
        <v>10910</v>
      </c>
      <c r="I8" s="3">
        <v>776</v>
      </c>
      <c r="J8" s="3">
        <v>1155</v>
      </c>
      <c r="K8" s="3">
        <v>5541</v>
      </c>
      <c r="L8" s="3">
        <v>1458</v>
      </c>
      <c r="M8" s="3">
        <v>8930</v>
      </c>
      <c r="N8" s="3">
        <v>0.1</v>
      </c>
      <c r="O8" s="3">
        <v>0</v>
      </c>
      <c r="P8" s="3">
        <v>857.4</v>
      </c>
      <c r="Q8" s="3">
        <v>0</v>
      </c>
      <c r="R8" s="3">
        <v>36.700000000000003</v>
      </c>
      <c r="S8" s="3">
        <v>0</v>
      </c>
      <c r="T8" s="3">
        <v>1062</v>
      </c>
      <c r="U8" s="3">
        <v>0</v>
      </c>
      <c r="V8" s="3">
        <v>69.099999999999994</v>
      </c>
      <c r="W8" s="3">
        <v>0</v>
      </c>
      <c r="X8" s="3">
        <v>0</v>
      </c>
      <c r="Y8" s="3">
        <v>0</v>
      </c>
      <c r="Z8" s="3">
        <v>504</v>
      </c>
      <c r="AA8" s="3">
        <v>0</v>
      </c>
      <c r="AB8" s="3">
        <v>0</v>
      </c>
      <c r="AC8" s="3">
        <v>13.8</v>
      </c>
      <c r="AD8" s="3">
        <v>306.2</v>
      </c>
      <c r="AE8" s="3">
        <v>0</v>
      </c>
      <c r="AF8" s="3">
        <v>0</v>
      </c>
      <c r="AG8" s="3">
        <v>171</v>
      </c>
      <c r="AH8" s="3">
        <v>0</v>
      </c>
      <c r="AI8" s="3">
        <v>0.1</v>
      </c>
      <c r="AJ8" s="3">
        <v>0</v>
      </c>
      <c r="AK8" s="3">
        <v>277</v>
      </c>
      <c r="AL8" s="3">
        <v>0</v>
      </c>
      <c r="AM8" s="3">
        <v>87.5</v>
      </c>
      <c r="AN8" s="7">
        <v>78.119095999999999</v>
      </c>
      <c r="AO8" s="8">
        <v>366.35569300000003</v>
      </c>
      <c r="AP8" s="8">
        <v>423.81949400000002</v>
      </c>
      <c r="AQ8" s="9">
        <v>234.81647000000001</v>
      </c>
      <c r="AR8" s="7">
        <v>1103.110756</v>
      </c>
      <c r="AS8">
        <v>0</v>
      </c>
      <c r="AT8" s="10">
        <v>0</v>
      </c>
      <c r="AU8" s="11">
        <v>7039</v>
      </c>
      <c r="AV8" s="11">
        <v>0</v>
      </c>
      <c r="AW8" s="12">
        <v>7039</v>
      </c>
      <c r="AX8" s="11">
        <v>19.632999999999999</v>
      </c>
      <c r="AY8" s="7">
        <v>29.627303999999999</v>
      </c>
      <c r="AZ8" s="7">
        <v>182.63596900000002</v>
      </c>
      <c r="BA8" s="7">
        <v>80.544956999999997</v>
      </c>
      <c r="BB8" s="7">
        <v>312.44122999999996</v>
      </c>
      <c r="BC8" s="8">
        <v>552.14256</v>
      </c>
      <c r="BD8" s="8">
        <v>1028.4906040000001</v>
      </c>
      <c r="BE8" s="8">
        <v>321.618379</v>
      </c>
      <c r="BF8" s="8">
        <v>5.8710119999999995</v>
      </c>
      <c r="BG8" s="8">
        <v>1908.1225549999999</v>
      </c>
      <c r="BH8" s="12">
        <v>0</v>
      </c>
      <c r="BI8" s="8">
        <v>0.56273499999999999</v>
      </c>
      <c r="BJ8" s="8">
        <v>2.6263209999999999</v>
      </c>
      <c r="BK8" s="12">
        <v>0</v>
      </c>
      <c r="BL8" s="13">
        <f>BJ8+BI8+BH8+BG8+BB8+AW8+AR8+AR8</f>
        <v>11468.974353</v>
      </c>
      <c r="BM8" s="13">
        <f>BL8-H8</f>
        <v>558.97435299999961</v>
      </c>
    </row>
    <row r="9" spans="1:65" x14ac:dyDescent="0.25">
      <c r="A9" t="s">
        <v>159</v>
      </c>
      <c r="B9" s="4" t="s">
        <v>157</v>
      </c>
      <c r="C9" s="4" t="s">
        <v>158</v>
      </c>
      <c r="D9" s="3">
        <v>3895</v>
      </c>
      <c r="E9" s="3">
        <v>8053</v>
      </c>
      <c r="F9" s="3">
        <v>13225</v>
      </c>
      <c r="G9" s="3">
        <v>1816</v>
      </c>
      <c r="H9" s="3">
        <v>26989</v>
      </c>
      <c r="I9" s="3">
        <v>1428</v>
      </c>
      <c r="J9" s="3">
        <v>2394</v>
      </c>
      <c r="K9" s="3">
        <v>14146</v>
      </c>
      <c r="L9" s="3">
        <v>4163</v>
      </c>
      <c r="M9" s="3">
        <v>22130</v>
      </c>
      <c r="N9" s="3">
        <v>6853.6</v>
      </c>
      <c r="O9" s="3">
        <v>0</v>
      </c>
      <c r="P9" s="3">
        <v>4889.3999999999996</v>
      </c>
      <c r="Q9" s="3">
        <v>0</v>
      </c>
      <c r="R9" s="3">
        <v>381.1</v>
      </c>
      <c r="S9" s="3">
        <v>0</v>
      </c>
      <c r="T9" s="3">
        <v>0</v>
      </c>
      <c r="U9" s="3">
        <v>255</v>
      </c>
      <c r="V9" s="3">
        <v>0</v>
      </c>
      <c r="W9" s="3">
        <v>73</v>
      </c>
      <c r="X9" s="3">
        <v>1550</v>
      </c>
      <c r="Y9" s="3">
        <v>0</v>
      </c>
      <c r="Z9" s="3">
        <v>1200</v>
      </c>
      <c r="AA9" s="3">
        <v>0</v>
      </c>
      <c r="AB9" s="3">
        <v>1519.6</v>
      </c>
      <c r="AC9" s="3">
        <v>0</v>
      </c>
      <c r="AD9" s="3">
        <v>0</v>
      </c>
      <c r="AE9" s="3">
        <v>0</v>
      </c>
      <c r="AF9" s="3">
        <v>0</v>
      </c>
      <c r="AG9" s="3">
        <v>400</v>
      </c>
      <c r="AH9" s="3">
        <v>0</v>
      </c>
      <c r="AI9" s="3">
        <v>50</v>
      </c>
      <c r="AJ9" s="3">
        <v>600</v>
      </c>
      <c r="AK9" s="3">
        <v>0</v>
      </c>
      <c r="AL9" s="3">
        <v>700</v>
      </c>
      <c r="AM9" s="3">
        <v>0</v>
      </c>
      <c r="AN9" s="7">
        <v>486.40446900000001</v>
      </c>
      <c r="AO9" s="8">
        <v>1827.8667180000002</v>
      </c>
      <c r="AP9" s="8">
        <v>1527.9127279999998</v>
      </c>
      <c r="AQ9" s="9">
        <v>1229.2117000000001</v>
      </c>
      <c r="AR9" s="7">
        <v>5071.3956100000005</v>
      </c>
      <c r="AS9">
        <v>0</v>
      </c>
      <c r="AT9" s="10">
        <v>0</v>
      </c>
      <c r="AU9" s="11">
        <v>8542.09</v>
      </c>
      <c r="AV9" s="11">
        <v>0</v>
      </c>
      <c r="AW9" s="12">
        <v>8542.09</v>
      </c>
      <c r="AX9" s="7">
        <v>40.989959999999996</v>
      </c>
      <c r="AY9" s="7">
        <v>143.97096299999998</v>
      </c>
      <c r="AZ9" s="7">
        <v>1077.9646399999999</v>
      </c>
      <c r="BA9" s="7">
        <v>242.73030300000002</v>
      </c>
      <c r="BB9" s="7">
        <v>1505.6558659999998</v>
      </c>
      <c r="BC9" s="8">
        <v>3242.1989709999998</v>
      </c>
      <c r="BD9" s="8">
        <v>5952.8754200000003</v>
      </c>
      <c r="BE9" s="8">
        <v>1738.2169220000001</v>
      </c>
      <c r="BF9" s="8">
        <v>293.73080300000004</v>
      </c>
      <c r="BG9" s="8">
        <v>11227.022116</v>
      </c>
      <c r="BH9" s="12">
        <v>0</v>
      </c>
      <c r="BI9" s="8">
        <v>75.61233</v>
      </c>
      <c r="BJ9" s="8">
        <v>0.10012500000000001</v>
      </c>
      <c r="BK9" s="12">
        <v>0</v>
      </c>
      <c r="BL9" s="13">
        <f t="shared" ref="BL9:BL10" si="2">BJ9+BI9+BH9+BG9+BB9+AW9+AR9+AR9</f>
        <v>31493.271656999998</v>
      </c>
      <c r="BM9" s="13">
        <f t="shared" ref="BM9:BM10" si="3">BL9-H9</f>
        <v>4504.2716569999975</v>
      </c>
    </row>
    <row r="10" spans="1:65" s="5" customFormat="1" x14ac:dyDescent="0.25">
      <c r="A10" s="5">
        <v>4688</v>
      </c>
      <c r="B10" s="83" t="s">
        <v>249</v>
      </c>
      <c r="C10" s="83" t="s">
        <v>250</v>
      </c>
      <c r="D10" s="84">
        <v>811</v>
      </c>
      <c r="E10" s="84">
        <v>1186</v>
      </c>
      <c r="F10" s="84">
        <v>8788</v>
      </c>
      <c r="G10" s="84">
        <v>314</v>
      </c>
      <c r="H10" s="84">
        <v>11099</v>
      </c>
      <c r="I10" s="84">
        <v>847</v>
      </c>
      <c r="J10" s="84">
        <v>1401</v>
      </c>
      <c r="K10" s="84">
        <v>6193</v>
      </c>
      <c r="L10" s="84">
        <v>1617</v>
      </c>
      <c r="M10" s="84">
        <v>10058</v>
      </c>
      <c r="N10" s="84">
        <v>0</v>
      </c>
      <c r="O10" s="84">
        <v>239.9</v>
      </c>
      <c r="P10" s="84">
        <v>939.7</v>
      </c>
      <c r="Q10" s="84">
        <v>0</v>
      </c>
      <c r="R10" s="84">
        <v>0</v>
      </c>
      <c r="S10" s="84">
        <v>385.7</v>
      </c>
      <c r="T10" s="84">
        <v>683</v>
      </c>
      <c r="U10" s="84">
        <v>0</v>
      </c>
      <c r="V10" s="84">
        <v>0</v>
      </c>
      <c r="W10" s="84">
        <v>344</v>
      </c>
      <c r="X10" s="84">
        <v>126.2</v>
      </c>
      <c r="Y10" s="84">
        <v>0</v>
      </c>
      <c r="Z10" s="84">
        <v>1200</v>
      </c>
      <c r="AA10" s="84">
        <v>0</v>
      </c>
      <c r="AB10" s="84">
        <v>0</v>
      </c>
      <c r="AC10" s="84">
        <v>0</v>
      </c>
      <c r="AD10" s="84">
        <v>0</v>
      </c>
      <c r="AE10" s="84">
        <v>0</v>
      </c>
      <c r="AF10" s="84">
        <v>0</v>
      </c>
      <c r="AG10" s="84">
        <v>227.3</v>
      </c>
      <c r="AH10" s="84">
        <v>0</v>
      </c>
      <c r="AI10" s="84">
        <v>51.7</v>
      </c>
      <c r="AJ10" s="84">
        <v>0</v>
      </c>
      <c r="AK10" s="84">
        <v>57</v>
      </c>
      <c r="AL10" s="84">
        <v>261.7</v>
      </c>
      <c r="AM10" s="84">
        <v>0</v>
      </c>
      <c r="AN10" s="85">
        <v>5.21706</v>
      </c>
      <c r="AO10" s="86">
        <v>22.646111000000001</v>
      </c>
      <c r="AP10" s="86">
        <v>21.528065999999999</v>
      </c>
      <c r="AQ10" s="87">
        <v>76.931160000000006</v>
      </c>
      <c r="AR10" s="85">
        <v>126.322395</v>
      </c>
      <c r="AS10" s="5">
        <v>0</v>
      </c>
      <c r="AT10" s="88">
        <v>0</v>
      </c>
      <c r="AU10" s="89">
        <v>7929.73</v>
      </c>
      <c r="AV10" s="89">
        <v>0</v>
      </c>
      <c r="AW10" s="90">
        <v>7929.73</v>
      </c>
      <c r="AX10" s="89">
        <v>20.664000000000001</v>
      </c>
      <c r="AY10" s="85">
        <v>25.018978000000001</v>
      </c>
      <c r="AZ10" s="85">
        <v>223.41067900000002</v>
      </c>
      <c r="BA10" s="85">
        <v>61.2761</v>
      </c>
      <c r="BB10" s="85">
        <v>330.36975699999999</v>
      </c>
      <c r="BC10" s="86">
        <v>757.76254000000006</v>
      </c>
      <c r="BD10" s="86">
        <v>1108.817231</v>
      </c>
      <c r="BE10" s="86">
        <v>392.77805699999999</v>
      </c>
      <c r="BF10" s="86">
        <v>9.9537770000000005</v>
      </c>
      <c r="BG10" s="86">
        <v>2269.3116049999999</v>
      </c>
      <c r="BH10" s="90">
        <v>0</v>
      </c>
      <c r="BI10" s="86">
        <v>4.5541149999999995</v>
      </c>
      <c r="BJ10" s="86">
        <v>45.419184000000001</v>
      </c>
      <c r="BK10" s="90">
        <v>0</v>
      </c>
      <c r="BL10" s="91">
        <f t="shared" si="2"/>
        <v>10832.029450999999</v>
      </c>
      <c r="BM10" s="91">
        <f t="shared" si="3"/>
        <v>-266.97054900000148</v>
      </c>
    </row>
    <row r="11" spans="1:65" x14ac:dyDescent="0.25">
      <c r="D11">
        <f>SUM(AN10,AS10,AX10,BC10)</f>
        <v>783.64360000000011</v>
      </c>
      <c r="E11">
        <f t="shared" ref="E11:H11" si="4">SUM(AO10,AT10,AY10,BD10)</f>
        <v>1156.4823200000001</v>
      </c>
      <c r="F11">
        <f t="shared" si="4"/>
        <v>8567.4468019999986</v>
      </c>
      <c r="G11">
        <f t="shared" si="4"/>
        <v>148.16103700000002</v>
      </c>
      <c r="H11">
        <f t="shared" si="4"/>
        <v>10655.733756999998</v>
      </c>
      <c r="M11" t="s">
        <v>223</v>
      </c>
      <c r="N11">
        <f>SUM(R10,T10,V10,X10,Z10,AD10,AF10,AH10,AJ10,AL10)-SUM(S10,U10,W10,Y10,AA10,AE10,AG10,AI10,AK10,AM10)</f>
        <v>1205.2</v>
      </c>
      <c r="O11">
        <f>SUM(N11:N13)</f>
        <v>164.20000000000073</v>
      </c>
    </row>
    <row r="12" spans="1:65" x14ac:dyDescent="0.25">
      <c r="A12" t="s">
        <v>51</v>
      </c>
      <c r="J12" t="s">
        <v>37</v>
      </c>
      <c r="N12">
        <f>M10</f>
        <v>10058</v>
      </c>
    </row>
    <row r="13" spans="1:65" x14ac:dyDescent="0.25">
      <c r="A13" t="s">
        <v>35</v>
      </c>
      <c r="N13">
        <f>-H10</f>
        <v>-11099</v>
      </c>
    </row>
    <row r="14" spans="1:65" x14ac:dyDescent="0.25">
      <c r="K14" t="s">
        <v>28</v>
      </c>
      <c r="Q14">
        <f>A10</f>
        <v>4688</v>
      </c>
      <c r="R14" t="s">
        <v>26</v>
      </c>
      <c r="Z14" s="19" t="s">
        <v>128</v>
      </c>
      <c r="AA14" s="19"/>
      <c r="AB14" s="19"/>
      <c r="AC14" s="19"/>
      <c r="AD14" s="19"/>
      <c r="AE14" s="19"/>
      <c r="AF14" s="19"/>
      <c r="AG14" s="19"/>
    </row>
    <row r="15" spans="1:65" x14ac:dyDescent="0.25">
      <c r="A15" t="s">
        <v>28</v>
      </c>
      <c r="B15" t="s">
        <v>40</v>
      </c>
      <c r="C15" t="s">
        <v>41</v>
      </c>
      <c r="D15" t="s">
        <v>42</v>
      </c>
      <c r="E15" t="s">
        <v>43</v>
      </c>
      <c r="F15" t="s">
        <v>39</v>
      </c>
      <c r="G15" t="s">
        <v>104</v>
      </c>
      <c r="K15" t="s">
        <v>40</v>
      </c>
      <c r="L15" t="s">
        <v>41</v>
      </c>
      <c r="M15" t="s">
        <v>42</v>
      </c>
      <c r="N15" t="s">
        <v>43</v>
      </c>
      <c r="O15" t="s">
        <v>39</v>
      </c>
      <c r="R15" t="s">
        <v>40</v>
      </c>
      <c r="S15" t="s">
        <v>41</v>
      </c>
      <c r="T15" t="s">
        <v>42</v>
      </c>
      <c r="U15" t="s">
        <v>43</v>
      </c>
      <c r="V15" t="s">
        <v>39</v>
      </c>
      <c r="Z15" s="19"/>
      <c r="AA15" s="19" t="s">
        <v>127</v>
      </c>
      <c r="AB15" s="19"/>
      <c r="AC15" s="19" t="s">
        <v>41</v>
      </c>
      <c r="AD15" s="19"/>
      <c r="AE15" s="19" t="s">
        <v>42</v>
      </c>
      <c r="AF15" s="19"/>
      <c r="AG15" s="19" t="s">
        <v>43</v>
      </c>
    </row>
    <row r="16" spans="1:65" x14ac:dyDescent="0.25">
      <c r="A16" t="s">
        <v>31</v>
      </c>
      <c r="B16">
        <f t="shared" ref="B16:E21" si="5">K16/K$22*B$22</f>
        <v>5314.9999999999991</v>
      </c>
      <c r="C16">
        <f t="shared" si="5"/>
        <v>8055</v>
      </c>
      <c r="D16">
        <f t="shared" si="5"/>
        <v>2582</v>
      </c>
      <c r="E16">
        <f t="shared" si="5"/>
        <v>349</v>
      </c>
      <c r="F16">
        <f>SUM(B16:E16)</f>
        <v>16301</v>
      </c>
      <c r="G16" s="60">
        <f>SUM(B42:B46,I42:I47,P42:P50,Y42:Y43)</f>
        <v>16303.3238</v>
      </c>
      <c r="J16" t="s">
        <v>31</v>
      </c>
      <c r="K16">
        <v>5315</v>
      </c>
      <c r="L16">
        <v>8055</v>
      </c>
      <c r="M16">
        <v>2582</v>
      </c>
      <c r="N16">
        <v>349</v>
      </c>
      <c r="O16">
        <f>SUM(K16:N16)</f>
        <v>16301</v>
      </c>
      <c r="Q16" t="s">
        <v>31</v>
      </c>
      <c r="R16" s="2">
        <f>BC10/K$16</f>
        <v>0.14257056255879588</v>
      </c>
      <c r="S16" s="2">
        <f t="shared" ref="S16:V16" si="6">BD10/L$16</f>
        <v>0.13765577045313471</v>
      </c>
      <c r="T16" s="2">
        <f t="shared" si="6"/>
        <v>0.1521216332300542</v>
      </c>
      <c r="U16" s="2">
        <f t="shared" si="6"/>
        <v>2.8520851002865329E-2</v>
      </c>
      <c r="V16" s="2">
        <f t="shared" si="6"/>
        <v>0.13921303018219741</v>
      </c>
      <c r="Z16" s="19" t="s">
        <v>129</v>
      </c>
      <c r="AA16" t="e">
        <f>#REF!-#REF!</f>
        <v>#REF!</v>
      </c>
      <c r="AB16" s="19" t="s">
        <v>131</v>
      </c>
      <c r="AC16" t="e">
        <f>#REF!-#REF!</f>
        <v>#REF!</v>
      </c>
      <c r="AD16" s="19" t="s">
        <v>132</v>
      </c>
      <c r="AE16" t="e">
        <f>#REF!-#REF!</f>
        <v>#REF!</v>
      </c>
      <c r="AF16" s="19" t="s">
        <v>135</v>
      </c>
      <c r="AG16" t="e">
        <f>#REF!-#REF!</f>
        <v>#REF!</v>
      </c>
    </row>
    <row r="17" spans="1:33" x14ac:dyDescent="0.25">
      <c r="A17" t="s">
        <v>49</v>
      </c>
      <c r="B17">
        <f t="shared" si="5"/>
        <v>521</v>
      </c>
      <c r="C17">
        <f t="shared" si="5"/>
        <v>2378</v>
      </c>
      <c r="D17">
        <f t="shared" si="5"/>
        <v>2178</v>
      </c>
      <c r="E17">
        <f t="shared" si="5"/>
        <v>1614</v>
      </c>
      <c r="F17">
        <f t="shared" ref="F17:F20" si="7">SUM(B17:E17)</f>
        <v>6691</v>
      </c>
      <c r="G17" s="60">
        <f>SUM(D42:D46,K42:K47,R42:R50,AA42:AA43)</f>
        <v>6691</v>
      </c>
      <c r="J17" t="s">
        <v>49</v>
      </c>
      <c r="K17">
        <v>521</v>
      </c>
      <c r="L17">
        <v>2378</v>
      </c>
      <c r="M17">
        <v>2178</v>
      </c>
      <c r="N17">
        <v>1614</v>
      </c>
      <c r="O17">
        <f t="shared" ref="O17:O21" si="8">SUM(K17:N17)</f>
        <v>6691</v>
      </c>
      <c r="Q17" t="s">
        <v>49</v>
      </c>
      <c r="R17" s="2">
        <f>AN10/K17</f>
        <v>1.0013550863723608E-2</v>
      </c>
      <c r="S17" s="2">
        <f t="shared" ref="S17:V17" si="9">AO10/L17</f>
        <v>9.5231753574432296E-3</v>
      </c>
      <c r="T17" s="2">
        <f t="shared" si="9"/>
        <v>9.8843278236914588E-3</v>
      </c>
      <c r="U17" s="2">
        <f t="shared" si="9"/>
        <v>4.766490706319703E-2</v>
      </c>
      <c r="V17" s="2">
        <f t="shared" si="9"/>
        <v>1.8879449260200271E-2</v>
      </c>
      <c r="Z17" s="19" t="s">
        <v>130</v>
      </c>
      <c r="AA17" t="e">
        <f>#REF!-#REF!</f>
        <v>#REF!</v>
      </c>
      <c r="AB17" s="19" t="s">
        <v>130</v>
      </c>
      <c r="AC17" t="e">
        <f>#REF!-#REF!</f>
        <v>#REF!</v>
      </c>
      <c r="AD17" s="19" t="s">
        <v>133</v>
      </c>
      <c r="AE17" t="e">
        <f>#REF!-#REF!</f>
        <v>#REF!</v>
      </c>
      <c r="AF17" s="19" t="s">
        <v>136</v>
      </c>
      <c r="AG17" t="e">
        <f>#REF!-#REF!</f>
        <v>#REF!</v>
      </c>
    </row>
    <row r="18" spans="1:33" x14ac:dyDescent="0.25">
      <c r="A18" t="s">
        <v>32</v>
      </c>
      <c r="B18">
        <f t="shared" si="5"/>
        <v>0</v>
      </c>
      <c r="C18">
        <f t="shared" si="5"/>
        <v>0</v>
      </c>
      <c r="D18">
        <f t="shared" si="5"/>
        <v>8586</v>
      </c>
      <c r="E18">
        <f t="shared" si="5"/>
        <v>0</v>
      </c>
      <c r="F18">
        <f t="shared" si="7"/>
        <v>8586</v>
      </c>
      <c r="G18" s="18">
        <f>SUM(S42:S48)</f>
        <v>8586</v>
      </c>
      <c r="J18" t="s">
        <v>32</v>
      </c>
      <c r="K18">
        <v>0</v>
      </c>
      <c r="L18">
        <v>0</v>
      </c>
      <c r="M18">
        <v>8586</v>
      </c>
      <c r="N18">
        <v>0</v>
      </c>
      <c r="O18">
        <f t="shared" si="8"/>
        <v>8586</v>
      </c>
      <c r="Q18" t="s">
        <v>32</v>
      </c>
      <c r="R18" s="71" t="s">
        <v>36</v>
      </c>
      <c r="S18" s="71" t="s">
        <v>36</v>
      </c>
      <c r="T18" s="2">
        <f t="shared" ref="T18:V18" si="10">AU10/M18</f>
        <v>0.92356510598648955</v>
      </c>
      <c r="U18" s="71" t="s">
        <v>36</v>
      </c>
      <c r="V18" s="2">
        <f t="shared" si="10"/>
        <v>0.92356510598648955</v>
      </c>
      <c r="AD18" s="19" t="s">
        <v>134</v>
      </c>
      <c r="AE18" t="e">
        <f>#REF!-#REF!</f>
        <v>#REF!</v>
      </c>
      <c r="AF18" s="19" t="s">
        <v>137</v>
      </c>
      <c r="AG18" t="e">
        <f>#REF!-#REF!</f>
        <v>#REF!</v>
      </c>
    </row>
    <row r="19" spans="1:33" x14ac:dyDescent="0.25">
      <c r="A19" t="s">
        <v>33</v>
      </c>
      <c r="B19">
        <f t="shared" si="5"/>
        <v>3.9999999999999996</v>
      </c>
      <c r="C19">
        <f t="shared" si="5"/>
        <v>10.999999999999998</v>
      </c>
      <c r="D19">
        <f t="shared" si="5"/>
        <v>159</v>
      </c>
      <c r="E19">
        <f t="shared" si="5"/>
        <v>80</v>
      </c>
      <c r="F19">
        <f t="shared" si="7"/>
        <v>254</v>
      </c>
      <c r="G19" s="18">
        <v>0</v>
      </c>
      <c r="J19" t="s">
        <v>33</v>
      </c>
      <c r="K19">
        <v>4</v>
      </c>
      <c r="L19">
        <v>11</v>
      </c>
      <c r="M19">
        <v>159</v>
      </c>
      <c r="N19">
        <v>80</v>
      </c>
      <c r="O19">
        <f t="shared" si="8"/>
        <v>254</v>
      </c>
      <c r="Q19" t="s">
        <v>33</v>
      </c>
      <c r="R19" s="71" t="s">
        <v>36</v>
      </c>
      <c r="S19" s="71" t="s">
        <v>36</v>
      </c>
      <c r="T19" s="71" t="s">
        <v>36</v>
      </c>
      <c r="U19" s="71" t="s">
        <v>36</v>
      </c>
      <c r="V19" s="2">
        <f>BJ10/O19</f>
        <v>0.17881568503937009</v>
      </c>
    </row>
    <row r="20" spans="1:33" x14ac:dyDescent="0.25">
      <c r="A20" t="s">
        <v>48</v>
      </c>
      <c r="B20">
        <f t="shared" si="5"/>
        <v>264</v>
      </c>
      <c r="C20">
        <f t="shared" si="5"/>
        <v>532</v>
      </c>
      <c r="D20">
        <f t="shared" si="5"/>
        <v>4046</v>
      </c>
      <c r="E20">
        <f t="shared" si="5"/>
        <v>2162</v>
      </c>
      <c r="F20">
        <f t="shared" si="7"/>
        <v>7004</v>
      </c>
      <c r="G20" s="60">
        <f>SUM(C42:C46,J42:J47,Q42:Q50,Z42:Z43)</f>
        <v>7003.8741674641151</v>
      </c>
      <c r="J20" t="s">
        <v>48</v>
      </c>
      <c r="K20">
        <v>264</v>
      </c>
      <c r="L20">
        <v>532</v>
      </c>
      <c r="M20">
        <v>4046</v>
      </c>
      <c r="N20">
        <v>2162</v>
      </c>
      <c r="O20">
        <f t="shared" si="8"/>
        <v>7004</v>
      </c>
      <c r="Q20" t="s">
        <v>48</v>
      </c>
      <c r="R20" s="2">
        <f>AX10/K20</f>
        <v>7.8272727272727272E-2</v>
      </c>
      <c r="S20" s="2">
        <f t="shared" ref="S20:V20" si="11">AY10/L20</f>
        <v>4.7028154135338347E-2</v>
      </c>
      <c r="T20" s="2">
        <f t="shared" si="11"/>
        <v>5.5217666584280775E-2</v>
      </c>
      <c r="U20" s="2">
        <f t="shared" si="11"/>
        <v>2.834232192414431E-2</v>
      </c>
      <c r="V20" s="2">
        <f t="shared" si="11"/>
        <v>4.7168726013706454E-2</v>
      </c>
    </row>
    <row r="21" spans="1:33" x14ac:dyDescent="0.25">
      <c r="A21" t="s">
        <v>160</v>
      </c>
      <c r="B21">
        <f t="shared" si="5"/>
        <v>0.99999999999999989</v>
      </c>
      <c r="C21">
        <f t="shared" si="5"/>
        <v>2</v>
      </c>
      <c r="D21">
        <f t="shared" si="5"/>
        <v>10</v>
      </c>
      <c r="E21">
        <f t="shared" si="5"/>
        <v>2</v>
      </c>
      <c r="F21">
        <f t="shared" ref="F21" si="12">SUM(B21:E21)</f>
        <v>15</v>
      </c>
      <c r="J21" t="s">
        <v>160</v>
      </c>
      <c r="K21">
        <v>1</v>
      </c>
      <c r="L21">
        <v>2</v>
      </c>
      <c r="M21">
        <v>10</v>
      </c>
      <c r="N21">
        <v>2</v>
      </c>
      <c r="O21">
        <f t="shared" si="8"/>
        <v>15</v>
      </c>
      <c r="Q21" t="s">
        <v>160</v>
      </c>
      <c r="R21" s="71" t="s">
        <v>36</v>
      </c>
      <c r="S21" s="71" t="s">
        <v>36</v>
      </c>
      <c r="T21" s="71" t="s">
        <v>36</v>
      </c>
      <c r="U21" s="71" t="s">
        <v>36</v>
      </c>
      <c r="V21" s="2">
        <f>BI10/O21</f>
        <v>0.30360766666666661</v>
      </c>
    </row>
    <row r="22" spans="1:33" x14ac:dyDescent="0.25">
      <c r="A22" t="s">
        <v>50</v>
      </c>
      <c r="B22">
        <f>K22/$O22*$F$22</f>
        <v>6104.9999999999991</v>
      </c>
      <c r="C22">
        <f>L22/$O22*$F$22</f>
        <v>10978</v>
      </c>
      <c r="D22">
        <f>M22/$O22*$F$22</f>
        <v>17561</v>
      </c>
      <c r="E22">
        <f>N22/$O22*$F$22</f>
        <v>4207</v>
      </c>
      <c r="F22" s="23">
        <v>38851</v>
      </c>
      <c r="G22" s="18">
        <f>SUM(G16:G20)</f>
        <v>38584.197967464112</v>
      </c>
      <c r="J22" t="s">
        <v>35</v>
      </c>
      <c r="K22">
        <f>SUM(K16:K21)</f>
        <v>6105</v>
      </c>
      <c r="L22">
        <f>SUM(L16:L21)</f>
        <v>10978</v>
      </c>
      <c r="M22">
        <f>SUM(M16:M21)</f>
        <v>17561</v>
      </c>
      <c r="N22">
        <f>SUM(N16:N21)</f>
        <v>4207</v>
      </c>
      <c r="O22">
        <f>SUM(K22:N22)</f>
        <v>38851</v>
      </c>
      <c r="Q22" t="s">
        <v>35</v>
      </c>
    </row>
    <row r="23" spans="1:33" x14ac:dyDescent="0.25">
      <c r="A23" t="s">
        <v>4</v>
      </c>
      <c r="G23">
        <f>G22+O21+O19</f>
        <v>38853.197967464112</v>
      </c>
      <c r="R23" s="21"/>
      <c r="S23" s="21"/>
      <c r="T23" s="21"/>
      <c r="W23" s="21" t="s">
        <v>114</v>
      </c>
      <c r="X23" s="21" t="s">
        <v>115</v>
      </c>
    </row>
    <row r="24" spans="1:33" x14ac:dyDescent="0.25">
      <c r="A24" s="19" t="s">
        <v>40</v>
      </c>
      <c r="B24" s="19"/>
      <c r="C24" s="19"/>
      <c r="D24" s="19"/>
      <c r="E24" s="20"/>
      <c r="F24" s="19" t="s">
        <v>41</v>
      </c>
      <c r="G24" s="19"/>
      <c r="H24" s="19"/>
      <c r="I24" s="19"/>
      <c r="J24" s="20"/>
      <c r="K24" s="19" t="s">
        <v>42</v>
      </c>
      <c r="L24" s="19"/>
      <c r="M24" s="19"/>
      <c r="N24" s="19"/>
      <c r="O24" s="19"/>
      <c r="P24" s="20"/>
      <c r="Q24" s="19" t="s">
        <v>43</v>
      </c>
      <c r="R24" s="19"/>
      <c r="S24" s="19"/>
      <c r="T24" s="19"/>
      <c r="U24" s="20"/>
      <c r="W24">
        <v>380</v>
      </c>
      <c r="X24" s="24">
        <f t="shared" ref="X24:X32" si="13">W24/$W$32</f>
        <v>0.19437340153452684</v>
      </c>
    </row>
    <row r="25" spans="1:33" x14ac:dyDescent="0.25">
      <c r="A25" s="19" t="s">
        <v>52</v>
      </c>
      <c r="B25" s="92" t="s">
        <v>30</v>
      </c>
      <c r="C25" s="92"/>
      <c r="D25" s="92"/>
      <c r="E25" s="20"/>
      <c r="F25" s="19"/>
      <c r="G25" s="40" t="s">
        <v>38</v>
      </c>
      <c r="H25" s="40"/>
      <c r="I25" s="40"/>
      <c r="J25" s="20"/>
      <c r="K25" s="19" t="s">
        <v>52</v>
      </c>
      <c r="L25" s="40" t="s">
        <v>30</v>
      </c>
      <c r="M25" s="40"/>
      <c r="N25" s="40"/>
      <c r="O25" s="40"/>
      <c r="P25" s="20"/>
      <c r="Q25" s="19" t="s">
        <v>52</v>
      </c>
      <c r="R25" s="40" t="s">
        <v>30</v>
      </c>
      <c r="S25" s="40"/>
      <c r="T25" s="40"/>
      <c r="U25" s="20"/>
      <c r="W25">
        <v>350</v>
      </c>
      <c r="X25" s="24">
        <f t="shared" si="13"/>
        <v>0.17902813299232737</v>
      </c>
    </row>
    <row r="26" spans="1:33" x14ac:dyDescent="0.25">
      <c r="A26" s="19"/>
      <c r="B26" s="19" t="s">
        <v>31</v>
      </c>
      <c r="C26" s="19" t="s">
        <v>34</v>
      </c>
      <c r="D26" s="19" t="s">
        <v>101</v>
      </c>
      <c r="E26" s="20"/>
      <c r="F26" s="19"/>
      <c r="G26" s="19" t="s">
        <v>31</v>
      </c>
      <c r="H26" s="19" t="s">
        <v>102</v>
      </c>
      <c r="I26" s="19" t="s">
        <v>101</v>
      </c>
      <c r="J26" s="20"/>
      <c r="K26" s="19"/>
      <c r="L26" s="19" t="s">
        <v>103</v>
      </c>
      <c r="M26" s="19" t="s">
        <v>102</v>
      </c>
      <c r="N26" s="19" t="s">
        <v>101</v>
      </c>
      <c r="O26" s="19" t="s">
        <v>32</v>
      </c>
      <c r="P26" s="20"/>
      <c r="Q26" s="19"/>
      <c r="R26" s="19" t="s">
        <v>103</v>
      </c>
      <c r="S26" s="19" t="s">
        <v>102</v>
      </c>
      <c r="T26" s="19" t="s">
        <v>101</v>
      </c>
      <c r="U26" s="20"/>
      <c r="W26">
        <v>320</v>
      </c>
      <c r="X26" s="24">
        <f t="shared" si="13"/>
        <v>0.16368286445012789</v>
      </c>
    </row>
    <row r="27" spans="1:33" x14ac:dyDescent="0.25">
      <c r="A27" s="37" t="s">
        <v>13</v>
      </c>
      <c r="B27" s="2">
        <v>0.19437340153452684</v>
      </c>
      <c r="C27" s="2"/>
      <c r="D27" s="2">
        <v>0.48192771084337349</v>
      </c>
      <c r="E27" s="54">
        <f>(B27*$B$16+C27*$B$20+D27*$B$17)/$B$22</f>
        <v>0.21034872506231084</v>
      </c>
      <c r="F27" s="37" t="s">
        <v>16</v>
      </c>
      <c r="G27" s="2">
        <v>0.05</v>
      </c>
      <c r="H27" s="2">
        <v>0</v>
      </c>
      <c r="I27" s="2">
        <v>0.16759776536312848</v>
      </c>
      <c r="J27" s="54">
        <f>(G27*$C$16+H27*$C$20+I27*$C$17)/$C$22</f>
        <v>7.2991208419887016E-2</v>
      </c>
      <c r="K27" s="37" t="s">
        <v>53</v>
      </c>
      <c r="L27" s="2">
        <v>0.04</v>
      </c>
      <c r="M27" s="2">
        <v>0</v>
      </c>
      <c r="N27" s="2">
        <v>7.0000000000000007E-2</v>
      </c>
      <c r="O27" s="2">
        <v>0</v>
      </c>
      <c r="P27" s="54">
        <f>(L27*$D$16+M27*$D$20+N27*$D$17 + $D$18*O27)/$D$22</f>
        <v>1.4562951995900006E-2</v>
      </c>
      <c r="Q27" s="36" t="s">
        <v>12</v>
      </c>
      <c r="R27" s="6">
        <v>0.8</v>
      </c>
      <c r="S27" s="6">
        <v>0</v>
      </c>
      <c r="T27" s="6">
        <v>0.7</v>
      </c>
      <c r="U27" s="55">
        <f>(R27*$E$16+S27*$E$20+T27*$E$17)/$E$22</f>
        <v>0.33491799381982412</v>
      </c>
      <c r="W27">
        <v>530</v>
      </c>
      <c r="X27" s="24">
        <f t="shared" si="13"/>
        <v>0.2710997442455243</v>
      </c>
    </row>
    <row r="28" spans="1:33" x14ac:dyDescent="0.25">
      <c r="A28" s="37" t="s">
        <v>14</v>
      </c>
      <c r="B28" s="2">
        <v>0.17902813299232737</v>
      </c>
      <c r="C28" s="2">
        <v>1</v>
      </c>
      <c r="D28" s="2">
        <v>0.38554216867469882</v>
      </c>
      <c r="E28" s="54">
        <f t="shared" ref="E28:E31" si="14">(B28*$B$16+C28*$B$20+D28*$B$17)/$B$22</f>
        <v>0.23200687907186532</v>
      </c>
      <c r="F28" s="37" t="s">
        <v>17</v>
      </c>
      <c r="G28" s="2">
        <v>0.05</v>
      </c>
      <c r="H28" s="2">
        <v>0</v>
      </c>
      <c r="I28" s="2">
        <v>0.18994413407821228</v>
      </c>
      <c r="J28" s="54">
        <f t="shared" ref="J28:J32" si="15">(G28*$C$16+H28*$C$20+I28*$C$17)/$C$22</f>
        <v>7.7831768157951245E-2</v>
      </c>
      <c r="K28" s="37" t="s">
        <v>6</v>
      </c>
      <c r="L28" s="2">
        <v>0.05</v>
      </c>
      <c r="M28" s="2">
        <v>0</v>
      </c>
      <c r="N28" s="2">
        <v>0.03</v>
      </c>
      <c r="O28" s="2">
        <v>0</v>
      </c>
      <c r="P28" s="54">
        <f t="shared" ref="P28:P35" si="16">(L28*$D$16+M28*$D$20+N28*$D$17 + $D$18*O28)/$D$22</f>
        <v>1.1072262399635557E-2</v>
      </c>
      <c r="Q28" s="36" t="s">
        <v>218</v>
      </c>
      <c r="R28" s="56">
        <v>0.2</v>
      </c>
      <c r="S28" s="6">
        <v>1</v>
      </c>
      <c r="T28" s="6">
        <v>0.3</v>
      </c>
      <c r="U28" s="55">
        <f>(R28*$E$16+S28*$E$20+T28*$E$17)/$E$22</f>
        <v>0.64559068219633942</v>
      </c>
      <c r="W28">
        <v>375</v>
      </c>
      <c r="X28" s="24">
        <f t="shared" si="13"/>
        <v>0.1918158567774936</v>
      </c>
    </row>
    <row r="29" spans="1:33" x14ac:dyDescent="0.25">
      <c r="A29" s="37" t="s">
        <v>15</v>
      </c>
      <c r="B29" s="2">
        <v>0.16368286445012789</v>
      </c>
      <c r="C29" s="2"/>
      <c r="D29" s="2">
        <v>0</v>
      </c>
      <c r="E29" s="54">
        <f t="shared" si="14"/>
        <v>0.14250195324364123</v>
      </c>
      <c r="F29" s="35" t="s">
        <v>18</v>
      </c>
      <c r="G29" s="2">
        <v>0.05</v>
      </c>
      <c r="H29" s="2">
        <v>0</v>
      </c>
      <c r="I29" s="2">
        <v>0.35754189944134079</v>
      </c>
      <c r="J29" s="54">
        <f t="shared" si="15"/>
        <v>0.11413596619343308</v>
      </c>
      <c r="K29" s="36" t="s">
        <v>54</v>
      </c>
      <c r="L29" s="2">
        <v>0.19040000000000001</v>
      </c>
      <c r="M29" s="2">
        <v>0.4784688995215311</v>
      </c>
      <c r="N29" s="2">
        <v>0.187</v>
      </c>
      <c r="O29" s="2">
        <v>0</v>
      </c>
      <c r="P29" s="54">
        <f t="shared" si="16"/>
        <v>0.16142497394590941</v>
      </c>
      <c r="Q29" s="24"/>
      <c r="R29" s="21"/>
      <c r="U29" s="6">
        <f>SUM(U27:U28)</f>
        <v>0.98050867601616354</v>
      </c>
      <c r="W29" s="21"/>
      <c r="X29" s="24">
        <f t="shared" si="13"/>
        <v>0</v>
      </c>
    </row>
    <row r="30" spans="1:33" x14ac:dyDescent="0.25">
      <c r="A30" s="36" t="s">
        <v>19</v>
      </c>
      <c r="B30" s="2">
        <v>0.2710997442455243</v>
      </c>
      <c r="C30" s="2"/>
      <c r="D30" s="2">
        <v>0.13253012048192772</v>
      </c>
      <c r="E30" s="54">
        <f t="shared" si="14"/>
        <v>0.24732896534578969</v>
      </c>
      <c r="F30" s="36" t="s">
        <v>21</v>
      </c>
      <c r="G30" s="2">
        <v>0.4</v>
      </c>
      <c r="H30" s="2">
        <v>1</v>
      </c>
      <c r="I30" s="2">
        <v>0</v>
      </c>
      <c r="J30" s="54">
        <f t="shared" si="15"/>
        <v>0.34195664055383496</v>
      </c>
      <c r="K30" s="36" t="s">
        <v>8</v>
      </c>
      <c r="L30" s="2">
        <v>0.1182</v>
      </c>
      <c r="M30" s="2">
        <v>0.20150000000000001</v>
      </c>
      <c r="N30" s="2">
        <v>0.06</v>
      </c>
      <c r="O30" s="2">
        <v>0</v>
      </c>
      <c r="P30" s="54">
        <f t="shared" si="16"/>
        <v>7.1245452992426406E-2</v>
      </c>
      <c r="W30" s="21"/>
      <c r="X30" s="24">
        <f t="shared" si="13"/>
        <v>0</v>
      </c>
      <c r="Y30" s="21"/>
      <c r="Z30" s="21"/>
      <c r="AA30" s="21"/>
      <c r="AB30" s="21"/>
      <c r="AC30" s="21"/>
      <c r="AD30" s="21"/>
    </row>
    <row r="31" spans="1:33" x14ac:dyDescent="0.25">
      <c r="A31" s="36" t="s">
        <v>20</v>
      </c>
      <c r="B31" s="2">
        <v>0.1918158567774936</v>
      </c>
      <c r="C31" s="2"/>
      <c r="D31" s="2">
        <v>0</v>
      </c>
      <c r="E31" s="54">
        <f t="shared" si="14"/>
        <v>0.16699447645739204</v>
      </c>
      <c r="F31" s="36" t="s">
        <v>22</v>
      </c>
      <c r="G31" s="2">
        <v>0.33</v>
      </c>
      <c r="H31" s="2">
        <v>0</v>
      </c>
      <c r="I31" s="2">
        <v>0</v>
      </c>
      <c r="J31" s="54">
        <f t="shared" si="15"/>
        <v>0.24213426853707415</v>
      </c>
      <c r="K31" s="36" t="s">
        <v>9</v>
      </c>
      <c r="L31" s="2">
        <v>0</v>
      </c>
      <c r="M31" s="2">
        <v>0</v>
      </c>
      <c r="N31" s="2">
        <v>0</v>
      </c>
      <c r="O31" s="25">
        <v>0.44517338331771322</v>
      </c>
      <c r="P31" s="54">
        <f t="shared" si="16"/>
        <v>0.21765609413848219</v>
      </c>
      <c r="Q31" s="21"/>
      <c r="X31" s="24">
        <f t="shared" si="13"/>
        <v>0</v>
      </c>
      <c r="Y31" s="21"/>
      <c r="Z31" s="21"/>
      <c r="AA31" s="21"/>
      <c r="AB31" s="21"/>
      <c r="AC31" s="21"/>
      <c r="AD31" s="21"/>
    </row>
    <row r="32" spans="1:33" x14ac:dyDescent="0.25">
      <c r="A32" s="24"/>
      <c r="B32" s="59">
        <f>SUM(B27:B31)</f>
        <v>1</v>
      </c>
      <c r="C32" s="59">
        <f t="shared" ref="C32:D32" si="17">SUM(C27:C31)</f>
        <v>1</v>
      </c>
      <c r="D32" s="59">
        <f t="shared" si="17"/>
        <v>1</v>
      </c>
      <c r="E32" s="54">
        <f>SUM(E27:E31)</f>
        <v>0.99918099918099923</v>
      </c>
      <c r="F32" s="36" t="s">
        <v>121</v>
      </c>
      <c r="G32" s="2">
        <v>0.12</v>
      </c>
      <c r="H32" s="2"/>
      <c r="I32" s="2">
        <v>0.28491620111731841</v>
      </c>
      <c r="J32" s="54">
        <f t="shared" si="15"/>
        <v>0.14976596158289152</v>
      </c>
      <c r="K32" s="36" t="s">
        <v>10</v>
      </c>
      <c r="L32" s="2">
        <v>0</v>
      </c>
      <c r="M32" s="2">
        <v>0</v>
      </c>
      <c r="N32" s="2">
        <v>0.04</v>
      </c>
      <c r="O32" s="2">
        <v>0.16744767260231178</v>
      </c>
      <c r="P32" s="54">
        <f t="shared" si="16"/>
        <v>8.6830232729539825E-2</v>
      </c>
      <c r="Q32" s="21"/>
      <c r="W32" s="21">
        <f>SUM(W24:W31)</f>
        <v>1955</v>
      </c>
      <c r="X32" s="24">
        <f t="shared" si="13"/>
        <v>1</v>
      </c>
      <c r="Y32" s="21"/>
      <c r="Z32" s="21"/>
      <c r="AA32" s="21"/>
      <c r="AB32" s="21"/>
      <c r="AC32" s="21"/>
      <c r="AD32" s="21"/>
    </row>
    <row r="33" spans="1:30" x14ac:dyDescent="0.25">
      <c r="A33" s="24"/>
      <c r="B33" s="21"/>
      <c r="G33" s="57">
        <f>SUM(G27:G32)</f>
        <v>1</v>
      </c>
      <c r="H33" s="57">
        <f t="shared" ref="H33:I33" si="18">SUM(H27:H32)</f>
        <v>1</v>
      </c>
      <c r="I33" s="57">
        <f t="shared" si="18"/>
        <v>0.99999999999999989</v>
      </c>
      <c r="J33" s="54">
        <f>SUM(J27:J32)</f>
        <v>0.99881581344507198</v>
      </c>
      <c r="K33" s="36" t="s">
        <v>11</v>
      </c>
      <c r="L33" s="2">
        <v>0</v>
      </c>
      <c r="M33" s="2">
        <v>0.32</v>
      </c>
      <c r="N33" s="2">
        <v>2.1999999999999999E-2</v>
      </c>
      <c r="O33" s="2">
        <v>0.38737894407997503</v>
      </c>
      <c r="P33" s="54">
        <f t="shared" si="16"/>
        <v>0.26585454210299331</v>
      </c>
      <c r="Q33" s="21"/>
      <c r="U33" s="21"/>
      <c r="V33" s="21"/>
      <c r="W33" s="21"/>
    </row>
    <row r="34" spans="1:30" x14ac:dyDescent="0.25">
      <c r="I34" s="24"/>
      <c r="K34" s="36" t="s">
        <v>138</v>
      </c>
      <c r="L34" s="2">
        <v>0.18310000000000001</v>
      </c>
      <c r="M34" s="2">
        <v>0</v>
      </c>
      <c r="N34" s="2">
        <v>0.16200000000000001</v>
      </c>
      <c r="O34" s="2"/>
      <c r="P34" s="54">
        <f t="shared" si="16"/>
        <v>4.7013279426000802E-2</v>
      </c>
      <c r="U34" s="21"/>
      <c r="V34" s="21"/>
      <c r="W34" s="21"/>
    </row>
    <row r="35" spans="1:30" x14ac:dyDescent="0.25">
      <c r="F35" s="21"/>
      <c r="G35" s="21"/>
      <c r="K35" s="36" t="s">
        <v>217</v>
      </c>
      <c r="L35" s="2">
        <v>0.41920000000000002</v>
      </c>
      <c r="M35" s="2">
        <v>0</v>
      </c>
      <c r="N35" s="2">
        <v>0.42899999999999999</v>
      </c>
      <c r="P35" s="54">
        <f t="shared" si="16"/>
        <v>0.11484177438642448</v>
      </c>
    </row>
    <row r="36" spans="1:30" x14ac:dyDescent="0.25">
      <c r="F36" s="21"/>
      <c r="G36" s="21"/>
      <c r="L36" s="6">
        <f>SUM(L27:L35)</f>
        <v>1.0009000000000001</v>
      </c>
      <c r="M36" s="6">
        <f t="shared" ref="M36:O36" si="19">SUM(M27:M35)</f>
        <v>0.99996889952153123</v>
      </c>
      <c r="N36" s="6">
        <f t="shared" si="19"/>
        <v>1</v>
      </c>
      <c r="O36" s="34">
        <f t="shared" si="19"/>
        <v>1</v>
      </c>
      <c r="P36" s="54">
        <f>(L36*$D$16+M36*$D$20+N36*$D$17 + $D$18*O36)/$D$22</f>
        <v>0.99050156411731194</v>
      </c>
    </row>
    <row r="37" spans="1:30" x14ac:dyDescent="0.25">
      <c r="I37">
        <f>0.66*C16</f>
        <v>5316.3</v>
      </c>
      <c r="P37" s="34">
        <f>SUM(P27:P34)</f>
        <v>0.87565978973088743</v>
      </c>
    </row>
    <row r="38" spans="1:30" x14ac:dyDescent="0.25">
      <c r="A38" t="s">
        <v>4</v>
      </c>
      <c r="B38">
        <f>SUM(B42:B46)</f>
        <v>5314.9999999999982</v>
      </c>
      <c r="C38">
        <f t="shared" ref="C38:AD38" si="20">SUM(C42:C46)</f>
        <v>264</v>
      </c>
      <c r="D38">
        <f t="shared" si="20"/>
        <v>521</v>
      </c>
      <c r="E38">
        <f t="shared" si="20"/>
        <v>757.76253999999994</v>
      </c>
      <c r="F38">
        <f t="shared" si="20"/>
        <v>20.664000000000001</v>
      </c>
      <c r="G38">
        <f t="shared" si="20"/>
        <v>5.2170599999999991</v>
      </c>
      <c r="H38">
        <f t="shared" si="20"/>
        <v>0</v>
      </c>
      <c r="I38">
        <f>SUM(I42:I46)</f>
        <v>7088.4</v>
      </c>
      <c r="J38">
        <f t="shared" si="20"/>
        <v>532</v>
      </c>
      <c r="K38">
        <f>SUM(K42:K47)</f>
        <v>2378</v>
      </c>
      <c r="L38">
        <f t="shared" si="20"/>
        <v>975.75916328000005</v>
      </c>
      <c r="M38">
        <f t="shared" si="20"/>
        <v>25.018978000000001</v>
      </c>
      <c r="N38">
        <f t="shared" si="20"/>
        <v>16.193867083798885</v>
      </c>
      <c r="O38">
        <f t="shared" si="20"/>
        <v>0</v>
      </c>
      <c r="P38">
        <f t="shared" si="20"/>
        <v>1029.1851999999999</v>
      </c>
      <c r="Q38">
        <f>SUM(Q42:Q49)</f>
        <v>4045.8741674641151</v>
      </c>
      <c r="R38">
        <f t="shared" ref="R38:S38" si="21">SUM(R42:R49)</f>
        <v>1243.6380000000001</v>
      </c>
      <c r="S38">
        <f t="shared" si="21"/>
        <v>8586</v>
      </c>
      <c r="T38">
        <f t="shared" si="20"/>
        <v>156.56133352019998</v>
      </c>
      <c r="U38">
        <f t="shared" si="20"/>
        <v>151.91231354098807</v>
      </c>
      <c r="V38">
        <f t="shared" si="20"/>
        <v>7.4702389019999984</v>
      </c>
      <c r="W38">
        <f t="shared" si="20"/>
        <v>3530.1047328959698</v>
      </c>
      <c r="X38">
        <f t="shared" si="20"/>
        <v>0</v>
      </c>
      <c r="Y38">
        <f t="shared" si="20"/>
        <v>515.97908365942476</v>
      </c>
      <c r="Z38">
        <f t="shared" si="20"/>
        <v>2162</v>
      </c>
      <c r="AA38">
        <f t="shared" si="20"/>
        <v>1614</v>
      </c>
      <c r="AB38">
        <f t="shared" si="20"/>
        <v>9.9537769999999988</v>
      </c>
      <c r="AC38">
        <f t="shared" si="20"/>
        <v>61.2761</v>
      </c>
      <c r="AD38">
        <f t="shared" si="20"/>
        <v>76.931160000000006</v>
      </c>
    </row>
    <row r="39" spans="1:30" s="24" customFormat="1" x14ac:dyDescent="0.25">
      <c r="A39" s="19" t="s">
        <v>40</v>
      </c>
      <c r="B39" s="19"/>
      <c r="C39" s="19"/>
      <c r="D39" s="19"/>
      <c r="E39" s="19"/>
      <c r="F39" s="19"/>
      <c r="G39" s="19"/>
      <c r="H39" s="19" t="s">
        <v>41</v>
      </c>
      <c r="I39" s="19"/>
      <c r="J39" s="19"/>
      <c r="K39" s="19"/>
      <c r="L39" s="19"/>
      <c r="M39" s="19"/>
      <c r="N39" s="19"/>
      <c r="O39" s="19" t="s">
        <v>42</v>
      </c>
      <c r="P39" s="19"/>
      <c r="Q39" s="19"/>
      <c r="R39" s="19"/>
      <c r="S39" s="19"/>
      <c r="T39" s="19"/>
      <c r="U39" s="19"/>
      <c r="V39" s="19"/>
      <c r="W39" s="19"/>
      <c r="X39" s="19" t="s">
        <v>43</v>
      </c>
      <c r="Y39" s="19"/>
      <c r="Z39" s="19"/>
      <c r="AA39" s="19"/>
      <c r="AB39" s="19"/>
      <c r="AC39" s="19"/>
      <c r="AD39" s="19"/>
    </row>
    <row r="40" spans="1:30" s="24" customFormat="1" x14ac:dyDescent="0.25">
      <c r="A40" s="19" t="s">
        <v>52</v>
      </c>
      <c r="B40" s="92" t="s">
        <v>30</v>
      </c>
      <c r="C40" s="92"/>
      <c r="D40" s="92"/>
      <c r="E40" s="92">
        <f>A10</f>
        <v>4688</v>
      </c>
      <c r="F40" s="92"/>
      <c r="G40" s="92"/>
      <c r="H40" s="19"/>
      <c r="I40" s="92" t="s">
        <v>38</v>
      </c>
      <c r="J40" s="92"/>
      <c r="K40" s="92"/>
      <c r="L40" s="92">
        <f>A10</f>
        <v>4688</v>
      </c>
      <c r="M40" s="92"/>
      <c r="N40" s="92"/>
      <c r="O40" s="19" t="s">
        <v>52</v>
      </c>
      <c r="P40" s="92" t="s">
        <v>30</v>
      </c>
      <c r="Q40" s="92"/>
      <c r="R40" s="92"/>
      <c r="S40" s="92"/>
      <c r="T40" s="92">
        <f>A10</f>
        <v>4688</v>
      </c>
      <c r="U40" s="92"/>
      <c r="V40" s="92"/>
      <c r="W40" s="92"/>
      <c r="X40" s="19" t="s">
        <v>52</v>
      </c>
      <c r="Y40" s="92" t="s">
        <v>30</v>
      </c>
      <c r="Z40" s="92"/>
      <c r="AA40" s="92"/>
      <c r="AB40" s="92">
        <f>A10</f>
        <v>4688</v>
      </c>
      <c r="AC40" s="92"/>
      <c r="AD40" s="92"/>
    </row>
    <row r="41" spans="1:30" s="24" customFormat="1" x14ac:dyDescent="0.25">
      <c r="A41" s="19"/>
      <c r="B41" s="19" t="s">
        <v>31</v>
      </c>
      <c r="C41" s="19" t="s">
        <v>34</v>
      </c>
      <c r="D41" s="19" t="s">
        <v>101</v>
      </c>
      <c r="E41" s="19" t="s">
        <v>31</v>
      </c>
      <c r="F41" s="19" t="s">
        <v>34</v>
      </c>
      <c r="G41" s="19" t="s">
        <v>101</v>
      </c>
      <c r="H41" s="19"/>
      <c r="I41" s="19" t="s">
        <v>31</v>
      </c>
      <c r="J41" s="19" t="s">
        <v>102</v>
      </c>
      <c r="K41" s="19" t="s">
        <v>101</v>
      </c>
      <c r="L41" s="19" t="s">
        <v>31</v>
      </c>
      <c r="M41" s="19" t="s">
        <v>102</v>
      </c>
      <c r="N41" s="19" t="s">
        <v>101</v>
      </c>
      <c r="O41" s="19"/>
      <c r="P41" s="19" t="s">
        <v>103</v>
      </c>
      <c r="Q41" s="19" t="s">
        <v>102</v>
      </c>
      <c r="R41" s="19" t="s">
        <v>101</v>
      </c>
      <c r="S41" s="19" t="s">
        <v>32</v>
      </c>
      <c r="T41" s="19" t="s">
        <v>103</v>
      </c>
      <c r="U41" s="19" t="s">
        <v>102</v>
      </c>
      <c r="V41" s="19" t="s">
        <v>101</v>
      </c>
      <c r="W41" s="19" t="s">
        <v>32</v>
      </c>
      <c r="X41" s="19"/>
      <c r="Y41" s="19" t="s">
        <v>103</v>
      </c>
      <c r="Z41" s="19" t="s">
        <v>102</v>
      </c>
      <c r="AA41" s="19" t="s">
        <v>101</v>
      </c>
      <c r="AB41" s="19" t="s">
        <v>103</v>
      </c>
      <c r="AC41" s="19" t="s">
        <v>102</v>
      </c>
      <c r="AD41" s="19" t="s">
        <v>101</v>
      </c>
    </row>
    <row r="42" spans="1:30" x14ac:dyDescent="0.25">
      <c r="A42" s="37" t="s">
        <v>13</v>
      </c>
      <c r="B42" s="26">
        <f>$B$16*B27</f>
        <v>1033.0946291560099</v>
      </c>
      <c r="C42" s="26">
        <f>$B$20*C27</f>
        <v>0</v>
      </c>
      <c r="D42" s="26">
        <f>$B$17*D27</f>
        <v>251.0843373493976</v>
      </c>
      <c r="E42" s="18">
        <f>$BC$10/$K$16*B42</f>
        <v>147.28888245524294</v>
      </c>
      <c r="F42" s="18">
        <f>$AX$10/$K$20*C42</f>
        <v>0</v>
      </c>
      <c r="G42" s="18">
        <f>$AN$10/$K$17*D42</f>
        <v>2.5142457831325302</v>
      </c>
      <c r="H42" s="37" t="s">
        <v>16</v>
      </c>
      <c r="I42" s="26">
        <f t="shared" ref="I42:I47" si="22">$C$16*G27</f>
        <v>402.75</v>
      </c>
      <c r="J42" s="26">
        <f t="shared" ref="J42:J47" si="23">$C$20*H27</f>
        <v>0</v>
      </c>
      <c r="K42" s="26">
        <f t="shared" ref="K42:K47" si="24">$C$17*I27</f>
        <v>398.54748603351953</v>
      </c>
      <c r="L42" s="18">
        <f>$BD$10/$L$16*I42</f>
        <v>55.440861550000001</v>
      </c>
      <c r="M42" s="18">
        <f>$AY$10/$L$20*J42</f>
        <v>0</v>
      </c>
      <c r="N42" s="18">
        <f>$AO$10/$L$17*K42</f>
        <v>3.7954375977653627</v>
      </c>
      <c r="O42" s="37" t="s">
        <v>53</v>
      </c>
      <c r="P42" s="26">
        <f t="shared" ref="P42:P49" si="25">$D$16*L27</f>
        <v>103.28</v>
      </c>
      <c r="Q42" s="26">
        <f t="shared" ref="Q42:Q49" si="26">$D$20*M27</f>
        <v>0</v>
      </c>
      <c r="R42" s="26">
        <f t="shared" ref="R42:R49" si="27">$D$17*N27</f>
        <v>152.46</v>
      </c>
      <c r="S42" s="26">
        <f t="shared" ref="S42:S48" si="28">$D$18*O27</f>
        <v>0</v>
      </c>
      <c r="T42" s="18">
        <f>$BE$10/$M$16*P42</f>
        <v>15.711122279999998</v>
      </c>
      <c r="U42" s="18">
        <f>$AZ$10/$M$20*Q42</f>
        <v>0</v>
      </c>
      <c r="V42" s="18">
        <f>$AP$10/$M$17*R42</f>
        <v>1.50696462</v>
      </c>
      <c r="W42" s="18">
        <f>$AU$10/$M$18*S42</f>
        <v>0</v>
      </c>
      <c r="X42" s="36" t="s">
        <v>12</v>
      </c>
      <c r="Y42" s="26">
        <f>$E$16*R27</f>
        <v>279.2</v>
      </c>
      <c r="Z42" s="26">
        <f>$E$20*S27</f>
        <v>0</v>
      </c>
      <c r="AA42" s="26">
        <f>$E$17*T27</f>
        <v>1129.8</v>
      </c>
      <c r="AB42" s="18">
        <f>$BF$10/$N$16*Y42</f>
        <v>7.9630215999999994</v>
      </c>
      <c r="AC42" s="18">
        <f>$BA$10/$N$20*Z42</f>
        <v>0</v>
      </c>
      <c r="AD42" s="18">
        <f>$AQ$10/$N$17*AA42</f>
        <v>53.851812000000002</v>
      </c>
    </row>
    <row r="43" spans="1:30" x14ac:dyDescent="0.25">
      <c r="A43" s="37" t="s">
        <v>14</v>
      </c>
      <c r="B43" s="26">
        <f>$B$16*B28</f>
        <v>951.53452685421973</v>
      </c>
      <c r="C43" s="26">
        <f>$B$20*C28</f>
        <v>264</v>
      </c>
      <c r="D43" s="26">
        <f>$B$17*D28</f>
        <v>200.86746987951807</v>
      </c>
      <c r="E43" s="18">
        <f t="shared" ref="E43:E46" si="29">$BC$10/$K$16*B43</f>
        <v>135.66081278772378</v>
      </c>
      <c r="F43" s="18">
        <f>$AX$10/$K$20*C43</f>
        <v>20.664000000000001</v>
      </c>
      <c r="G43" s="18">
        <f t="shared" ref="G43:G46" si="30">$AN$10/$K$17*D43</f>
        <v>2.0113966265060239</v>
      </c>
      <c r="H43" s="37" t="s">
        <v>17</v>
      </c>
      <c r="I43" s="26">
        <f t="shared" si="22"/>
        <v>402.75</v>
      </c>
      <c r="J43" s="26">
        <f t="shared" si="23"/>
        <v>0</v>
      </c>
      <c r="K43" s="26">
        <f t="shared" si="24"/>
        <v>451.68715083798884</v>
      </c>
      <c r="L43" s="18">
        <f t="shared" ref="L43:L47" si="31">$BD$10/$L$16*I43</f>
        <v>55.440861550000001</v>
      </c>
      <c r="M43" s="18">
        <f t="shared" ref="M43:M47" si="32">$AY$10/$L$20*J43</f>
        <v>0</v>
      </c>
      <c r="N43" s="18">
        <f t="shared" ref="N43:N47" si="33">$AO$10/$L$17*K43</f>
        <v>4.3014959441340785</v>
      </c>
      <c r="O43" s="37" t="s">
        <v>6</v>
      </c>
      <c r="P43" s="26">
        <f t="shared" si="25"/>
        <v>129.1</v>
      </c>
      <c r="Q43" s="26">
        <f t="shared" si="26"/>
        <v>0</v>
      </c>
      <c r="R43" s="26">
        <f t="shared" si="27"/>
        <v>65.34</v>
      </c>
      <c r="S43" s="26">
        <f t="shared" si="28"/>
        <v>0</v>
      </c>
      <c r="T43" s="18">
        <f t="shared" ref="T43:T49" si="34">$BE$10/$M$16*P43</f>
        <v>19.638902849999997</v>
      </c>
      <c r="U43" s="18">
        <f t="shared" ref="U43:U49" si="35">$AZ$10/$M$20*Q43</f>
        <v>0</v>
      </c>
      <c r="V43" s="18">
        <f t="shared" ref="V43:V49" si="36">$AP$10/$M$17*R43</f>
        <v>0.64584197999999993</v>
      </c>
      <c r="W43" s="18">
        <f t="shared" ref="W43:W49" si="37">$AU$10/$M$18*S43</f>
        <v>0</v>
      </c>
      <c r="X43" s="36" t="s">
        <v>218</v>
      </c>
      <c r="Y43" s="26">
        <f>$E$16*R28</f>
        <v>69.8</v>
      </c>
      <c r="Z43" s="26">
        <f>$E$20*S28</f>
        <v>2162</v>
      </c>
      <c r="AA43" s="26">
        <f>$E$17*T28</f>
        <v>484.2</v>
      </c>
      <c r="AB43" s="18">
        <f>$BF$10/$N$16*Y43</f>
        <v>1.9907553999999998</v>
      </c>
      <c r="AC43" s="18">
        <f>$BA$10/$N$20*Z43</f>
        <v>61.2761</v>
      </c>
      <c r="AD43" s="18">
        <f>$AQ$10/$N$17*AA43</f>
        <v>23.079348000000003</v>
      </c>
    </row>
    <row r="44" spans="1:30" x14ac:dyDescent="0.25">
      <c r="A44" s="37" t="s">
        <v>15</v>
      </c>
      <c r="B44" s="26">
        <f>$B$16*B29</f>
        <v>869.97442455242958</v>
      </c>
      <c r="C44" s="26">
        <f t="shared" ref="C44:C46" si="38">$B$20*C29</f>
        <v>0</v>
      </c>
      <c r="D44" s="26">
        <f>$B$17*D29</f>
        <v>0</v>
      </c>
      <c r="E44" s="18">
        <f t="shared" si="29"/>
        <v>124.03274312020461</v>
      </c>
      <c r="F44" s="18">
        <f t="shared" ref="F44:F46" si="39">$AX$10/$K$20*C44</f>
        <v>0</v>
      </c>
      <c r="G44" s="18">
        <f t="shared" si="30"/>
        <v>0</v>
      </c>
      <c r="H44" s="35" t="s">
        <v>18</v>
      </c>
      <c r="I44" s="26">
        <f t="shared" si="22"/>
        <v>402.75</v>
      </c>
      <c r="J44" s="26">
        <f t="shared" si="23"/>
        <v>0</v>
      </c>
      <c r="K44" s="26">
        <f t="shared" si="24"/>
        <v>850.23463687150843</v>
      </c>
      <c r="L44" s="18">
        <f t="shared" si="31"/>
        <v>55.440861550000001</v>
      </c>
      <c r="M44" s="18">
        <f t="shared" si="32"/>
        <v>0</v>
      </c>
      <c r="N44" s="18">
        <f t="shared" si="33"/>
        <v>8.0969335418994426</v>
      </c>
      <c r="O44" s="36" t="s">
        <v>54</v>
      </c>
      <c r="P44" s="26">
        <f t="shared" si="25"/>
        <v>491.61280000000005</v>
      </c>
      <c r="Q44" s="26">
        <f t="shared" si="26"/>
        <v>1935.8851674641148</v>
      </c>
      <c r="R44" s="26">
        <f t="shared" si="27"/>
        <v>407.286</v>
      </c>
      <c r="S44" s="26">
        <f t="shared" si="28"/>
        <v>0</v>
      </c>
      <c r="T44" s="18">
        <f t="shared" si="34"/>
        <v>74.784942052800005</v>
      </c>
      <c r="U44" s="18">
        <f t="shared" si="35"/>
        <v>106.89506172248805</v>
      </c>
      <c r="V44" s="18">
        <f t="shared" si="36"/>
        <v>4.0257483419999991</v>
      </c>
      <c r="W44" s="18">
        <f t="shared" si="37"/>
        <v>0</v>
      </c>
      <c r="X44" s="19" t="s">
        <v>27</v>
      </c>
      <c r="Y44" s="18">
        <f>SUM(AB42:AD42)</f>
        <v>61.8148336</v>
      </c>
    </row>
    <row r="45" spans="1:30" x14ac:dyDescent="0.25">
      <c r="A45" s="36" t="s">
        <v>19</v>
      </c>
      <c r="B45" s="26">
        <f>$B$16*B30</f>
        <v>1440.8951406649614</v>
      </c>
      <c r="C45" s="26">
        <f t="shared" si="38"/>
        <v>0</v>
      </c>
      <c r="D45" s="26">
        <f>$B$17*D30</f>
        <v>69.048192771084345</v>
      </c>
      <c r="E45" s="18">
        <f t="shared" si="29"/>
        <v>205.42923079283887</v>
      </c>
      <c r="F45" s="18">
        <f t="shared" si="39"/>
        <v>0</v>
      </c>
      <c r="G45" s="18">
        <f t="shared" si="30"/>
        <v>0.69141759036144579</v>
      </c>
      <c r="H45" s="36" t="s">
        <v>21</v>
      </c>
      <c r="I45" s="26">
        <f t="shared" si="22"/>
        <v>3222</v>
      </c>
      <c r="J45" s="26">
        <f t="shared" si="23"/>
        <v>532</v>
      </c>
      <c r="K45" s="26">
        <f t="shared" si="24"/>
        <v>0</v>
      </c>
      <c r="L45" s="18">
        <f t="shared" si="31"/>
        <v>443.52689240000001</v>
      </c>
      <c r="M45" s="18">
        <f t="shared" si="32"/>
        <v>25.018978000000001</v>
      </c>
      <c r="N45" s="18">
        <f t="shared" si="33"/>
        <v>0</v>
      </c>
      <c r="O45" s="36" t="s">
        <v>8</v>
      </c>
      <c r="P45" s="26">
        <f t="shared" si="25"/>
        <v>305.19240000000002</v>
      </c>
      <c r="Q45" s="26">
        <f t="shared" si="26"/>
        <v>815.26900000000001</v>
      </c>
      <c r="R45" s="26">
        <f t="shared" si="27"/>
        <v>130.68</v>
      </c>
      <c r="S45" s="26">
        <f t="shared" si="28"/>
        <v>0</v>
      </c>
      <c r="T45" s="18">
        <f t="shared" si="34"/>
        <v>46.426366337399998</v>
      </c>
      <c r="U45" s="18">
        <f t="shared" si="35"/>
        <v>45.0172518185</v>
      </c>
      <c r="V45" s="18">
        <f t="shared" si="36"/>
        <v>1.2916839599999999</v>
      </c>
      <c r="W45" s="18">
        <f t="shared" si="37"/>
        <v>0</v>
      </c>
      <c r="X45" s="19" t="s">
        <v>105</v>
      </c>
      <c r="Y45" s="18">
        <f>G10/N22*SUM(Y42:AA42)</f>
        <v>105.16425005942476</v>
      </c>
      <c r="Z45" s="21"/>
      <c r="AA45" s="21"/>
      <c r="AB45" s="21"/>
      <c r="AC45" s="21"/>
      <c r="AD45" s="21"/>
    </row>
    <row r="46" spans="1:30" x14ac:dyDescent="0.25">
      <c r="A46" s="36" t="s">
        <v>20</v>
      </c>
      <c r="B46" s="26">
        <f>$B$16*B31</f>
        <v>1019.5012787723783</v>
      </c>
      <c r="C46" s="26">
        <f t="shared" si="38"/>
        <v>0</v>
      </c>
      <c r="D46" s="26">
        <f>$B$17*D31</f>
        <v>0</v>
      </c>
      <c r="E46" s="18">
        <f t="shared" si="29"/>
        <v>145.35087084398975</v>
      </c>
      <c r="F46" s="18">
        <f t="shared" si="39"/>
        <v>0</v>
      </c>
      <c r="G46" s="18">
        <f t="shared" si="30"/>
        <v>0</v>
      </c>
      <c r="H46" s="36" t="s">
        <v>22</v>
      </c>
      <c r="I46" s="26">
        <f t="shared" si="22"/>
        <v>2658.15</v>
      </c>
      <c r="J46" s="26">
        <f t="shared" si="23"/>
        <v>0</v>
      </c>
      <c r="K46" s="26">
        <f t="shared" si="24"/>
        <v>0</v>
      </c>
      <c r="L46" s="18">
        <f t="shared" si="31"/>
        <v>365.90968623000003</v>
      </c>
      <c r="M46" s="18">
        <f t="shared" si="32"/>
        <v>0</v>
      </c>
      <c r="N46" s="18">
        <f t="shared" si="33"/>
        <v>0</v>
      </c>
      <c r="O46" s="36" t="s">
        <v>9</v>
      </c>
      <c r="P46" s="26">
        <f t="shared" si="25"/>
        <v>0</v>
      </c>
      <c r="Q46" s="26">
        <f t="shared" si="26"/>
        <v>0</v>
      </c>
      <c r="R46" s="26">
        <f t="shared" si="27"/>
        <v>0</v>
      </c>
      <c r="S46" s="27">
        <f t="shared" si="28"/>
        <v>3822.2586691658857</v>
      </c>
      <c r="T46" s="18">
        <f t="shared" si="34"/>
        <v>0</v>
      </c>
      <c r="U46" s="18">
        <f t="shared" si="35"/>
        <v>0</v>
      </c>
      <c r="V46" s="18">
        <f t="shared" si="36"/>
        <v>0</v>
      </c>
      <c r="W46" s="18">
        <f t="shared" si="37"/>
        <v>3530.1047328959698</v>
      </c>
      <c r="Y46" s="21"/>
      <c r="Z46" s="21"/>
      <c r="AA46" s="21"/>
      <c r="AB46" s="21"/>
      <c r="AC46" s="21"/>
      <c r="AD46" s="21"/>
    </row>
    <row r="47" spans="1:30" x14ac:dyDescent="0.25">
      <c r="A47" s="19" t="s">
        <v>27</v>
      </c>
      <c r="B47" s="18">
        <f>SUM(E42:G46)</f>
        <v>783.64359999999988</v>
      </c>
      <c r="H47" s="36" t="s">
        <v>121</v>
      </c>
      <c r="I47" s="26">
        <f t="shared" si="22"/>
        <v>966.59999999999991</v>
      </c>
      <c r="J47" s="26">
        <f t="shared" si="23"/>
        <v>0</v>
      </c>
      <c r="K47" s="26">
        <f t="shared" si="24"/>
        <v>677.53072625698314</v>
      </c>
      <c r="L47" s="18">
        <f t="shared" si="31"/>
        <v>133.05806772</v>
      </c>
      <c r="M47" s="18">
        <f t="shared" si="32"/>
        <v>0</v>
      </c>
      <c r="N47" s="18">
        <f t="shared" si="33"/>
        <v>6.452243916201116</v>
      </c>
      <c r="O47" s="36" t="s">
        <v>10</v>
      </c>
      <c r="P47" s="26">
        <f t="shared" si="25"/>
        <v>0</v>
      </c>
      <c r="Q47" s="26">
        <f t="shared" si="26"/>
        <v>0</v>
      </c>
      <c r="R47" s="26">
        <f t="shared" si="27"/>
        <v>87.12</v>
      </c>
      <c r="S47" s="26">
        <f>$D$18*O32</f>
        <v>1437.7057169634488</v>
      </c>
      <c r="T47" s="18">
        <f t="shared" si="34"/>
        <v>0</v>
      </c>
      <c r="U47" s="18">
        <f t="shared" si="35"/>
        <v>0</v>
      </c>
      <c r="V47" s="18">
        <f t="shared" si="36"/>
        <v>0.86112263999999994</v>
      </c>
      <c r="W47" s="18">
        <f t="shared" si="37"/>
        <v>1327.8148328647296</v>
      </c>
      <c r="Y47" s="21"/>
      <c r="Z47" s="21"/>
      <c r="AA47" s="21"/>
      <c r="AB47" s="21"/>
      <c r="AC47" s="21"/>
      <c r="AD47" s="21"/>
    </row>
    <row r="48" spans="1:30" x14ac:dyDescent="0.25">
      <c r="A48" s="19" t="s">
        <v>105</v>
      </c>
      <c r="B48" s="18">
        <f>D10/K22*SUM(B42:D46)</f>
        <v>810.33579033579019</v>
      </c>
      <c r="H48" s="19" t="s">
        <v>27</v>
      </c>
      <c r="I48" s="18">
        <f>SUM(L42:N47)</f>
        <v>1156.4823199999998</v>
      </c>
      <c r="O48" s="36" t="s">
        <v>11</v>
      </c>
      <c r="P48" s="26">
        <f t="shared" si="25"/>
        <v>0</v>
      </c>
      <c r="Q48" s="26">
        <f t="shared" si="26"/>
        <v>1294.72</v>
      </c>
      <c r="R48" s="26">
        <f t="shared" si="27"/>
        <v>47.915999999999997</v>
      </c>
      <c r="S48" s="26">
        <f t="shared" si="28"/>
        <v>3326.0356138706657</v>
      </c>
      <c r="T48" s="18">
        <f t="shared" si="34"/>
        <v>0</v>
      </c>
      <c r="U48" s="18">
        <f t="shared" si="35"/>
        <v>71.491417280000007</v>
      </c>
      <c r="V48" s="18">
        <f t="shared" si="36"/>
        <v>0.47361745199999988</v>
      </c>
      <c r="W48" s="18">
        <f t="shared" si="37"/>
        <v>3071.8104342393003</v>
      </c>
    </row>
    <row r="49" spans="1:23" x14ac:dyDescent="0.25">
      <c r="H49" s="19" t="s">
        <v>105</v>
      </c>
      <c r="I49" s="18">
        <f>E10/L22*SUM(I42:K47)</f>
        <v>1184.5955547458552</v>
      </c>
      <c r="O49" s="36" t="s">
        <v>138</v>
      </c>
      <c r="P49" s="26">
        <f t="shared" si="25"/>
        <v>472.76420000000002</v>
      </c>
      <c r="Q49" s="26">
        <f t="shared" si="26"/>
        <v>0</v>
      </c>
      <c r="R49" s="26">
        <f t="shared" si="27"/>
        <v>352.83600000000001</v>
      </c>
      <c r="T49" s="18">
        <f t="shared" si="34"/>
        <v>71.917662236699996</v>
      </c>
      <c r="U49" s="18">
        <f t="shared" si="35"/>
        <v>0</v>
      </c>
      <c r="V49" s="18">
        <f t="shared" si="36"/>
        <v>3.4875466919999996</v>
      </c>
      <c r="W49" s="18">
        <f t="shared" si="37"/>
        <v>0</v>
      </c>
    </row>
    <row r="50" spans="1:23" x14ac:dyDescent="0.25">
      <c r="A50" s="19" t="s">
        <v>145</v>
      </c>
      <c r="B50" s="18">
        <f>SUM(B47,I48,P51,Y44)</f>
        <v>10569.734107672288</v>
      </c>
      <c r="O50" s="36" t="s">
        <v>217</v>
      </c>
      <c r="P50" s="26">
        <f t="shared" ref="P50" si="40">$D$16*L35</f>
        <v>1082.3744000000002</v>
      </c>
      <c r="Q50" s="26">
        <f t="shared" ref="Q50" si="41">$D$20*M35</f>
        <v>0</v>
      </c>
      <c r="R50" s="26">
        <f t="shared" ref="R50" si="42">$D$17*N35</f>
        <v>934.36199999999997</v>
      </c>
      <c r="T50" s="18">
        <f>$BE$10/$M$16*P50</f>
        <v>164.6525614944</v>
      </c>
      <c r="U50" s="18">
        <f t="shared" ref="U50" si="43">$AZ$10/$M$20*Q50</f>
        <v>0</v>
      </c>
      <c r="V50" s="18">
        <f t="shared" ref="V50" si="44">$AP$10/$M$17*R50</f>
        <v>9.2355403139999979</v>
      </c>
      <c r="W50" s="18">
        <f t="shared" ref="W50" si="45">$AU$10/$M$18*S50</f>
        <v>0</v>
      </c>
    </row>
    <row r="51" spans="1:23" x14ac:dyDescent="0.25">
      <c r="O51" s="19" t="s">
        <v>27</v>
      </c>
      <c r="P51" s="18">
        <f>SUM(T42:W50)</f>
        <v>8567.7933540722879</v>
      </c>
    </row>
    <row r="52" spans="1:23" x14ac:dyDescent="0.25">
      <c r="A52" t="s">
        <v>109</v>
      </c>
      <c r="B52" t="s">
        <v>3</v>
      </c>
      <c r="C52" t="s">
        <v>40</v>
      </c>
      <c r="D52" t="s">
        <v>41</v>
      </c>
      <c r="E52" t="s">
        <v>42</v>
      </c>
      <c r="F52" t="s">
        <v>43</v>
      </c>
      <c r="G52" t="s">
        <v>39</v>
      </c>
      <c r="O52" s="19" t="s">
        <v>105</v>
      </c>
      <c r="P52" s="18">
        <f>F10/M22*SUM(P42:S50)</f>
        <v>8704.5277454629359</v>
      </c>
    </row>
    <row r="53" spans="1:23" x14ac:dyDescent="0.25">
      <c r="A53" t="s">
        <v>45</v>
      </c>
      <c r="B53" t="s">
        <v>107</v>
      </c>
      <c r="C53" s="2">
        <v>6.4000000000000001E-2</v>
      </c>
      <c r="D53" s="2">
        <v>0.156</v>
      </c>
      <c r="E53" s="2">
        <v>0.63</v>
      </c>
      <c r="F53" s="2">
        <v>0.15</v>
      </c>
      <c r="G53" s="2">
        <f>SUM(C53:F53)</f>
        <v>1</v>
      </c>
    </row>
    <row r="54" spans="1:23" x14ac:dyDescent="0.25">
      <c r="B54" t="s">
        <v>28</v>
      </c>
      <c r="C54">
        <f>C53*$G$54</f>
        <v>1699.712</v>
      </c>
      <c r="D54">
        <f>D53*$G$54</f>
        <v>4143.0479999999998</v>
      </c>
      <c r="E54">
        <f>E53*$G$54</f>
        <v>16731.54</v>
      </c>
      <c r="F54">
        <f>F53*$G$54</f>
        <v>3983.7</v>
      </c>
      <c r="G54" s="3">
        <v>26558</v>
      </c>
    </row>
    <row r="55" spans="1:23" x14ac:dyDescent="0.25">
      <c r="A55" t="s">
        <v>110</v>
      </c>
      <c r="B55" t="s">
        <v>108</v>
      </c>
      <c r="C55" s="3">
        <v>1532</v>
      </c>
      <c r="D55" s="3">
        <v>3017</v>
      </c>
      <c r="E55" s="3">
        <v>17088</v>
      </c>
      <c r="F55" s="3">
        <v>4921</v>
      </c>
      <c r="G55" s="3">
        <v>26558</v>
      </c>
      <c r="K55" s="19" t="s">
        <v>128</v>
      </c>
      <c r="L55" s="19"/>
      <c r="M55" s="19"/>
      <c r="N55" s="19"/>
      <c r="O55" s="19"/>
      <c r="P55" s="19"/>
      <c r="Q55" s="19"/>
      <c r="R55" s="19"/>
      <c r="S55" t="s">
        <v>222</v>
      </c>
    </row>
    <row r="56" spans="1:23" x14ac:dyDescent="0.25">
      <c r="B56" t="s">
        <v>44</v>
      </c>
      <c r="C56" s="2">
        <f>C55/$G$55</f>
        <v>5.7685066646584834E-2</v>
      </c>
      <c r="D56" s="2">
        <f t="shared" ref="D56:G56" si="46">D55/$G$55</f>
        <v>0.1136004217185029</v>
      </c>
      <c r="E56" s="2">
        <f t="shared" si="46"/>
        <v>0.64342194442352585</v>
      </c>
      <c r="F56" s="2">
        <f t="shared" si="46"/>
        <v>0.1852925672113864</v>
      </c>
      <c r="G56" s="2">
        <f t="shared" si="46"/>
        <v>1</v>
      </c>
      <c r="K56" s="19"/>
      <c r="L56" s="19" t="s">
        <v>127</v>
      </c>
      <c r="M56" s="19"/>
      <c r="N56" s="19" t="s">
        <v>41</v>
      </c>
      <c r="O56" s="19"/>
      <c r="P56" s="19" t="s">
        <v>42</v>
      </c>
      <c r="Q56" s="19"/>
      <c r="R56" s="19" t="s">
        <v>43</v>
      </c>
      <c r="S56">
        <f>SUM(R57:R59,P57:P59,N57:N58,L57:L58)</f>
        <v>1205.2</v>
      </c>
    </row>
    <row r="57" spans="1:23" x14ac:dyDescent="0.25">
      <c r="A57" t="s">
        <v>111</v>
      </c>
      <c r="B57" t="s">
        <v>28</v>
      </c>
      <c r="C57" s="3">
        <v>776</v>
      </c>
      <c r="D57" s="3">
        <v>1155</v>
      </c>
      <c r="E57" s="3">
        <v>5541</v>
      </c>
      <c r="F57" s="3">
        <v>1458</v>
      </c>
      <c r="G57" s="3">
        <v>8930</v>
      </c>
      <c r="K57" s="19" t="s">
        <v>129</v>
      </c>
      <c r="L57">
        <f>X10-Y10</f>
        <v>126.2</v>
      </c>
      <c r="M57" s="19" t="s">
        <v>131</v>
      </c>
      <c r="N57">
        <f>AD10-AE10</f>
        <v>0</v>
      </c>
      <c r="O57" s="19" t="s">
        <v>132</v>
      </c>
      <c r="P57">
        <f>T10-U10</f>
        <v>683</v>
      </c>
      <c r="Q57" s="19" t="s">
        <v>135</v>
      </c>
      <c r="R57">
        <f>R10-S10</f>
        <v>-385.7</v>
      </c>
    </row>
    <row r="58" spans="1:23" x14ac:dyDescent="0.25">
      <c r="B58" t="s">
        <v>44</v>
      </c>
      <c r="C58" s="2">
        <f t="shared" ref="C58:F58" si="47">C57/$G57</f>
        <v>8.6898096304591263E-2</v>
      </c>
      <c r="D58" s="2">
        <f t="shared" si="47"/>
        <v>0.12933930571108623</v>
      </c>
      <c r="E58" s="2">
        <f t="shared" si="47"/>
        <v>0.62049272116461363</v>
      </c>
      <c r="F58" s="2">
        <f t="shared" si="47"/>
        <v>0.16326987681970884</v>
      </c>
      <c r="G58" s="2">
        <f>G57/$G57</f>
        <v>1</v>
      </c>
      <c r="K58" s="19" t="s">
        <v>130</v>
      </c>
      <c r="L58">
        <f>AF10-AG10</f>
        <v>-227.3</v>
      </c>
      <c r="M58" s="19" t="s">
        <v>130</v>
      </c>
      <c r="N58">
        <f>AH10-AI10</f>
        <v>-51.7</v>
      </c>
      <c r="O58" s="19" t="s">
        <v>133</v>
      </c>
      <c r="P58">
        <f>V10-W10</f>
        <v>-344</v>
      </c>
      <c r="Q58" s="19" t="s">
        <v>136</v>
      </c>
      <c r="R58">
        <f>AJ10-AK10</f>
        <v>-57</v>
      </c>
    </row>
    <row r="59" spans="1:23" x14ac:dyDescent="0.25">
      <c r="A59" t="s">
        <v>112</v>
      </c>
      <c r="B59" t="s">
        <v>28</v>
      </c>
      <c r="C59" s="3">
        <v>988</v>
      </c>
      <c r="D59" s="3">
        <v>1714</v>
      </c>
      <c r="E59" s="3">
        <v>9782</v>
      </c>
      <c r="F59" s="3">
        <v>2769</v>
      </c>
      <c r="G59" s="3">
        <v>15253</v>
      </c>
      <c r="O59" s="19" t="s">
        <v>134</v>
      </c>
      <c r="P59">
        <f>Z10-AA10</f>
        <v>1200</v>
      </c>
      <c r="Q59" s="19" t="s">
        <v>137</v>
      </c>
      <c r="R59">
        <f>AL10-AM10</f>
        <v>261.7</v>
      </c>
    </row>
    <row r="60" spans="1:23" x14ac:dyDescent="0.25">
      <c r="B60" t="s">
        <v>44</v>
      </c>
      <c r="C60" s="2">
        <f t="shared" ref="C60" si="48">C59/$G59</f>
        <v>6.4774142791581987E-2</v>
      </c>
      <c r="D60" s="2">
        <f t="shared" ref="D60" si="49">D59/$G59</f>
        <v>0.11237133678620599</v>
      </c>
      <c r="E60" s="2">
        <f t="shared" ref="E60" si="50">E59/$G59</f>
        <v>0.64131646233527828</v>
      </c>
      <c r="F60" s="2">
        <f t="shared" ref="F60" si="51">F59/$G59</f>
        <v>0.18153805808693371</v>
      </c>
      <c r="G60" s="2">
        <f>G59/$G59</f>
        <v>1</v>
      </c>
    </row>
    <row r="61" spans="1:23" x14ac:dyDescent="0.25">
      <c r="A61" t="s">
        <v>106</v>
      </c>
    </row>
    <row r="63" spans="1:23" x14ac:dyDescent="0.25">
      <c r="A63" s="1" t="s">
        <v>146</v>
      </c>
      <c r="B63" s="1" t="s">
        <v>147</v>
      </c>
      <c r="C63" s="23">
        <f>G22/O22</f>
        <v>0.99313268557988499</v>
      </c>
      <c r="D63" s="1"/>
      <c r="E63" s="1"/>
    </row>
    <row r="64" spans="1:23" x14ac:dyDescent="0.25">
      <c r="B64" s="20" t="s">
        <v>40</v>
      </c>
      <c r="C64" s="20" t="s">
        <v>41</v>
      </c>
      <c r="D64" s="20" t="s">
        <v>42</v>
      </c>
      <c r="E64" s="20" t="s">
        <v>43</v>
      </c>
      <c r="F64" s="20" t="s">
        <v>39</v>
      </c>
    </row>
    <row r="65" spans="1:32" x14ac:dyDescent="0.25">
      <c r="A65" t="s">
        <v>23</v>
      </c>
      <c r="B65" s="18">
        <f>I10/$M$10*$F$65</f>
        <v>806.61003596706269</v>
      </c>
      <c r="C65" s="18">
        <f t="shared" ref="C65:E65" si="52">J10/$M$10*$F$65</f>
        <v>1334.1920429632289</v>
      </c>
      <c r="D65" s="18">
        <f t="shared" si="52"/>
        <v>5897.6811720708611</v>
      </c>
      <c r="E65" s="18">
        <f t="shared" si="52"/>
        <v>1539.8918868462106</v>
      </c>
      <c r="F65" s="18">
        <f>M10/H10*B50</f>
        <v>9578.3751378473626</v>
      </c>
      <c r="G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32" x14ac:dyDescent="0.25">
      <c r="A66" t="s">
        <v>113</v>
      </c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32" s="20" customFormat="1" x14ac:dyDescent="0.25">
      <c r="A67" s="19" t="s">
        <v>40</v>
      </c>
      <c r="B67" s="19"/>
      <c r="C67" s="19"/>
      <c r="D67" s="19" t="s">
        <v>41</v>
      </c>
      <c r="E67" s="19"/>
      <c r="F67" s="19"/>
      <c r="G67" s="19" t="s">
        <v>42</v>
      </c>
      <c r="H67" s="19"/>
      <c r="I67" s="19"/>
      <c r="J67" s="19" t="s">
        <v>43</v>
      </c>
      <c r="K67" s="19"/>
      <c r="L67" s="19"/>
      <c r="M67"/>
      <c r="N67" s="24"/>
      <c r="O67" s="19">
        <v>4</v>
      </c>
      <c r="P67" s="19"/>
      <c r="Q67" s="19">
        <v>3</v>
      </c>
      <c r="R67" s="19"/>
      <c r="S67" s="19"/>
      <c r="T67" s="19"/>
      <c r="U67" s="19"/>
      <c r="V67" s="19"/>
      <c r="W67" s="19"/>
      <c r="X67" s="19"/>
      <c r="Y67" s="19"/>
      <c r="AA67" s="20">
        <v>2</v>
      </c>
      <c r="AE67" s="20">
        <v>1</v>
      </c>
    </row>
    <row r="68" spans="1:32" s="19" customFormat="1" x14ac:dyDescent="0.25">
      <c r="A68" s="19" t="s">
        <v>3</v>
      </c>
      <c r="B68" s="19" t="s">
        <v>44</v>
      </c>
      <c r="C68" s="19" t="s">
        <v>28</v>
      </c>
      <c r="D68" s="19" t="s">
        <v>3</v>
      </c>
      <c r="E68" s="19" t="s">
        <v>44</v>
      </c>
      <c r="F68" s="19" t="s">
        <v>28</v>
      </c>
      <c r="G68" s="19" t="s">
        <v>3</v>
      </c>
      <c r="I68" s="19" t="s">
        <v>28</v>
      </c>
      <c r="J68" s="19" t="s">
        <v>3</v>
      </c>
      <c r="K68" s="19" t="s">
        <v>44</v>
      </c>
      <c r="L68" s="19" t="s">
        <v>28</v>
      </c>
      <c r="M68"/>
      <c r="N68" s="24"/>
      <c r="O68" s="19">
        <v>64</v>
      </c>
      <c r="P68" s="19">
        <v>63</v>
      </c>
      <c r="Q68" s="19">
        <v>61</v>
      </c>
      <c r="R68" s="19">
        <v>62</v>
      </c>
      <c r="S68" s="19">
        <v>60</v>
      </c>
      <c r="T68" s="19">
        <v>41</v>
      </c>
      <c r="U68" s="19">
        <v>42</v>
      </c>
      <c r="V68" s="19">
        <v>43</v>
      </c>
      <c r="W68" s="19">
        <v>46</v>
      </c>
      <c r="X68" s="19">
        <v>47</v>
      </c>
      <c r="Y68" s="19">
        <v>51</v>
      </c>
      <c r="Z68" s="19">
        <v>110</v>
      </c>
      <c r="AA68" s="19">
        <v>32</v>
      </c>
      <c r="AB68" s="19">
        <v>31</v>
      </c>
      <c r="AC68" s="19">
        <v>21</v>
      </c>
      <c r="AD68" s="19">
        <v>22</v>
      </c>
      <c r="AE68" s="19">
        <v>11</v>
      </c>
      <c r="AF68" s="19">
        <v>12</v>
      </c>
    </row>
    <row r="69" spans="1:32" s="48" customFormat="1" x14ac:dyDescent="0.25">
      <c r="A69" s="37">
        <v>11</v>
      </c>
      <c r="B69" s="2">
        <v>0.33300000000000002</v>
      </c>
      <c r="C69" s="18">
        <f>B69*$B$65</f>
        <v>268.60114197703189</v>
      </c>
      <c r="D69" s="37">
        <v>22</v>
      </c>
      <c r="E69" s="2">
        <v>0.2142</v>
      </c>
      <c r="F69" s="18">
        <f>E69*$C$65</f>
        <v>285.78393560272366</v>
      </c>
      <c r="G69" s="38">
        <v>1</v>
      </c>
      <c r="H69" s="2">
        <v>2.7E-2</v>
      </c>
      <c r="I69" s="22">
        <f>H69*$D$65</f>
        <v>159.23739164591325</v>
      </c>
      <c r="J69" s="36">
        <v>63</v>
      </c>
      <c r="K69" s="2">
        <v>0.67</v>
      </c>
      <c r="L69" s="22">
        <f>K69*$E$65</f>
        <v>1031.7275641869612</v>
      </c>
      <c r="M69"/>
      <c r="N69" s="24"/>
      <c r="O69" s="18">
        <v>1.5</v>
      </c>
      <c r="P69" s="18">
        <v>9.9</v>
      </c>
      <c r="Q69" s="49">
        <v>5</v>
      </c>
      <c r="R69" s="51">
        <v>3.4</v>
      </c>
      <c r="S69" s="51">
        <v>4</v>
      </c>
      <c r="T69" s="53">
        <v>3.2</v>
      </c>
      <c r="U69" s="51">
        <v>3</v>
      </c>
      <c r="V69" s="49">
        <v>2.1</v>
      </c>
      <c r="W69" s="49">
        <v>5.6</v>
      </c>
      <c r="X69" s="51">
        <v>10</v>
      </c>
      <c r="Y69" s="49">
        <v>1.1000000000000001</v>
      </c>
      <c r="Z69" s="52">
        <v>2.5</v>
      </c>
      <c r="AA69" s="49">
        <v>3.5</v>
      </c>
      <c r="AB69" s="52">
        <v>1.4</v>
      </c>
      <c r="AC69" s="48">
        <f>3.3</f>
        <v>3.3</v>
      </c>
      <c r="AE69" s="48">
        <v>3</v>
      </c>
      <c r="AF69" s="48">
        <v>3.1</v>
      </c>
    </row>
    <row r="70" spans="1:32" s="48" customFormat="1" x14ac:dyDescent="0.25">
      <c r="A70" s="37">
        <v>12</v>
      </c>
      <c r="B70" s="2">
        <v>0.5</v>
      </c>
      <c r="C70" s="18">
        <f t="shared" ref="C70:C71" si="53">B70*$B$65</f>
        <v>403.30501798353134</v>
      </c>
      <c r="D70" s="35">
        <v>31</v>
      </c>
      <c r="E70" s="2">
        <v>0.04</v>
      </c>
      <c r="F70" s="18">
        <f t="shared" ref="F70:F71" si="54">E70*$C$65</f>
        <v>53.367681718529155</v>
      </c>
      <c r="G70" s="38">
        <v>2</v>
      </c>
      <c r="H70" s="2">
        <v>1.7999999999999999E-2</v>
      </c>
      <c r="I70" s="22">
        <f t="shared" ref="I70:I82" si="55">H70*$D$65</f>
        <v>106.15826109727548</v>
      </c>
      <c r="J70" s="41">
        <v>64</v>
      </c>
      <c r="K70" s="2">
        <v>0.33</v>
      </c>
      <c r="L70" s="22">
        <f>K70*$E$65</f>
        <v>508.16432265924954</v>
      </c>
      <c r="M70"/>
      <c r="N70" s="24"/>
      <c r="O70" s="18">
        <v>1.9</v>
      </c>
      <c r="P70" s="18"/>
      <c r="Q70" s="44"/>
      <c r="R70" s="51">
        <f>3.4/2</f>
        <v>1.7</v>
      </c>
      <c r="S70" s="52">
        <v>5.3</v>
      </c>
      <c r="T70" s="47"/>
      <c r="U70" s="45"/>
      <c r="V70" s="44"/>
      <c r="W70" s="46"/>
      <c r="X70" s="46"/>
      <c r="Y70" s="46"/>
      <c r="Z70" s="52">
        <v>1.7</v>
      </c>
      <c r="AA70" s="48">
        <v>7.2</v>
      </c>
    </row>
    <row r="71" spans="1:32" s="48" customFormat="1" x14ac:dyDescent="0.25">
      <c r="A71" s="37">
        <v>13</v>
      </c>
      <c r="B71" s="2">
        <v>0.16600000000000001</v>
      </c>
      <c r="C71" s="18">
        <f t="shared" si="53"/>
        <v>133.8972659705324</v>
      </c>
      <c r="D71" s="35">
        <v>32</v>
      </c>
      <c r="E71" s="2">
        <v>5.0999999999999997E-2</v>
      </c>
      <c r="F71" s="18">
        <f t="shared" si="54"/>
        <v>68.043794191124675</v>
      </c>
      <c r="G71" s="38">
        <v>3</v>
      </c>
      <c r="H71" s="2">
        <v>1.4E-2</v>
      </c>
      <c r="I71" s="22">
        <f t="shared" si="55"/>
        <v>82.567536408992055</v>
      </c>
      <c r="J71"/>
      <c r="K71"/>
      <c r="L71"/>
      <c r="M71"/>
      <c r="N71" s="24"/>
      <c r="O71" s="18">
        <v>1.4</v>
      </c>
      <c r="P71" s="18"/>
      <c r="Q71" s="44"/>
      <c r="R71" s="45"/>
      <c r="S71" s="50">
        <v>9.6999999999999993</v>
      </c>
      <c r="T71" s="47"/>
      <c r="U71" s="45"/>
      <c r="V71" s="44"/>
      <c r="W71" s="46"/>
      <c r="X71" s="46"/>
      <c r="Y71" s="46"/>
      <c r="Z71" s="52">
        <v>4.9000000000000004</v>
      </c>
    </row>
    <row r="72" spans="1:32" s="48" customFormat="1" x14ac:dyDescent="0.25">
      <c r="A72" s="48" t="s">
        <v>35</v>
      </c>
      <c r="B72" s="34">
        <f>SUM(B69:B71)</f>
        <v>0.999</v>
      </c>
      <c r="C72"/>
      <c r="D72" s="36" t="s">
        <v>216</v>
      </c>
      <c r="E72" s="2">
        <v>0.69479999999999997</v>
      </c>
      <c r="F72" s="18">
        <f>E72*$C$65</f>
        <v>926.9966314508514</v>
      </c>
      <c r="G72" s="38">
        <v>4</v>
      </c>
      <c r="H72" s="2">
        <v>2.5000000000000001E-2</v>
      </c>
      <c r="I72" s="22">
        <f t="shared" si="55"/>
        <v>147.44202930177153</v>
      </c>
      <c r="J72"/>
      <c r="K72"/>
      <c r="L72"/>
      <c r="M72"/>
      <c r="N72" s="21"/>
      <c r="O72">
        <f>SUM(O69:O71)/O73</f>
        <v>0.32653061224489793</v>
      </c>
      <c r="P72">
        <f>SUM(P69:P71)/P73</f>
        <v>0.67346938775510212</v>
      </c>
      <c r="Q72">
        <f t="shared" ref="Q72:AF72" si="56">SUM(Q69:Q71)/Q73</f>
        <v>7.9113924050632903E-2</v>
      </c>
      <c r="R72">
        <f t="shared" si="56"/>
        <v>8.0696202531645556E-2</v>
      </c>
      <c r="S72">
        <f t="shared" si="56"/>
        <v>0.300632911392405</v>
      </c>
      <c r="T72">
        <f t="shared" si="56"/>
        <v>5.0632911392405056E-2</v>
      </c>
      <c r="U72">
        <f t="shared" si="56"/>
        <v>4.7468354430379736E-2</v>
      </c>
      <c r="V72">
        <f t="shared" si="56"/>
        <v>3.3227848101265819E-2</v>
      </c>
      <c r="W72">
        <f t="shared" si="56"/>
        <v>8.8607594936708847E-2</v>
      </c>
      <c r="X72">
        <f t="shared" si="56"/>
        <v>0.15822784810126581</v>
      </c>
      <c r="Y72">
        <f t="shared" si="56"/>
        <v>1.740506329113924E-2</v>
      </c>
      <c r="Z72">
        <f t="shared" si="56"/>
        <v>0.14398734177215189</v>
      </c>
      <c r="AA72">
        <f t="shared" si="56"/>
        <v>0.69480519480519487</v>
      </c>
      <c r="AB72">
        <f t="shared" si="56"/>
        <v>9.0909090909090912E-2</v>
      </c>
      <c r="AC72">
        <f t="shared" si="56"/>
        <v>0.2142857142857143</v>
      </c>
      <c r="AD72">
        <f t="shared" si="56"/>
        <v>0</v>
      </c>
      <c r="AE72">
        <f t="shared" si="56"/>
        <v>0.49180327868852464</v>
      </c>
      <c r="AF72">
        <f t="shared" si="56"/>
        <v>0.50819672131147542</v>
      </c>
    </row>
    <row r="73" spans="1:32" s="48" customFormat="1" x14ac:dyDescent="0.25">
      <c r="C73"/>
      <c r="D73"/>
      <c r="E73" s="34">
        <f>SUM(E69:E72)</f>
        <v>1</v>
      </c>
      <c r="F73"/>
      <c r="G73" s="38">
        <v>5</v>
      </c>
      <c r="H73" s="2">
        <v>0.06</v>
      </c>
      <c r="I73" s="22">
        <f t="shared" si="55"/>
        <v>353.86087032425166</v>
      </c>
      <c r="J73"/>
      <c r="K73"/>
      <c r="L73"/>
      <c r="M73"/>
      <c r="N73" s="21"/>
      <c r="O73">
        <f>SUM(O69:P71)</f>
        <v>14.700000000000001</v>
      </c>
      <c r="P73">
        <v>14.7</v>
      </c>
      <c r="Q73" s="46">
        <f>SUM($Q$69:$Z$71)</f>
        <v>63.20000000000001</v>
      </c>
      <c r="R73" s="46">
        <f t="shared" ref="R73:Z73" si="57">SUM($Q$69:$Z$71)</f>
        <v>63.20000000000001</v>
      </c>
      <c r="S73" s="46">
        <f t="shared" si="57"/>
        <v>63.20000000000001</v>
      </c>
      <c r="T73" s="46">
        <f t="shared" si="57"/>
        <v>63.20000000000001</v>
      </c>
      <c r="U73" s="46">
        <f t="shared" si="57"/>
        <v>63.20000000000001</v>
      </c>
      <c r="V73" s="46">
        <f t="shared" si="57"/>
        <v>63.20000000000001</v>
      </c>
      <c r="W73" s="46">
        <f t="shared" si="57"/>
        <v>63.20000000000001</v>
      </c>
      <c r="X73" s="46">
        <f t="shared" si="57"/>
        <v>63.20000000000001</v>
      </c>
      <c r="Y73" s="46">
        <f t="shared" si="57"/>
        <v>63.20000000000001</v>
      </c>
      <c r="Z73" s="46">
        <f t="shared" si="57"/>
        <v>63.20000000000001</v>
      </c>
      <c r="AA73" s="46">
        <f>SUM($AA$69:$AD$70)</f>
        <v>15.399999999999999</v>
      </c>
      <c r="AB73" s="46">
        <f t="shared" ref="AB73:AD73" si="58">SUM($AA$69:$AD$70)</f>
        <v>15.399999999999999</v>
      </c>
      <c r="AC73" s="46">
        <f t="shared" si="58"/>
        <v>15.399999999999999</v>
      </c>
      <c r="AD73" s="46">
        <f t="shared" si="58"/>
        <v>15.399999999999999</v>
      </c>
      <c r="AE73" s="46">
        <f>SUM($AE$69:$AF$69)</f>
        <v>6.1</v>
      </c>
      <c r="AF73" s="46">
        <f>SUM($AE$69:$AF$69)</f>
        <v>6.1</v>
      </c>
    </row>
    <row r="74" spans="1:32" s="48" customFormat="1" x14ac:dyDescent="0.25">
      <c r="A74" s="19" t="s">
        <v>27</v>
      </c>
      <c r="B74" s="18">
        <f>SUM(C69:C71)</f>
        <v>805.8034259310956</v>
      </c>
      <c r="C74"/>
      <c r="D74"/>
      <c r="E74"/>
      <c r="F74"/>
      <c r="G74" s="39">
        <v>41</v>
      </c>
      <c r="H74" s="2">
        <v>5.0599999999999999E-2</v>
      </c>
      <c r="I74" s="22">
        <f t="shared" si="55"/>
        <v>298.42266730678557</v>
      </c>
      <c r="J74"/>
      <c r="K74" s="6"/>
      <c r="L74"/>
      <c r="M74"/>
      <c r="N74" s="21"/>
      <c r="O74" s="21"/>
      <c r="P74" s="21"/>
      <c r="Q74" s="46"/>
      <c r="R74" s="46"/>
      <c r="S74" s="46"/>
      <c r="T74" s="47"/>
      <c r="U74" s="45"/>
      <c r="V74" s="44"/>
      <c r="W74" s="46"/>
      <c r="X74" s="46"/>
      <c r="Y74" s="46"/>
    </row>
    <row r="75" spans="1:32" s="48" customFormat="1" x14ac:dyDescent="0.25">
      <c r="A75" s="19" t="s">
        <v>105</v>
      </c>
      <c r="B75" s="18" t="e">
        <f>D35/K46*SUM(B67:D71)</f>
        <v>#DIV/0!</v>
      </c>
      <c r="C75"/>
      <c r="D75"/>
      <c r="E75"/>
      <c r="F75"/>
      <c r="G75" s="39">
        <v>42</v>
      </c>
      <c r="H75" s="2">
        <v>4.7500000000000001E-2</v>
      </c>
      <c r="I75" s="22">
        <f t="shared" si="55"/>
        <v>280.1398556733659</v>
      </c>
      <c r="J75"/>
      <c r="K75"/>
      <c r="L75"/>
      <c r="M75"/>
      <c r="N75" s="21"/>
      <c r="O75" s="21"/>
      <c r="P75" s="21"/>
      <c r="Q75" s="46"/>
      <c r="R75" s="46"/>
      <c r="S75" s="46"/>
      <c r="T75" s="47"/>
      <c r="U75" s="45"/>
      <c r="V75" s="44"/>
      <c r="W75" s="46"/>
      <c r="X75" s="46"/>
      <c r="Y75" s="46"/>
    </row>
    <row r="76" spans="1:32" s="48" customFormat="1" x14ac:dyDescent="0.25">
      <c r="A76"/>
      <c r="B76"/>
      <c r="C76"/>
      <c r="D76"/>
      <c r="E76"/>
      <c r="F76"/>
      <c r="G76" s="39">
        <v>43</v>
      </c>
      <c r="H76" s="2">
        <v>3.32E-2</v>
      </c>
      <c r="I76" s="22">
        <f t="shared" si="55"/>
        <v>195.80301491275259</v>
      </c>
      <c r="J76"/>
      <c r="K76"/>
      <c r="L76"/>
      <c r="M76"/>
      <c r="N76" s="21"/>
      <c r="O76" s="21"/>
      <c r="P76" s="21"/>
      <c r="Q76" s="46"/>
      <c r="R76" s="46">
        <f>SUM(P73:Q73,AD73:AE73)</f>
        <v>99.4</v>
      </c>
      <c r="S76" s="46"/>
      <c r="T76" s="47"/>
      <c r="U76" s="45"/>
      <c r="V76" s="44"/>
      <c r="W76" s="46"/>
      <c r="X76" s="46"/>
      <c r="Y76" s="46"/>
    </row>
    <row r="77" spans="1:32" s="48" customFormat="1" x14ac:dyDescent="0.25">
      <c r="A77"/>
      <c r="B77"/>
      <c r="C77">
        <v>220</v>
      </c>
      <c r="D77"/>
      <c r="E77"/>
      <c r="F77"/>
      <c r="G77" s="39">
        <v>46</v>
      </c>
      <c r="H77" s="2">
        <v>8.8599999999999998E-2</v>
      </c>
      <c r="I77" s="22">
        <f t="shared" si="55"/>
        <v>522.53455184547829</v>
      </c>
      <c r="J77"/>
      <c r="K77"/>
      <c r="L77"/>
      <c r="M77"/>
      <c r="N77" s="21"/>
      <c r="O77" s="21"/>
      <c r="P77" s="21"/>
      <c r="Q77" s="46"/>
      <c r="R77" s="46"/>
      <c r="S77" s="46"/>
      <c r="T77" s="47"/>
      <c r="U77" s="45"/>
      <c r="V77" s="44"/>
      <c r="W77" s="46"/>
      <c r="X77" s="46"/>
      <c r="Y77" s="46"/>
      <c r="Z77" s="48">
        <f>1.7/Z73</f>
        <v>2.6898734177215184E-2</v>
      </c>
    </row>
    <row r="78" spans="1:32" s="48" customFormat="1" x14ac:dyDescent="0.25">
      <c r="A78"/>
      <c r="B78"/>
      <c r="C78"/>
      <c r="D78"/>
      <c r="E78"/>
      <c r="F78"/>
      <c r="G78" s="39">
        <v>47</v>
      </c>
      <c r="H78" s="2">
        <v>0.15820000000000001</v>
      </c>
      <c r="I78" s="22">
        <f t="shared" si="55"/>
        <v>933.01316142161022</v>
      </c>
      <c r="J78"/>
      <c r="K78"/>
      <c r="L78"/>
      <c r="M78"/>
      <c r="N78" s="21"/>
      <c r="O78" s="21"/>
      <c r="P78" s="21"/>
      <c r="Q78" s="46"/>
      <c r="R78" s="46"/>
      <c r="S78" s="46"/>
      <c r="T78" s="47"/>
      <c r="U78" s="45"/>
      <c r="V78" s="44"/>
      <c r="W78" s="46"/>
      <c r="X78" s="46"/>
      <c r="Y78" s="46"/>
    </row>
    <row r="79" spans="1:32" x14ac:dyDescent="0.25">
      <c r="G79" s="39">
        <v>51</v>
      </c>
      <c r="H79" s="2">
        <v>1.7399999999999999E-2</v>
      </c>
      <c r="I79" s="22">
        <f t="shared" si="55"/>
        <v>102.61965239403298</v>
      </c>
      <c r="N79" s="21"/>
      <c r="O79" s="21"/>
      <c r="P79" s="21"/>
      <c r="Q79" s="21"/>
      <c r="R79" s="46"/>
      <c r="S79" s="21"/>
      <c r="T79" s="43"/>
      <c r="U79" s="33"/>
      <c r="V79" s="24"/>
      <c r="W79" s="21"/>
      <c r="X79" s="21"/>
      <c r="Y79" s="21"/>
    </row>
    <row r="80" spans="1:32" x14ac:dyDescent="0.25">
      <c r="G80" s="36">
        <v>61</v>
      </c>
      <c r="H80" s="2">
        <v>7.9100000000000004E-2</v>
      </c>
      <c r="I80" s="22">
        <f t="shared" si="55"/>
        <v>466.50658071080511</v>
      </c>
      <c r="N80" s="21"/>
      <c r="O80" s="21"/>
      <c r="P80" s="21"/>
      <c r="Q80" s="21"/>
      <c r="R80" s="46"/>
      <c r="S80" s="21"/>
      <c r="T80" s="24"/>
      <c r="U80" s="33"/>
      <c r="V80" s="24"/>
      <c r="W80" s="21"/>
      <c r="X80" s="21"/>
      <c r="Y80" s="21"/>
    </row>
    <row r="81" spans="1:35" x14ac:dyDescent="0.25">
      <c r="G81" s="36">
        <v>62</v>
      </c>
      <c r="H81" s="2">
        <v>8.0699999999999994E-2</v>
      </c>
      <c r="I81" s="22">
        <f t="shared" si="55"/>
        <v>475.94287058611843</v>
      </c>
      <c r="N81" s="21"/>
      <c r="O81" s="21"/>
      <c r="P81" s="21"/>
      <c r="Q81" s="21"/>
      <c r="R81" s="46"/>
      <c r="S81" s="21"/>
      <c r="T81" s="24"/>
      <c r="U81" s="33"/>
      <c r="V81" s="24"/>
      <c r="W81" s="21"/>
      <c r="X81" s="21"/>
      <c r="Y81" s="21"/>
    </row>
    <row r="82" spans="1:35" x14ac:dyDescent="0.25">
      <c r="G82" s="42">
        <v>60</v>
      </c>
      <c r="H82" s="2">
        <v>0.30059999999999998</v>
      </c>
      <c r="I82" s="22">
        <f t="shared" si="55"/>
        <v>1772.8429603245006</v>
      </c>
      <c r="R82" s="46"/>
      <c r="AE82" t="s">
        <v>239</v>
      </c>
    </row>
    <row r="83" spans="1:35" x14ac:dyDescent="0.25">
      <c r="H83" s="34">
        <f>SUM(H69:H82)</f>
        <v>0.99990000000000001</v>
      </c>
      <c r="L83" s="21"/>
      <c r="M83" s="21"/>
      <c r="N83" s="21"/>
      <c r="O83" s="21"/>
      <c r="P83" s="21"/>
      <c r="Q83" s="21"/>
      <c r="R83" s="21"/>
      <c r="S83" s="21" t="s">
        <v>238</v>
      </c>
      <c r="T83" s="21"/>
      <c r="U83" s="21"/>
      <c r="V83" s="21"/>
      <c r="W83" s="21"/>
      <c r="X83" s="21"/>
      <c r="Y83" t="s">
        <v>232</v>
      </c>
      <c r="Z83" s="21"/>
      <c r="AA83" s="21"/>
      <c r="AB83" s="21"/>
      <c r="AC83" s="21"/>
    </row>
    <row r="84" spans="1:35" x14ac:dyDescent="0.25">
      <c r="A84" s="1" t="s">
        <v>154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35" x14ac:dyDescent="0.25">
      <c r="A85" t="s">
        <v>2</v>
      </c>
      <c r="B85" t="s">
        <v>46</v>
      </c>
      <c r="C85" t="s">
        <v>122</v>
      </c>
      <c r="D85" t="s">
        <v>123</v>
      </c>
      <c r="E85" t="s">
        <v>47</v>
      </c>
      <c r="F85" t="s">
        <v>227</v>
      </c>
      <c r="G85" t="s">
        <v>124</v>
      </c>
      <c r="H85" t="s">
        <v>25</v>
      </c>
      <c r="L85" s="24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E85" s="28" t="s">
        <v>240</v>
      </c>
    </row>
    <row r="86" spans="1:35" x14ac:dyDescent="0.25">
      <c r="A86" t="s">
        <v>13</v>
      </c>
      <c r="B86" s="26">
        <f>SUM(B42:D42)</f>
        <v>1284.1789665054075</v>
      </c>
      <c r="C86">
        <v>0.95</v>
      </c>
      <c r="D86">
        <f>B86/C86</f>
        <v>1351.767333163587</v>
      </c>
      <c r="E86" s="29">
        <f>SUM(E42:G42)</f>
        <v>149.80312823837548</v>
      </c>
      <c r="F86">
        <f>E27*$D$10</f>
        <v>170.59281602553409</v>
      </c>
      <c r="G86">
        <v>1</v>
      </c>
      <c r="H86" s="30">
        <f>I69</f>
        <v>159.23739164591325</v>
      </c>
      <c r="I86" t="s">
        <v>125</v>
      </c>
      <c r="J86" s="30">
        <f>V69</f>
        <v>2.1</v>
      </c>
      <c r="L86" s="24"/>
      <c r="M86" s="21"/>
      <c r="N86" s="21"/>
      <c r="O86" s="21"/>
      <c r="P86" s="21"/>
      <c r="Q86" s="21"/>
      <c r="R86" s="24"/>
      <c r="S86" s="21"/>
      <c r="T86" s="21"/>
      <c r="U86" s="21"/>
      <c r="V86" s="21"/>
      <c r="W86" s="21"/>
      <c r="X86" s="24"/>
      <c r="Y86" s="21" t="s">
        <v>228</v>
      </c>
      <c r="Z86" s="21" t="s">
        <v>233</v>
      </c>
      <c r="AA86" s="21"/>
      <c r="AB86" s="81" t="s">
        <v>234</v>
      </c>
      <c r="AC86" s="21"/>
      <c r="AE86">
        <v>6737</v>
      </c>
      <c r="AF86" t="s">
        <v>120</v>
      </c>
      <c r="AG86" t="s">
        <v>117</v>
      </c>
      <c r="AH86" t="s">
        <v>118</v>
      </c>
      <c r="AI86" t="s">
        <v>119</v>
      </c>
    </row>
    <row r="87" spans="1:35" x14ac:dyDescent="0.25">
      <c r="A87" t="s">
        <v>14</v>
      </c>
      <c r="B87" s="26">
        <f>SUM(B43:D43)</f>
        <v>1416.4019967337376</v>
      </c>
      <c r="C87">
        <v>0.95</v>
      </c>
      <c r="D87">
        <f t="shared" ref="D87:D102" si="59">B87/C87</f>
        <v>1490.9494702460397</v>
      </c>
      <c r="E87" s="29">
        <f>SUM(E43:G43)</f>
        <v>158.33620941422978</v>
      </c>
      <c r="F87">
        <f>E28*$D$10</f>
        <v>188.15757892728277</v>
      </c>
      <c r="G87">
        <v>2</v>
      </c>
      <c r="H87" s="30">
        <f>I70</f>
        <v>106.15826109727548</v>
      </c>
      <c r="I87" t="s">
        <v>125</v>
      </c>
      <c r="J87" s="30">
        <f t="shared" ref="J87:J90" si="60">V70</f>
        <v>0</v>
      </c>
      <c r="L87" s="21"/>
      <c r="M87" s="21"/>
      <c r="N87" s="21"/>
      <c r="O87" s="21"/>
      <c r="P87" s="21"/>
      <c r="Q87" s="21"/>
      <c r="R87" s="21"/>
      <c r="S87" s="21">
        <v>282</v>
      </c>
      <c r="T87" s="21" t="s">
        <v>120</v>
      </c>
      <c r="U87" s="21" t="s">
        <v>117</v>
      </c>
      <c r="V87" s="21" t="s">
        <v>118</v>
      </c>
      <c r="W87" s="21" t="s">
        <v>119</v>
      </c>
      <c r="X87" s="21"/>
      <c r="Y87" s="21">
        <v>5260</v>
      </c>
      <c r="Z87" s="21" t="s">
        <v>120</v>
      </c>
      <c r="AA87" s="21" t="s">
        <v>117</v>
      </c>
      <c r="AB87" s="21" t="s">
        <v>118</v>
      </c>
      <c r="AC87" s="21" t="s">
        <v>119</v>
      </c>
      <c r="AE87" t="s">
        <v>23</v>
      </c>
      <c r="AF87">
        <v>-997.80000000000007</v>
      </c>
      <c r="AG87">
        <v>195.3</v>
      </c>
      <c r="AH87">
        <v>3501.7</v>
      </c>
      <c r="AI87">
        <v>3812.8999999999996</v>
      </c>
    </row>
    <row r="88" spans="1:35" x14ac:dyDescent="0.25">
      <c r="A88" s="1" t="s">
        <v>15</v>
      </c>
      <c r="B88" s="26">
        <f t="shared" ref="B88" si="61">SUM(B44:D44)</f>
        <v>869.97442455242958</v>
      </c>
      <c r="C88">
        <v>0.95</v>
      </c>
      <c r="D88">
        <f t="shared" si="59"/>
        <v>915.76255216045229</v>
      </c>
      <c r="E88" s="29">
        <f>SUM(E44:G44)</f>
        <v>124.03274312020461</v>
      </c>
      <c r="F88">
        <f>E29*$D$10</f>
        <v>115.56908408059304</v>
      </c>
      <c r="G88">
        <v>3</v>
      </c>
      <c r="H88" s="30">
        <f>I71</f>
        <v>82.567536408992055</v>
      </c>
      <c r="I88" t="s">
        <v>125</v>
      </c>
      <c r="J88" s="30">
        <f t="shared" si="60"/>
        <v>0</v>
      </c>
      <c r="L88" s="24"/>
      <c r="M88" s="21"/>
      <c r="N88" s="21"/>
      <c r="O88" s="21"/>
      <c r="P88" s="21"/>
      <c r="Q88" s="21"/>
      <c r="R88" s="24"/>
      <c r="S88" s="21" t="s">
        <v>23</v>
      </c>
      <c r="T88" s="21">
        <v>-1478.3</v>
      </c>
      <c r="U88" s="21">
        <v>1441.1999999999998</v>
      </c>
      <c r="V88" s="21">
        <v>5721.7</v>
      </c>
      <c r="W88" s="21">
        <v>4597.8999999999996</v>
      </c>
      <c r="X88" s="24"/>
      <c r="Y88" s="81" t="s">
        <v>23</v>
      </c>
      <c r="Z88" s="21">
        <v>80.199999999999989</v>
      </c>
      <c r="AA88" s="21">
        <v>370</v>
      </c>
      <c r="AB88" s="21">
        <v>184.89999999999998</v>
      </c>
      <c r="AC88" s="21">
        <v>861.7</v>
      </c>
      <c r="AE88" t="s">
        <v>37</v>
      </c>
      <c r="AF88">
        <v>-920.83262606966946</v>
      </c>
      <c r="AG88">
        <v>-269.03964452359082</v>
      </c>
      <c r="AH88">
        <v>3172.0657977421524</v>
      </c>
      <c r="AI88">
        <v>3972.53074231954</v>
      </c>
    </row>
    <row r="89" spans="1:35" x14ac:dyDescent="0.25">
      <c r="A89" t="s">
        <v>16</v>
      </c>
      <c r="B89" s="26">
        <f>SUM(I42:K42)</f>
        <v>801.29748603351959</v>
      </c>
      <c r="C89">
        <v>0.95</v>
      </c>
      <c r="D89">
        <f t="shared" si="59"/>
        <v>843.47103793002066</v>
      </c>
      <c r="E89" s="29">
        <f>SUM(L42:N42)</f>
        <v>59.236299147765365</v>
      </c>
      <c r="F89">
        <f>J27*$E$10</f>
        <v>86.567573185986006</v>
      </c>
      <c r="G89">
        <v>4</v>
      </c>
      <c r="H89" s="30">
        <f>I72</f>
        <v>147.44202930177153</v>
      </c>
      <c r="I89" t="s">
        <v>125</v>
      </c>
      <c r="J89" s="30">
        <f t="shared" si="60"/>
        <v>3.3227848101265819E-2</v>
      </c>
      <c r="L89" s="24"/>
      <c r="M89" s="21"/>
      <c r="N89" s="21"/>
      <c r="O89" s="21"/>
      <c r="P89" s="21"/>
      <c r="Q89" s="21"/>
      <c r="R89" s="24"/>
      <c r="S89" s="21" t="s">
        <v>37</v>
      </c>
      <c r="T89" s="81">
        <v>-1022.9266661472816</v>
      </c>
      <c r="U89" s="21">
        <v>1669.7539842654605</v>
      </c>
      <c r="V89" s="21">
        <v>6322.6799294757793</v>
      </c>
      <c r="W89" s="21">
        <v>5223.877926150195</v>
      </c>
      <c r="X89" s="24"/>
      <c r="Y89" s="21" t="s">
        <v>37</v>
      </c>
      <c r="Z89" s="21">
        <v>-76.57053005820913</v>
      </c>
      <c r="AA89" s="21">
        <v>-249.97149696045705</v>
      </c>
      <c r="AB89" s="21">
        <v>-395.66406193502615</v>
      </c>
      <c r="AC89" s="21">
        <v>814.36880217550572</v>
      </c>
      <c r="AE89" t="s">
        <v>155</v>
      </c>
      <c r="AF89">
        <v>-76.967373930330609</v>
      </c>
      <c r="AG89">
        <v>464.33964452359083</v>
      </c>
      <c r="AH89">
        <v>329.63420225784739</v>
      </c>
      <c r="AI89">
        <v>-159.63074231954033</v>
      </c>
    </row>
    <row r="90" spans="1:35" x14ac:dyDescent="0.25">
      <c r="A90" t="s">
        <v>17</v>
      </c>
      <c r="B90" s="26">
        <f>SUM(I43:K43)</f>
        <v>854.43715083798884</v>
      </c>
      <c r="C90">
        <v>0.95</v>
      </c>
      <c r="D90">
        <f t="shared" si="59"/>
        <v>899.40752719788304</v>
      </c>
      <c r="E90" s="29">
        <f>SUM(L43:N43)</f>
        <v>59.742357494134083</v>
      </c>
      <c r="F90">
        <f>J28*$E$10</f>
        <v>92.308477035330171</v>
      </c>
      <c r="G90">
        <v>5</v>
      </c>
      <c r="H90" s="30">
        <f>I73</f>
        <v>353.86087032425166</v>
      </c>
      <c r="I90" t="s">
        <v>125</v>
      </c>
      <c r="J90" s="30">
        <f t="shared" si="60"/>
        <v>63.20000000000001</v>
      </c>
      <c r="L90" s="24"/>
      <c r="M90" s="21"/>
      <c r="N90" s="21"/>
      <c r="O90" s="21"/>
      <c r="P90" s="21"/>
      <c r="Q90" s="21"/>
      <c r="R90" s="24"/>
      <c r="S90" s="21" t="s">
        <v>155</v>
      </c>
      <c r="T90" s="21">
        <v>-455.37333385271836</v>
      </c>
      <c r="U90" s="21">
        <v>-228.55398426546071</v>
      </c>
      <c r="V90" s="21">
        <v>-600.9799294757795</v>
      </c>
      <c r="W90" s="21">
        <v>-625.97792615019534</v>
      </c>
      <c r="X90" s="24"/>
      <c r="Y90" s="33" t="s">
        <v>155</v>
      </c>
      <c r="Z90" s="45">
        <v>156.77053005820912</v>
      </c>
      <c r="AA90" s="45">
        <v>619.97149696045699</v>
      </c>
      <c r="AB90" s="45">
        <v>580.56406193502607</v>
      </c>
      <c r="AC90" s="46">
        <v>47.331197824494325</v>
      </c>
      <c r="AE90" t="s">
        <v>156</v>
      </c>
      <c r="AF90" s="2">
        <v>-4.7322888664571797E-3</v>
      </c>
      <c r="AG90" s="2">
        <v>2.8549620674634266E-2</v>
      </c>
      <c r="AH90" s="2">
        <v>2.0267344274475557E-2</v>
      </c>
      <c r="AI90" s="2">
        <v>-9.8147922430983064E-3</v>
      </c>
    </row>
    <row r="91" spans="1:35" x14ac:dyDescent="0.25">
      <c r="A91" t="s">
        <v>5</v>
      </c>
      <c r="B91" s="26">
        <f>SUM(P42:S42)</f>
        <v>255.74</v>
      </c>
      <c r="C91">
        <v>0.9</v>
      </c>
      <c r="D91">
        <f t="shared" si="59"/>
        <v>284.15555555555557</v>
      </c>
      <c r="E91" s="29">
        <f>SUM(T42:W42)</f>
        <v>17.218086899999999</v>
      </c>
      <c r="F91">
        <f>P27/$F$10</f>
        <v>1.6571406458693681E-6</v>
      </c>
      <c r="G91">
        <v>11</v>
      </c>
      <c r="H91" s="30">
        <f>C69</f>
        <v>268.60114197703189</v>
      </c>
      <c r="I91" t="s">
        <v>125</v>
      </c>
      <c r="J91" s="30" t="e">
        <f>#REF!</f>
        <v>#REF!</v>
      </c>
      <c r="L91" s="24"/>
      <c r="M91" s="33"/>
      <c r="N91" s="33"/>
      <c r="O91" s="33"/>
      <c r="P91" s="33"/>
      <c r="Q91" s="21"/>
      <c r="R91" s="24"/>
      <c r="S91" s="21" t="s">
        <v>156</v>
      </c>
      <c r="T91" s="82">
        <v>-2.1767926605278983E-2</v>
      </c>
      <c r="U91" s="33">
        <v>-1.0925423130823357E-2</v>
      </c>
      <c r="V91" s="33">
        <v>-2.872826760713585E-2</v>
      </c>
      <c r="W91" s="33">
        <v>-2.9923231203892457E-2</v>
      </c>
      <c r="X91" s="24"/>
      <c r="Y91" s="33" t="s">
        <v>156</v>
      </c>
      <c r="Z91" s="33">
        <v>1.5500629289752377E-2</v>
      </c>
      <c r="AA91" s="33">
        <v>6.1299456862387969E-2</v>
      </c>
      <c r="AB91" s="33">
        <v>5.7403061019608063E-2</v>
      </c>
      <c r="AC91" s="33">
        <v>4.6798550151295045E-3</v>
      </c>
    </row>
    <row r="92" spans="1:35" x14ac:dyDescent="0.25">
      <c r="A92" t="s">
        <v>6</v>
      </c>
      <c r="B92" s="26">
        <f>SUM(P43:S43)</f>
        <v>194.44</v>
      </c>
      <c r="C92">
        <v>0.9</v>
      </c>
      <c r="D92">
        <f t="shared" si="59"/>
        <v>216.04444444444442</v>
      </c>
      <c r="E92" s="29">
        <f>SUM(T43:W43)</f>
        <v>20.284744829999998</v>
      </c>
      <c r="F92">
        <f>P28/$F$10</f>
        <v>1.2599297223071867E-6</v>
      </c>
      <c r="G92">
        <v>12</v>
      </c>
      <c r="H92" s="30">
        <f>C70</f>
        <v>403.30501798353134</v>
      </c>
      <c r="I92" t="s">
        <v>125</v>
      </c>
      <c r="J92" s="30" t="e">
        <f>#REF!</f>
        <v>#REF!</v>
      </c>
      <c r="L92" s="21"/>
      <c r="M92" s="33"/>
      <c r="N92" s="33"/>
      <c r="O92" s="33"/>
      <c r="P92" s="33"/>
      <c r="Q92" s="21"/>
      <c r="R92" s="21"/>
      <c r="S92" s="33"/>
      <c r="T92" s="33"/>
      <c r="U92" s="33"/>
      <c r="V92" s="33"/>
      <c r="W92" s="21"/>
      <c r="X92" s="21"/>
      <c r="Y92" s="21"/>
      <c r="Z92" s="21"/>
      <c r="AA92" s="21"/>
      <c r="AB92" s="21"/>
      <c r="AC92" s="21"/>
    </row>
    <row r="93" spans="1:35" x14ac:dyDescent="0.25">
      <c r="A93" t="s">
        <v>18</v>
      </c>
      <c r="B93" s="26">
        <f>SUM(I44:K44)</f>
        <v>1252.9846368715084</v>
      </c>
      <c r="C93">
        <v>0.95</v>
      </c>
      <c r="D93">
        <f t="shared" si="59"/>
        <v>1318.9311967068511</v>
      </c>
      <c r="E93" s="29">
        <f>SUM(L44:N44)</f>
        <v>63.53779509189944</v>
      </c>
      <c r="F93">
        <f>J29*$E$10</f>
        <v>135.36525590541163</v>
      </c>
      <c r="G93">
        <v>13</v>
      </c>
      <c r="H93" s="30">
        <f>C71</f>
        <v>133.8972659705324</v>
      </c>
      <c r="I93" t="s">
        <v>125</v>
      </c>
      <c r="J93" s="30" t="e">
        <f>#REF!</f>
        <v>#REF!</v>
      </c>
      <c r="L93" s="24"/>
      <c r="M93" s="21"/>
      <c r="N93" s="21"/>
      <c r="O93" s="21"/>
      <c r="P93" s="21"/>
      <c r="Q93" s="21"/>
      <c r="R93" s="24"/>
      <c r="S93" s="21">
        <v>369</v>
      </c>
      <c r="T93" s="21" t="s">
        <v>120</v>
      </c>
      <c r="U93" s="21" t="s">
        <v>117</v>
      </c>
      <c r="V93" s="21" t="s">
        <v>118</v>
      </c>
      <c r="W93" s="21" t="s">
        <v>119</v>
      </c>
      <c r="X93" s="21"/>
      <c r="Y93" s="21"/>
      <c r="Z93" s="21"/>
      <c r="AA93" s="21"/>
      <c r="AB93" s="21"/>
      <c r="AC93" s="21"/>
      <c r="AE93" t="s">
        <v>241</v>
      </c>
    </row>
    <row r="94" spans="1:35" x14ac:dyDescent="0.25">
      <c r="A94" t="s">
        <v>19</v>
      </c>
      <c r="B94" s="26">
        <f>SUM(B45:D45)</f>
        <v>1509.9433334360458</v>
      </c>
      <c r="C94">
        <v>0.95</v>
      </c>
      <c r="D94">
        <f t="shared" si="59"/>
        <v>1589.4140351958379</v>
      </c>
      <c r="E94" s="29">
        <f>SUM(E45:G45)</f>
        <v>206.12064838320032</v>
      </c>
      <c r="G94">
        <v>22</v>
      </c>
      <c r="H94" s="30">
        <f>F69</f>
        <v>285.78393560272366</v>
      </c>
      <c r="I94" t="s">
        <v>125</v>
      </c>
      <c r="J94" s="30">
        <f>S69</f>
        <v>4</v>
      </c>
      <c r="L94" s="21"/>
      <c r="M94" s="21"/>
      <c r="N94" s="21"/>
      <c r="O94" s="21"/>
      <c r="P94" s="21"/>
      <c r="Q94" s="21"/>
      <c r="R94" s="21"/>
      <c r="S94" t="s">
        <v>23</v>
      </c>
      <c r="T94">
        <v>-1711</v>
      </c>
      <c r="U94">
        <v>332.9</v>
      </c>
      <c r="V94">
        <v>5037.4000000000005</v>
      </c>
      <c r="W94">
        <v>4066</v>
      </c>
      <c r="X94" s="21"/>
      <c r="Y94" s="24">
        <v>4873</v>
      </c>
      <c r="Z94" s="21" t="s">
        <v>120</v>
      </c>
      <c r="AA94" s="21" t="s">
        <v>117</v>
      </c>
      <c r="AB94" s="21" t="s">
        <v>118</v>
      </c>
      <c r="AC94" s="21" t="s">
        <v>119</v>
      </c>
      <c r="AE94">
        <v>8454</v>
      </c>
      <c r="AF94" t="s">
        <v>120</v>
      </c>
      <c r="AG94" t="s">
        <v>117</v>
      </c>
      <c r="AH94" t="s">
        <v>118</v>
      </c>
      <c r="AI94" t="s">
        <v>119</v>
      </c>
    </row>
    <row r="95" spans="1:35" x14ac:dyDescent="0.25">
      <c r="A95" t="s">
        <v>20</v>
      </c>
      <c r="B95" s="26">
        <f>SUM(B46:D46)</f>
        <v>1019.5012787723783</v>
      </c>
      <c r="C95">
        <v>0.95</v>
      </c>
      <c r="D95">
        <f t="shared" si="59"/>
        <v>1073.1592408130298</v>
      </c>
      <c r="E95" s="29">
        <f>SUM(E46:G46)</f>
        <v>145.35087084398975</v>
      </c>
      <c r="G95">
        <v>31</v>
      </c>
      <c r="H95" s="30">
        <f>F70</f>
        <v>53.367681718529155</v>
      </c>
      <c r="I95" t="s">
        <v>125</v>
      </c>
      <c r="J95" s="30">
        <f t="shared" ref="J95:J96" si="62">S70</f>
        <v>5.3</v>
      </c>
      <c r="L95" s="24"/>
      <c r="M95" s="21"/>
      <c r="N95" s="21"/>
      <c r="O95" s="21"/>
      <c r="P95" s="21"/>
      <c r="Q95" s="21"/>
      <c r="R95" s="24"/>
      <c r="S95" t="s">
        <v>37</v>
      </c>
      <c r="T95">
        <v>-1142.1025884168678</v>
      </c>
      <c r="U95">
        <v>1297.0312873673297</v>
      </c>
      <c r="V95">
        <v>6643.2631603809668</v>
      </c>
      <c r="W95">
        <v>5084.0448440205473</v>
      </c>
      <c r="X95" s="21"/>
      <c r="Y95" s="21" t="s">
        <v>23</v>
      </c>
      <c r="Z95" s="21">
        <v>509.7</v>
      </c>
      <c r="AA95" s="21">
        <v>322.29999999999995</v>
      </c>
      <c r="AB95" s="21">
        <v>-200.29999999999995</v>
      </c>
      <c r="AC95" s="21">
        <v>266.8</v>
      </c>
      <c r="AE95" t="s">
        <v>23</v>
      </c>
      <c r="AF95">
        <v>-226.5</v>
      </c>
      <c r="AG95">
        <v>343</v>
      </c>
      <c r="AH95">
        <v>1236</v>
      </c>
      <c r="AI95">
        <v>707.6</v>
      </c>
    </row>
    <row r="96" spans="1:35" x14ac:dyDescent="0.25">
      <c r="A96" t="s">
        <v>21</v>
      </c>
      <c r="B96" s="26">
        <f>SUM(I45:K45)</f>
        <v>3754</v>
      </c>
      <c r="C96">
        <v>0.95</v>
      </c>
      <c r="D96">
        <f t="shared" si="59"/>
        <v>3951.5789473684213</v>
      </c>
      <c r="E96" s="29">
        <f>SUM(L45:N45)</f>
        <v>468.54587040000001</v>
      </c>
      <c r="G96">
        <v>32</v>
      </c>
      <c r="H96" s="30">
        <f>F71</f>
        <v>68.043794191124675</v>
      </c>
      <c r="I96" t="s">
        <v>125</v>
      </c>
      <c r="J96" s="30">
        <f t="shared" si="62"/>
        <v>9.6999999999999993</v>
      </c>
      <c r="L96" s="24"/>
      <c r="M96" s="81"/>
      <c r="N96" s="21"/>
      <c r="O96" s="21"/>
      <c r="P96" s="21"/>
      <c r="Q96" s="21"/>
      <c r="R96" s="24"/>
      <c r="S96" t="s">
        <v>155</v>
      </c>
      <c r="T96">
        <v>-568.89741158313223</v>
      </c>
      <c r="U96">
        <v>-964.13128736732972</v>
      </c>
      <c r="V96">
        <v>-1605.8631603809663</v>
      </c>
      <c r="W96">
        <v>-1018.0448440205473</v>
      </c>
      <c r="X96" s="21"/>
      <c r="Y96" s="24" t="s">
        <v>37</v>
      </c>
      <c r="Z96" s="21">
        <v>0</v>
      </c>
      <c r="AA96" s="21">
        <v>-251.65982252594287</v>
      </c>
      <c r="AB96" s="21">
        <v>-764.71216789651146</v>
      </c>
      <c r="AC96" s="21">
        <v>205.08189957224624</v>
      </c>
      <c r="AE96" t="s">
        <v>37</v>
      </c>
      <c r="AF96">
        <v>-573.33549938526767</v>
      </c>
      <c r="AG96">
        <v>0</v>
      </c>
      <c r="AH96">
        <v>1062.9499133761508</v>
      </c>
      <c r="AI96">
        <v>1040.3064881449295</v>
      </c>
    </row>
    <row r="97" spans="1:39" x14ac:dyDescent="0.25">
      <c r="A97" t="s">
        <v>22</v>
      </c>
      <c r="B97" s="26">
        <f>SUM(I46:K46)</f>
        <v>2658.15</v>
      </c>
      <c r="C97">
        <v>0.95</v>
      </c>
      <c r="D97">
        <f t="shared" si="59"/>
        <v>2798.0526315789475</v>
      </c>
      <c r="E97" s="29">
        <f>SUM(L46:N46)</f>
        <v>365.90968623000003</v>
      </c>
      <c r="G97" t="s">
        <v>216</v>
      </c>
      <c r="H97" s="30">
        <f>F72</f>
        <v>926.9966314508514</v>
      </c>
      <c r="I97" t="s">
        <v>125</v>
      </c>
      <c r="J97" s="30">
        <f>V74</f>
        <v>0</v>
      </c>
      <c r="L97" s="24"/>
      <c r="M97" s="21"/>
      <c r="N97" s="21"/>
      <c r="O97" s="21"/>
      <c r="P97" s="21"/>
      <c r="Q97" s="21"/>
      <c r="R97" s="24"/>
      <c r="S97" t="s">
        <v>156</v>
      </c>
      <c r="T97" s="2">
        <v>-2.7552373672996976E-2</v>
      </c>
      <c r="U97" s="2">
        <v>-4.6694017161107292E-2</v>
      </c>
      <c r="V97" s="2">
        <v>-7.7773849839446393E-2</v>
      </c>
      <c r="W97" s="2">
        <v>-4.9305114397102855E-2</v>
      </c>
      <c r="X97" s="21"/>
      <c r="Y97" s="24" t="s">
        <v>155</v>
      </c>
      <c r="Z97" s="21">
        <v>509.7</v>
      </c>
      <c r="AA97" s="21">
        <v>573.95982252594285</v>
      </c>
      <c r="AB97" s="21">
        <v>564.41216789651151</v>
      </c>
      <c r="AC97" s="21">
        <v>61.718100427753768</v>
      </c>
      <c r="AE97" t="s">
        <v>155</v>
      </c>
      <c r="AF97">
        <v>346.83549938526767</v>
      </c>
      <c r="AG97">
        <v>343</v>
      </c>
      <c r="AH97">
        <v>173.05008662384921</v>
      </c>
      <c r="AI97">
        <v>-332.70648814492949</v>
      </c>
    </row>
    <row r="98" spans="1:39" x14ac:dyDescent="0.25">
      <c r="A98" t="s">
        <v>7</v>
      </c>
      <c r="B98" s="26">
        <f>SUM(P44:S44)</f>
        <v>2834.783967464115</v>
      </c>
      <c r="C98">
        <v>0.95</v>
      </c>
      <c r="D98">
        <f t="shared" si="59"/>
        <v>2983.983123646437</v>
      </c>
      <c r="E98" s="29">
        <f>SUM(T44:W44)</f>
        <v>185.70575211728806</v>
      </c>
      <c r="G98">
        <v>41</v>
      </c>
      <c r="H98" s="30">
        <f t="shared" ref="H98:H103" si="63">I74</f>
        <v>298.42266730678557</v>
      </c>
      <c r="I98" t="s">
        <v>125</v>
      </c>
      <c r="J98" s="30">
        <f t="shared" ref="J98:J104" si="64">V75</f>
        <v>0</v>
      </c>
      <c r="L98" s="24"/>
      <c r="M98" s="33"/>
      <c r="N98" s="33"/>
      <c r="O98" s="33"/>
      <c r="P98" s="33"/>
      <c r="Q98" s="21"/>
      <c r="R98" s="24"/>
      <c r="X98" s="21"/>
      <c r="Y98" s="24" t="s">
        <v>156</v>
      </c>
      <c r="Z98" s="33">
        <v>5.4620607460488836E-2</v>
      </c>
      <c r="AA98" s="33">
        <v>6.1506835715678568E-2</v>
      </c>
      <c r="AB98" s="33">
        <v>6.0483687401606583E-2</v>
      </c>
      <c r="AC98" s="33">
        <v>6.613851553210451E-3</v>
      </c>
      <c r="AE98" t="s">
        <v>156</v>
      </c>
      <c r="AF98" s="2">
        <v>2.0552759196266885E-2</v>
      </c>
      <c r="AG98" s="2">
        <v>2.0325475381886424E-2</v>
      </c>
      <c r="AH98" s="2">
        <v>1.0254592639960234E-2</v>
      </c>
      <c r="AI98" s="2">
        <v>-1.9715503015112688E-2</v>
      </c>
    </row>
    <row r="99" spans="1:39" x14ac:dyDescent="0.25">
      <c r="A99" t="s">
        <v>8</v>
      </c>
      <c r="B99" s="26">
        <f t="shared" ref="B99:B102" si="65">SUM(P45:S45)</f>
        <v>1251.1414000000002</v>
      </c>
      <c r="C99">
        <v>0.9</v>
      </c>
      <c r="D99">
        <f t="shared" si="59"/>
        <v>1390.1571111111114</v>
      </c>
      <c r="E99" s="29">
        <f>SUM(T45:W45)</f>
        <v>92.735302115899998</v>
      </c>
      <c r="G99">
        <v>42</v>
      </c>
      <c r="H99" s="30">
        <f t="shared" si="63"/>
        <v>280.1398556733659</v>
      </c>
      <c r="I99" t="s">
        <v>125</v>
      </c>
      <c r="J99" s="30">
        <f t="shared" si="64"/>
        <v>0</v>
      </c>
      <c r="L99" s="21"/>
      <c r="M99" s="33"/>
      <c r="N99" s="33"/>
      <c r="O99" s="33"/>
      <c r="P99" s="33"/>
      <c r="Q99" s="21"/>
      <c r="R99" s="21"/>
      <c r="X99" s="21"/>
      <c r="Y99" s="24"/>
      <c r="Z99" s="33"/>
      <c r="AA99" s="33"/>
      <c r="AB99" s="33"/>
      <c r="AC99" s="33"/>
    </row>
    <row r="100" spans="1:39" x14ac:dyDescent="0.25">
      <c r="A100" t="s">
        <v>9</v>
      </c>
      <c r="B100" s="26">
        <f t="shared" si="65"/>
        <v>3822.2586691658857</v>
      </c>
      <c r="C100">
        <v>0.9</v>
      </c>
      <c r="D100">
        <f t="shared" si="59"/>
        <v>4246.9540768509842</v>
      </c>
      <c r="E100" s="29">
        <f>SUM(T46:W46)</f>
        <v>3530.1047328959698</v>
      </c>
      <c r="G100">
        <v>43</v>
      </c>
      <c r="H100" s="30">
        <f t="shared" si="63"/>
        <v>195.80301491275259</v>
      </c>
      <c r="I100" t="s">
        <v>125</v>
      </c>
      <c r="J100" s="30">
        <f t="shared" si="64"/>
        <v>0</v>
      </c>
      <c r="L100" s="21"/>
      <c r="M100" s="21"/>
      <c r="N100" s="21"/>
      <c r="O100" s="21"/>
      <c r="P100" s="21"/>
      <c r="Q100" s="21"/>
      <c r="R100" s="21"/>
      <c r="X100" s="21"/>
      <c r="Y100" s="21"/>
      <c r="Z100" s="33"/>
      <c r="AA100" s="33"/>
      <c r="AB100" s="33"/>
      <c r="AC100" s="33"/>
    </row>
    <row r="101" spans="1:39" x14ac:dyDescent="0.25">
      <c r="A101" t="s">
        <v>10</v>
      </c>
      <c r="B101" s="26">
        <f t="shared" si="65"/>
        <v>1524.8257169634489</v>
      </c>
      <c r="C101">
        <v>0.9</v>
      </c>
      <c r="D101">
        <f t="shared" si="59"/>
        <v>1694.2507966260544</v>
      </c>
      <c r="E101" s="29">
        <f>SUM(T47:W47)</f>
        <v>1328.6759555047297</v>
      </c>
      <c r="G101">
        <v>46</v>
      </c>
      <c r="H101" s="30">
        <f t="shared" si="63"/>
        <v>522.53455184547829</v>
      </c>
      <c r="I101" t="s">
        <v>125</v>
      </c>
      <c r="J101" s="30">
        <f t="shared" si="64"/>
        <v>0</v>
      </c>
      <c r="L101" s="21"/>
      <c r="M101" s="21"/>
      <c r="N101" s="21"/>
      <c r="O101" s="21"/>
      <c r="P101" s="21"/>
      <c r="Q101" s="21"/>
      <c r="R101" s="21"/>
      <c r="X101" s="21"/>
      <c r="Y101" s="21">
        <v>5501</v>
      </c>
      <c r="Z101" s="21" t="s">
        <v>120</v>
      </c>
      <c r="AA101" s="21" t="s">
        <v>117</v>
      </c>
      <c r="AB101" s="21" t="s">
        <v>118</v>
      </c>
      <c r="AC101" s="21" t="s">
        <v>119</v>
      </c>
    </row>
    <row r="102" spans="1:39" x14ac:dyDescent="0.25">
      <c r="A102" t="s">
        <v>11</v>
      </c>
      <c r="B102" s="26">
        <f t="shared" si="65"/>
        <v>4668.6716138706652</v>
      </c>
      <c r="C102">
        <v>0.9</v>
      </c>
      <c r="D102">
        <f t="shared" si="59"/>
        <v>5187.4129043007388</v>
      </c>
      <c r="E102" s="29">
        <f>SUM(T48:W48)</f>
        <v>3143.7754689713001</v>
      </c>
      <c r="G102">
        <v>47</v>
      </c>
      <c r="H102" s="30">
        <f t="shared" si="63"/>
        <v>933.01316142161022</v>
      </c>
      <c r="I102" t="s">
        <v>125</v>
      </c>
      <c r="J102" s="30">
        <f t="shared" si="64"/>
        <v>0</v>
      </c>
      <c r="L102" s="24"/>
      <c r="M102" s="21"/>
      <c r="N102" s="21"/>
      <c r="O102" s="21"/>
      <c r="P102" s="21"/>
      <c r="Q102" s="21"/>
      <c r="R102" s="21"/>
      <c r="X102" s="21"/>
      <c r="Y102" s="21" t="s">
        <v>23</v>
      </c>
      <c r="Z102" s="21">
        <v>281.60000000000002</v>
      </c>
      <c r="AA102" s="21">
        <v>225.90000000000003</v>
      </c>
      <c r="AB102" s="21">
        <v>53.699999999999932</v>
      </c>
      <c r="AC102" s="21">
        <v>1947.1000000000001</v>
      </c>
    </row>
    <row r="103" spans="1:39" x14ac:dyDescent="0.25">
      <c r="A103" t="s">
        <v>12</v>
      </c>
      <c r="B103" s="26">
        <f>SUM(Y42:AA42)</f>
        <v>1409</v>
      </c>
      <c r="C103">
        <v>0.9</v>
      </c>
      <c r="D103">
        <f>B103/C103</f>
        <v>1565.5555555555554</v>
      </c>
      <c r="E103" s="29">
        <f>SUM(AB42:AD42)</f>
        <v>61.8148336</v>
      </c>
      <c r="G103">
        <v>51</v>
      </c>
      <c r="H103" s="30">
        <f t="shared" si="63"/>
        <v>102.61965239403298</v>
      </c>
      <c r="I103" t="s">
        <v>125</v>
      </c>
      <c r="J103" s="30">
        <f t="shared" si="64"/>
        <v>0</v>
      </c>
      <c r="L103" s="21"/>
      <c r="M103" s="21"/>
      <c r="N103" s="21"/>
      <c r="O103" s="21"/>
      <c r="P103" s="21"/>
      <c r="Q103" s="21"/>
      <c r="R103" s="21"/>
      <c r="X103" s="21"/>
      <c r="Y103" t="s">
        <v>37</v>
      </c>
      <c r="Z103">
        <v>0</v>
      </c>
      <c r="AA103">
        <v>-62.567359191532752</v>
      </c>
      <c r="AB103">
        <v>16.783942386300055</v>
      </c>
      <c r="AC103">
        <v>2439.8290686641035</v>
      </c>
    </row>
    <row r="104" spans="1:39" x14ac:dyDescent="0.25">
      <c r="A104" t="s">
        <v>0</v>
      </c>
      <c r="B104" s="26"/>
      <c r="D104">
        <v>500</v>
      </c>
      <c r="E104" s="29">
        <v>300</v>
      </c>
      <c r="G104">
        <v>60</v>
      </c>
      <c r="H104" s="30">
        <f>I82</f>
        <v>1772.8429603245006</v>
      </c>
      <c r="J104" s="30">
        <f t="shared" si="64"/>
        <v>0</v>
      </c>
      <c r="L104" s="24"/>
      <c r="M104" s="21"/>
      <c r="N104" s="21"/>
      <c r="O104" s="21"/>
      <c r="P104" s="21"/>
      <c r="Q104" s="21"/>
      <c r="R104" s="21"/>
      <c r="X104" s="21"/>
      <c r="Y104" t="s">
        <v>155</v>
      </c>
      <c r="Z104">
        <v>281.60000000000002</v>
      </c>
      <c r="AA104">
        <v>288.46735919153281</v>
      </c>
      <c r="AB104">
        <v>36.916057613699877</v>
      </c>
      <c r="AC104">
        <v>-492.72906866410335</v>
      </c>
      <c r="AG104" t="s">
        <v>242</v>
      </c>
      <c r="AH104" t="s">
        <v>243</v>
      </c>
      <c r="AI104" t="s">
        <v>244</v>
      </c>
      <c r="AJ104" t="s">
        <v>246</v>
      </c>
      <c r="AK104" t="s">
        <v>245</v>
      </c>
      <c r="AL104" t="s">
        <v>247</v>
      </c>
      <c r="AM104" t="s">
        <v>248</v>
      </c>
    </row>
    <row r="105" spans="1:39" x14ac:dyDescent="0.25">
      <c r="A105" t="s">
        <v>1</v>
      </c>
      <c r="D105">
        <v>4500</v>
      </c>
      <c r="E105" s="30">
        <f>2000-L57-L58</f>
        <v>2101.1</v>
      </c>
      <c r="G105">
        <v>61</v>
      </c>
      <c r="H105" s="30">
        <f>I80</f>
        <v>466.50658071080511</v>
      </c>
      <c r="I105" t="s">
        <v>125</v>
      </c>
      <c r="J105" s="30">
        <f>Y69</f>
        <v>1.1000000000000001</v>
      </c>
      <c r="L105" s="24"/>
      <c r="M105" s="21"/>
      <c r="N105" s="21"/>
      <c r="O105" s="21"/>
      <c r="P105" s="21"/>
      <c r="Q105" s="21"/>
      <c r="R105" s="21"/>
      <c r="X105" s="21"/>
      <c r="Y105" t="s">
        <v>156</v>
      </c>
      <c r="Z105" s="2">
        <v>2.96165048169423E-2</v>
      </c>
      <c r="AA105" s="2">
        <v>3.0338760415577613E-2</v>
      </c>
      <c r="AB105" s="2">
        <v>3.8825447377083162E-3</v>
      </c>
      <c r="AC105" s="2">
        <v>-5.1821423421654508E-2</v>
      </c>
      <c r="AG105">
        <v>282</v>
      </c>
      <c r="AH105">
        <v>945</v>
      </c>
      <c r="AI105">
        <v>8536</v>
      </c>
      <c r="AJ105">
        <v>1718</v>
      </c>
      <c r="AK105">
        <v>12590</v>
      </c>
      <c r="AL105">
        <v>24603</v>
      </c>
      <c r="AM105">
        <v>22095</v>
      </c>
    </row>
    <row r="106" spans="1:39" x14ac:dyDescent="0.25">
      <c r="A106" t="s">
        <v>121</v>
      </c>
      <c r="B106" s="26">
        <f>SUM(I47:K47)</f>
        <v>1644.1307262569831</v>
      </c>
      <c r="C106">
        <v>0.95</v>
      </c>
      <c r="D106" s="61">
        <f t="shared" ref="D106:D109" si="66">B106/C106</f>
        <v>1730.6639223757718</v>
      </c>
      <c r="E106" s="29">
        <f>SUM(L47:N47)</f>
        <v>139.51031163620112</v>
      </c>
      <c r="F106">
        <f>D97</f>
        <v>2798.0526315789475</v>
      </c>
      <c r="G106">
        <v>62</v>
      </c>
      <c r="H106" s="30">
        <f>I81</f>
        <v>475.94287058611843</v>
      </c>
      <c r="I106" t="s">
        <v>125</v>
      </c>
      <c r="J106" s="30"/>
      <c r="L106" s="24"/>
      <c r="M106" s="21"/>
      <c r="N106" s="21"/>
      <c r="O106" s="21"/>
      <c r="P106" s="21"/>
      <c r="Q106" s="21"/>
      <c r="R106" s="21"/>
      <c r="X106" s="21"/>
      <c r="Y106" s="21"/>
      <c r="Z106" s="21"/>
      <c r="AA106" s="21"/>
      <c r="AB106" s="21"/>
      <c r="AC106" s="21"/>
      <c r="AG106">
        <v>369</v>
      </c>
      <c r="AH106">
        <v>4753</v>
      </c>
      <c r="AI106">
        <v>8543</v>
      </c>
      <c r="AJ106">
        <v>1392</v>
      </c>
      <c r="AK106">
        <v>10887</v>
      </c>
      <c r="AL106">
        <v>26638</v>
      </c>
      <c r="AM106">
        <v>22060</v>
      </c>
    </row>
    <row r="107" spans="1:39" x14ac:dyDescent="0.25">
      <c r="A107" t="s">
        <v>217</v>
      </c>
      <c r="B107" s="26">
        <f>SUM(P50:S50)</f>
        <v>2016.7364000000002</v>
      </c>
      <c r="C107">
        <v>0.95</v>
      </c>
      <c r="D107" s="61">
        <f t="shared" si="66"/>
        <v>2122.8804210526318</v>
      </c>
      <c r="E107" s="30">
        <f>SUM(T50:W50)</f>
        <v>173.88810180839999</v>
      </c>
      <c r="F107" s="26">
        <f>D98</f>
        <v>2983.983123646437</v>
      </c>
      <c r="G107">
        <v>63</v>
      </c>
      <c r="H107" s="30">
        <f>L69</f>
        <v>1031.7275641869612</v>
      </c>
      <c r="L107" s="24"/>
      <c r="M107" s="33"/>
      <c r="N107" s="33"/>
      <c r="O107" s="33"/>
      <c r="P107" s="33"/>
      <c r="Q107" s="21"/>
      <c r="R107" s="21"/>
      <c r="X107" s="21"/>
      <c r="Y107" s="21"/>
      <c r="Z107" s="21"/>
      <c r="AA107" s="21"/>
      <c r="AB107" s="21"/>
      <c r="AC107" s="21"/>
    </row>
    <row r="108" spans="1:39" x14ac:dyDescent="0.25">
      <c r="A108" t="s">
        <v>138</v>
      </c>
      <c r="B108" s="26">
        <f>SUM(P49:S49)</f>
        <v>825.60020000000009</v>
      </c>
      <c r="C108">
        <v>0.95</v>
      </c>
      <c r="D108" s="61">
        <f t="shared" si="66"/>
        <v>869.05284210526327</v>
      </c>
      <c r="E108" s="29">
        <f>SUM(T49:W49)</f>
        <v>75.405208928699992</v>
      </c>
      <c r="F108">
        <f>D90</f>
        <v>899.40752719788304</v>
      </c>
      <c r="G108">
        <v>64</v>
      </c>
      <c r="H108" s="30">
        <f>L70</f>
        <v>508.16432265924954</v>
      </c>
      <c r="L108" s="21"/>
      <c r="M108" s="33"/>
      <c r="N108" s="33"/>
      <c r="O108" s="33"/>
      <c r="P108" s="33"/>
      <c r="Q108" s="21"/>
      <c r="R108" s="21"/>
      <c r="X108" s="21"/>
      <c r="Y108" s="21">
        <v>4688</v>
      </c>
      <c r="Z108" s="21" t="s">
        <v>120</v>
      </c>
      <c r="AA108" s="21" t="s">
        <v>117</v>
      </c>
      <c r="AB108" s="21" t="s">
        <v>118</v>
      </c>
      <c r="AC108" s="21" t="s">
        <v>119</v>
      </c>
      <c r="AG108">
        <v>5260</v>
      </c>
      <c r="AH108">
        <v>1976</v>
      </c>
      <c r="AI108">
        <v>7173</v>
      </c>
      <c r="AJ108">
        <v>271</v>
      </c>
      <c r="AK108">
        <v>2755</v>
      </c>
      <c r="AL108">
        <v>11798</v>
      </c>
      <c r="AM108">
        <v>10005</v>
      </c>
    </row>
    <row r="109" spans="1:39" s="21" customFormat="1" x14ac:dyDescent="0.25">
      <c r="A109" s="21" t="s">
        <v>218</v>
      </c>
      <c r="B109" s="58">
        <f>SUM(Y43:AA43)</f>
        <v>2716</v>
      </c>
      <c r="C109" s="21">
        <v>0.95</v>
      </c>
      <c r="D109" s="61">
        <f t="shared" si="66"/>
        <v>2858.9473684210529</v>
      </c>
      <c r="E109" s="30">
        <f>SUM(AB43:AD43)</f>
        <v>86.346203400000007</v>
      </c>
      <c r="F109" s="58">
        <f>D98</f>
        <v>2983.983123646437</v>
      </c>
      <c r="G109">
        <v>71</v>
      </c>
      <c r="H109" s="30">
        <v>300</v>
      </c>
      <c r="I109"/>
      <c r="Y109" s="21" t="s">
        <v>23</v>
      </c>
      <c r="Z109" s="21">
        <v>831.9</v>
      </c>
      <c r="AA109" s="21">
        <v>776.5</v>
      </c>
      <c r="AB109" s="21">
        <v>579.20000000000005</v>
      </c>
      <c r="AC109" s="21">
        <v>1239.8</v>
      </c>
      <c r="AG109">
        <v>4873</v>
      </c>
      <c r="AH109">
        <v>1417</v>
      </c>
      <c r="AI109">
        <v>7174</v>
      </c>
      <c r="AJ109">
        <v>299</v>
      </c>
      <c r="AK109">
        <v>1668</v>
      </c>
      <c r="AL109">
        <v>11186</v>
      </c>
      <c r="AM109">
        <v>9996</v>
      </c>
    </row>
    <row r="110" spans="1:39" x14ac:dyDescent="0.25">
      <c r="A110" t="s">
        <v>139</v>
      </c>
      <c r="E110" s="30">
        <f>IF(SUM(P58)&gt;0,0,-SUM(P58))*$C$63</f>
        <v>341.63764383948046</v>
      </c>
      <c r="F110" s="21"/>
      <c r="G110">
        <v>72</v>
      </c>
      <c r="H110" s="30">
        <v>2000</v>
      </c>
      <c r="I110" s="21"/>
      <c r="J110" s="21"/>
      <c r="L110" s="21"/>
      <c r="M110" s="21"/>
      <c r="N110" s="21"/>
      <c r="O110" s="21"/>
      <c r="P110" s="21"/>
      <c r="Q110" s="21"/>
      <c r="R110" s="21"/>
      <c r="X110" s="21"/>
      <c r="Y110" s="21" t="s">
        <v>37</v>
      </c>
      <c r="Z110" s="21">
        <v>100.40571451212638</v>
      </c>
      <c r="AA110" s="21">
        <v>0</v>
      </c>
      <c r="AB110" s="21">
        <v>-238.25253127061441</v>
      </c>
      <c r="AC110" s="21">
        <v>933.24678463941802</v>
      </c>
      <c r="AG110">
        <v>5501</v>
      </c>
      <c r="AH110">
        <v>1542</v>
      </c>
      <c r="AI110">
        <v>6874</v>
      </c>
      <c r="AJ110">
        <v>238</v>
      </c>
      <c r="AK110">
        <v>1849</v>
      </c>
      <c r="AL110">
        <v>10947</v>
      </c>
      <c r="AM110">
        <v>1018</v>
      </c>
    </row>
    <row r="111" spans="1:39" x14ac:dyDescent="0.25">
      <c r="A111" s="21" t="s">
        <v>162</v>
      </c>
      <c r="B111" s="21"/>
      <c r="C111" s="21"/>
      <c r="D111" s="21"/>
      <c r="E111" s="30">
        <f>IF(SUM(R57)&gt;0,0,-SUM(R57))*$C$63</f>
        <v>383.05127682816163</v>
      </c>
      <c r="F111" s="32"/>
      <c r="G111" t="s">
        <v>148</v>
      </c>
      <c r="H111" s="30">
        <f>IF(SUM(P58)&lt;0,0,SUM(P58))*$C$63</f>
        <v>0</v>
      </c>
      <c r="I111" s="32"/>
      <c r="M111" s="21"/>
      <c r="N111" s="21"/>
      <c r="O111" s="21"/>
      <c r="P111" s="21"/>
      <c r="Q111" s="21"/>
      <c r="Y111" t="s">
        <v>155</v>
      </c>
      <c r="Z111">
        <v>731.49428548787364</v>
      </c>
      <c r="AA111">
        <v>776.5</v>
      </c>
      <c r="AB111">
        <v>817.45253127061449</v>
      </c>
      <c r="AC111">
        <v>306.55321536058193</v>
      </c>
      <c r="AG111">
        <v>4688</v>
      </c>
      <c r="AH111">
        <v>126</v>
      </c>
      <c r="AI111">
        <v>7930</v>
      </c>
      <c r="AJ111">
        <v>330</v>
      </c>
      <c r="AK111">
        <v>2269</v>
      </c>
      <c r="AL111">
        <v>11099</v>
      </c>
      <c r="AM111">
        <v>10058</v>
      </c>
    </row>
    <row r="112" spans="1:39" x14ac:dyDescent="0.25">
      <c r="A112" s="32" t="s">
        <v>140</v>
      </c>
      <c r="B112" s="32"/>
      <c r="C112" s="32"/>
      <c r="D112" s="32"/>
      <c r="E112" s="32">
        <f>IF(SUM(L57)&gt;0,0,-SUM(L57))*$C$63</f>
        <v>0</v>
      </c>
      <c r="G112" s="21" t="s">
        <v>219</v>
      </c>
      <c r="H112" s="30">
        <f>IF(SUM(R57)&lt;0,0,SUM(R57))*$C$63</f>
        <v>0</v>
      </c>
      <c r="M112" s="21"/>
      <c r="N112" s="21"/>
      <c r="O112" s="21"/>
      <c r="P112" s="21"/>
      <c r="Q112" s="21"/>
      <c r="Y112" t="s">
        <v>156</v>
      </c>
      <c r="Z112" s="2">
        <v>7.6369350224913951E-2</v>
      </c>
      <c r="AA112" s="2">
        <v>8.1068029684052453E-2</v>
      </c>
      <c r="AB112" s="2">
        <v>8.5343549350096581E-2</v>
      </c>
      <c r="AC112" s="2">
        <v>3.2004720106366236E-2</v>
      </c>
    </row>
    <row r="113" spans="1:39" x14ac:dyDescent="0.25">
      <c r="A113" t="s">
        <v>141</v>
      </c>
      <c r="E113" s="30">
        <f>IF(SUM(P59)&gt;0,0,-SUM(P59))*$C$63</f>
        <v>0</v>
      </c>
      <c r="G113" s="32" t="s">
        <v>149</v>
      </c>
      <c r="H113" s="32">
        <f>IF(SUM(0)&lt;0,0,SUM(0))*$C$63</f>
        <v>0</v>
      </c>
      <c r="AG113">
        <v>6737</v>
      </c>
      <c r="AH113">
        <v>4064</v>
      </c>
      <c r="AI113">
        <v>7009</v>
      </c>
      <c r="AJ113">
        <v>724</v>
      </c>
      <c r="AK113">
        <v>6088</v>
      </c>
      <c r="AL113">
        <v>18291</v>
      </c>
      <c r="AM113">
        <v>16958</v>
      </c>
    </row>
    <row r="114" spans="1:39" x14ac:dyDescent="0.25">
      <c r="A114" t="s">
        <v>161</v>
      </c>
      <c r="E114" s="30">
        <f>IF(SUM(P57)&gt;0,0,-SUM(P57))*$C$63</f>
        <v>0</v>
      </c>
      <c r="G114" t="s">
        <v>150</v>
      </c>
      <c r="H114" s="30">
        <f>IF(SUM(P59)&lt;0,0,SUM(P59))*$C$63</f>
        <v>1191.759222695862</v>
      </c>
      <c r="AG114">
        <v>8454</v>
      </c>
      <c r="AH114">
        <v>1469</v>
      </c>
      <c r="AI114">
        <v>8647</v>
      </c>
      <c r="AJ114">
        <v>1657</v>
      </c>
      <c r="AK114">
        <v>6738</v>
      </c>
      <c r="AL114">
        <v>18135</v>
      </c>
      <c r="AM114">
        <v>16958</v>
      </c>
    </row>
    <row r="115" spans="1:39" x14ac:dyDescent="0.25">
      <c r="A115" t="s">
        <v>142</v>
      </c>
      <c r="E115" s="30">
        <f>IF(SUM(N57)&gt;0,0,-SUM(N57))*$C$63</f>
        <v>0</v>
      </c>
      <c r="G115" t="s">
        <v>220</v>
      </c>
      <c r="H115" s="30">
        <f>IF(SUM(P57)&lt;0,0,SUM(P57))*$C$63</f>
        <v>678.30962425106145</v>
      </c>
    </row>
    <row r="116" spans="1:39" x14ac:dyDescent="0.25">
      <c r="A116" t="s">
        <v>143</v>
      </c>
      <c r="E116" s="30">
        <f>IF(N58&gt;0,0,-N58)*$C$63</f>
        <v>51.344959844480059</v>
      </c>
      <c r="G116" t="s">
        <v>151</v>
      </c>
      <c r="H116" s="30">
        <f>IF(SUM(N57)&lt;0,0,SUM(N57))*$C$63</f>
        <v>0</v>
      </c>
      <c r="J116">
        <f>SUM(H111:H118)-SUM(E110:E117)</f>
        <v>1297.3292271730038</v>
      </c>
    </row>
    <row r="117" spans="1:39" x14ac:dyDescent="0.25">
      <c r="A117" t="s">
        <v>144</v>
      </c>
      <c r="E117" s="30">
        <f>IF(SUM(R58:R59)&gt;0,0,-SUM(R58:R59))*$C$63</f>
        <v>0</v>
      </c>
      <c r="G117" t="s">
        <v>152</v>
      </c>
      <c r="H117" s="30">
        <f>IF(N58&lt;0,0,N58)*$C$63</f>
        <v>0</v>
      </c>
    </row>
    <row r="118" spans="1:39" x14ac:dyDescent="0.25">
      <c r="G118" t="s">
        <v>153</v>
      </c>
      <c r="H118" s="30">
        <f>IF(SUM(R58:R59)&lt;0,0,SUM(R58:R59))*$C$63</f>
        <v>203.29426073820244</v>
      </c>
    </row>
    <row r="120" spans="1:39" x14ac:dyDescent="0.25">
      <c r="A120" t="s">
        <v>35</v>
      </c>
      <c r="D120">
        <f>SUM(D86:D105,F106:F109)</f>
        <v>48466.433946521654</v>
      </c>
      <c r="E120">
        <f t="shared" ref="E120:H120" si="67">SUM(E86:E117)</f>
        <v>13833.214191584409</v>
      </c>
      <c r="H120">
        <f t="shared" si="67"/>
        <v>13747.047606641112</v>
      </c>
      <c r="L120" t="s">
        <v>163</v>
      </c>
    </row>
    <row r="121" spans="1:39" x14ac:dyDescent="0.25">
      <c r="A121" t="s">
        <v>116</v>
      </c>
      <c r="H121" s="26"/>
    </row>
    <row r="122" spans="1:39" x14ac:dyDescent="0.25">
      <c r="A122" t="s">
        <v>24</v>
      </c>
      <c r="L122" t="s">
        <v>164</v>
      </c>
      <c r="M122" t="s">
        <v>165</v>
      </c>
      <c r="N122">
        <v>800</v>
      </c>
      <c r="O122">
        <v>1352</v>
      </c>
      <c r="P122" t="s">
        <v>185</v>
      </c>
      <c r="Q122">
        <v>1352</v>
      </c>
      <c r="S122" t="s">
        <v>194</v>
      </c>
      <c r="T122" t="s">
        <v>165</v>
      </c>
      <c r="U122">
        <v>1200</v>
      </c>
      <c r="V122">
        <v>555.20995334552526</v>
      </c>
      <c r="W122">
        <f>U122-V122</f>
        <v>644.79004665447474</v>
      </c>
      <c r="X122">
        <v>1</v>
      </c>
      <c r="Y122" s="30">
        <v>555.20995334552526</v>
      </c>
    </row>
    <row r="123" spans="1:39" x14ac:dyDescent="0.25">
      <c r="A123" t="s">
        <v>126</v>
      </c>
      <c r="B123" t="s">
        <v>117</v>
      </c>
      <c r="C123" t="s">
        <v>118</v>
      </c>
      <c r="D123" t="s">
        <v>119</v>
      </c>
      <c r="L123" t="s">
        <v>166</v>
      </c>
      <c r="M123" t="s">
        <v>165</v>
      </c>
      <c r="N123">
        <v>600</v>
      </c>
      <c r="O123">
        <v>1491</v>
      </c>
      <c r="P123" t="s">
        <v>20</v>
      </c>
      <c r="Q123">
        <v>1075</v>
      </c>
      <c r="S123" t="s">
        <v>195</v>
      </c>
      <c r="T123" t="s">
        <v>165</v>
      </c>
      <c r="U123">
        <v>400</v>
      </c>
      <c r="V123">
        <v>460.69096511663003</v>
      </c>
      <c r="W123">
        <f t="shared" ref="W123:W143" si="68">U123-V123</f>
        <v>-60.690965116630025</v>
      </c>
      <c r="X123">
        <v>2</v>
      </c>
      <c r="Y123" s="30">
        <v>555.20995334552526</v>
      </c>
    </row>
    <row r="124" spans="1:39" x14ac:dyDescent="0.25">
      <c r="A124">
        <v>438.5</v>
      </c>
      <c r="B124">
        <v>106.5</v>
      </c>
      <c r="C124">
        <v>147</v>
      </c>
      <c r="D124">
        <v>429.2</v>
      </c>
      <c r="L124" t="s">
        <v>167</v>
      </c>
      <c r="M124" t="s">
        <v>165</v>
      </c>
      <c r="N124">
        <v>700</v>
      </c>
      <c r="O124">
        <v>916</v>
      </c>
      <c r="P124" t="s">
        <v>21</v>
      </c>
      <c r="Q124">
        <v>1465</v>
      </c>
      <c r="S124" t="s">
        <v>196</v>
      </c>
      <c r="T124" t="s">
        <v>165</v>
      </c>
      <c r="U124">
        <v>600</v>
      </c>
      <c r="V124">
        <v>691.72817585079576</v>
      </c>
      <c r="W124">
        <f t="shared" si="68"/>
        <v>-91.728175850795765</v>
      </c>
      <c r="X124">
        <v>3</v>
      </c>
      <c r="Y124" s="30">
        <v>555.20995334552526</v>
      </c>
    </row>
    <row r="125" spans="1:39" x14ac:dyDescent="0.25">
      <c r="A125">
        <v>393.4</v>
      </c>
      <c r="B125">
        <v>314.60000000000002</v>
      </c>
      <c r="C125">
        <v>-211.6</v>
      </c>
      <c r="D125">
        <v>405.3</v>
      </c>
      <c r="L125" t="s">
        <v>168</v>
      </c>
      <c r="M125" t="s">
        <v>165</v>
      </c>
      <c r="N125">
        <v>600</v>
      </c>
      <c r="O125">
        <v>1549</v>
      </c>
      <c r="P125" t="s">
        <v>22</v>
      </c>
      <c r="Q125">
        <v>2825</v>
      </c>
      <c r="S125" t="s">
        <v>197</v>
      </c>
      <c r="T125" t="s">
        <v>165</v>
      </c>
      <c r="U125">
        <v>200</v>
      </c>
      <c r="V125">
        <v>229.6537543824642</v>
      </c>
      <c r="W125">
        <f t="shared" si="68"/>
        <v>-29.6537543824642</v>
      </c>
      <c r="X125">
        <v>4</v>
      </c>
      <c r="Y125" s="30">
        <v>555.20995334552526</v>
      </c>
    </row>
    <row r="126" spans="1:39" x14ac:dyDescent="0.25">
      <c r="B126">
        <v>355.4</v>
      </c>
      <c r="C126">
        <v>-187.3</v>
      </c>
      <c r="D126">
        <v>405.3</v>
      </c>
      <c r="L126" t="s">
        <v>169</v>
      </c>
      <c r="M126" t="s">
        <v>165</v>
      </c>
      <c r="N126">
        <v>250</v>
      </c>
      <c r="O126">
        <v>1322</v>
      </c>
      <c r="P126" t="s">
        <v>186</v>
      </c>
      <c r="Q126">
        <v>3763</v>
      </c>
      <c r="S126" t="s">
        <v>198</v>
      </c>
      <c r="T126" t="s">
        <v>165</v>
      </c>
      <c r="U126">
        <v>600</v>
      </c>
      <c r="V126">
        <v>555.20995334552526</v>
      </c>
      <c r="W126">
        <f t="shared" si="68"/>
        <v>44.790046654474736</v>
      </c>
      <c r="X126">
        <v>5</v>
      </c>
      <c r="Y126" s="30">
        <v>555.20995334552526</v>
      </c>
    </row>
    <row r="127" spans="1:39" x14ac:dyDescent="0.25">
      <c r="C127">
        <v>-61.8</v>
      </c>
      <c r="L127" t="s">
        <v>170</v>
      </c>
      <c r="M127" t="s">
        <v>165</v>
      </c>
      <c r="N127">
        <v>400</v>
      </c>
      <c r="O127">
        <v>1549</v>
      </c>
      <c r="P127" t="s">
        <v>8</v>
      </c>
      <c r="Q127">
        <v>1657</v>
      </c>
      <c r="S127" t="s">
        <v>199</v>
      </c>
      <c r="T127" t="s">
        <v>165</v>
      </c>
      <c r="U127">
        <v>560</v>
      </c>
      <c r="V127">
        <v>506.4966896496029</v>
      </c>
      <c r="W127">
        <f t="shared" si="68"/>
        <v>53.503310350397101</v>
      </c>
      <c r="X127">
        <v>11</v>
      </c>
      <c r="Y127" s="30">
        <v>460.69096511663003</v>
      </c>
    </row>
    <row r="128" spans="1:39" x14ac:dyDescent="0.25">
      <c r="C128">
        <v>-61.3</v>
      </c>
      <c r="L128" t="s">
        <v>171</v>
      </c>
      <c r="M128" t="s">
        <v>165</v>
      </c>
      <c r="N128">
        <v>200</v>
      </c>
      <c r="O128">
        <v>796</v>
      </c>
      <c r="P128" t="s">
        <v>9</v>
      </c>
      <c r="Q128">
        <v>4247</v>
      </c>
      <c r="S128" t="s">
        <v>200</v>
      </c>
      <c r="T128" t="s">
        <v>165</v>
      </c>
      <c r="U128">
        <v>460</v>
      </c>
      <c r="V128">
        <v>555.20995334552526</v>
      </c>
      <c r="W128">
        <f t="shared" si="68"/>
        <v>-95.209953345525264</v>
      </c>
      <c r="X128">
        <v>12</v>
      </c>
      <c r="Y128" s="30">
        <v>691.72817585079576</v>
      </c>
    </row>
    <row r="129" spans="1:25" x14ac:dyDescent="0.25">
      <c r="C129">
        <v>477.1</v>
      </c>
      <c r="L129" t="s">
        <v>172</v>
      </c>
      <c r="M129" t="s">
        <v>165</v>
      </c>
      <c r="N129">
        <v>850</v>
      </c>
      <c r="O129">
        <v>3671</v>
      </c>
      <c r="P129" t="s">
        <v>10</v>
      </c>
      <c r="Q129">
        <v>2190</v>
      </c>
      <c r="S129" t="s">
        <v>201</v>
      </c>
      <c r="T129" t="s">
        <v>165</v>
      </c>
      <c r="U129">
        <v>200</v>
      </c>
      <c r="V129">
        <v>368.80826916233224</v>
      </c>
      <c r="W129">
        <f t="shared" si="68"/>
        <v>-168.80826916233224</v>
      </c>
      <c r="X129">
        <v>13</v>
      </c>
      <c r="Y129" s="30">
        <v>229.6537543824642</v>
      </c>
    </row>
    <row r="130" spans="1:25" x14ac:dyDescent="0.25">
      <c r="C130">
        <v>477.1</v>
      </c>
      <c r="L130" t="s">
        <v>173</v>
      </c>
      <c r="M130" t="s">
        <v>165</v>
      </c>
      <c r="N130">
        <v>1000</v>
      </c>
      <c r="O130">
        <v>1590</v>
      </c>
      <c r="P130" t="s">
        <v>11</v>
      </c>
      <c r="Q130">
        <v>4305</v>
      </c>
      <c r="S130" t="s">
        <v>202</v>
      </c>
      <c r="T130" t="s">
        <v>165</v>
      </c>
      <c r="U130">
        <v>400</v>
      </c>
      <c r="V130">
        <v>368.80826916233224</v>
      </c>
      <c r="W130">
        <f t="shared" si="68"/>
        <v>31.191730837667762</v>
      </c>
      <c r="X130">
        <v>22</v>
      </c>
      <c r="Y130" s="30">
        <v>506.4966896496029</v>
      </c>
    </row>
    <row r="131" spans="1:25" x14ac:dyDescent="0.25">
      <c r="L131" t="s">
        <v>174</v>
      </c>
      <c r="M131" t="s">
        <v>165</v>
      </c>
      <c r="N131">
        <v>800</v>
      </c>
      <c r="O131">
        <v>1075</v>
      </c>
      <c r="P131" t="s">
        <v>12</v>
      </c>
      <c r="Q131">
        <v>4584</v>
      </c>
      <c r="S131" t="s">
        <v>203</v>
      </c>
      <c r="T131" t="s">
        <v>165</v>
      </c>
      <c r="U131">
        <v>1600</v>
      </c>
      <c r="V131">
        <v>555.20995334552526</v>
      </c>
      <c r="W131">
        <f t="shared" si="68"/>
        <v>1044.7900466544747</v>
      </c>
      <c r="X131">
        <v>31</v>
      </c>
      <c r="Y131" s="30">
        <v>368.80826916233224</v>
      </c>
    </row>
    <row r="132" spans="1:25" x14ac:dyDescent="0.25">
      <c r="L132" t="s">
        <v>175</v>
      </c>
      <c r="M132" t="s">
        <v>165</v>
      </c>
      <c r="N132">
        <v>300</v>
      </c>
      <c r="O132">
        <v>1465</v>
      </c>
      <c r="P132" t="s">
        <v>0</v>
      </c>
      <c r="Q132">
        <v>500</v>
      </c>
      <c r="S132" t="s">
        <v>204</v>
      </c>
      <c r="T132" t="s">
        <v>165</v>
      </c>
      <c r="U132">
        <v>1080</v>
      </c>
      <c r="V132">
        <v>1388.0248833638132</v>
      </c>
      <c r="W132">
        <f t="shared" si="68"/>
        <v>-308.02488336381316</v>
      </c>
      <c r="X132">
        <v>32</v>
      </c>
      <c r="Y132" s="30">
        <v>368.80826916233224</v>
      </c>
    </row>
    <row r="133" spans="1:25" x14ac:dyDescent="0.25">
      <c r="L133" t="s">
        <v>176</v>
      </c>
      <c r="M133" t="s">
        <v>165</v>
      </c>
      <c r="N133">
        <v>350</v>
      </c>
      <c r="O133">
        <v>2825</v>
      </c>
      <c r="P133" t="s">
        <v>187</v>
      </c>
      <c r="Q133">
        <v>1491</v>
      </c>
      <c r="S133" t="s">
        <v>205</v>
      </c>
      <c r="T133" t="s">
        <v>165</v>
      </c>
      <c r="U133">
        <v>800</v>
      </c>
      <c r="V133">
        <v>666.25194401463023</v>
      </c>
      <c r="W133">
        <f t="shared" si="68"/>
        <v>133.74805598536977</v>
      </c>
      <c r="X133">
        <v>41</v>
      </c>
      <c r="Y133" s="30">
        <v>1388.0248833638132</v>
      </c>
    </row>
    <row r="134" spans="1:25" x14ac:dyDescent="0.25">
      <c r="A134">
        <f>A10</f>
        <v>4688</v>
      </c>
      <c r="B134" t="s">
        <v>120</v>
      </c>
      <c r="C134" t="s">
        <v>117</v>
      </c>
      <c r="D134" t="s">
        <v>118</v>
      </c>
      <c r="E134" t="s">
        <v>119</v>
      </c>
      <c r="L134" t="s">
        <v>177</v>
      </c>
      <c r="M134" t="s">
        <v>165</v>
      </c>
      <c r="N134">
        <v>300</v>
      </c>
      <c r="O134">
        <v>3763</v>
      </c>
      <c r="P134" t="s">
        <v>1</v>
      </c>
      <c r="Q134">
        <v>4500</v>
      </c>
      <c r="S134" t="s">
        <v>206</v>
      </c>
      <c r="T134" t="s">
        <v>165</v>
      </c>
      <c r="U134">
        <v>1800</v>
      </c>
      <c r="V134">
        <v>1388.0248833638132</v>
      </c>
      <c r="W134">
        <f t="shared" si="68"/>
        <v>411.97511663618684</v>
      </c>
      <c r="X134">
        <v>42</v>
      </c>
      <c r="Y134" s="30">
        <v>666.25194401463023</v>
      </c>
    </row>
    <row r="135" spans="1:25" x14ac:dyDescent="0.25">
      <c r="A135" t="s">
        <v>23</v>
      </c>
      <c r="B135">
        <f>SUM(A124:A126)</f>
        <v>831.9</v>
      </c>
      <c r="C135">
        <f>SUM(B124:B126)</f>
        <v>776.5</v>
      </c>
      <c r="D135">
        <f>SUM(C124:C130)</f>
        <v>579.20000000000005</v>
      </c>
      <c r="E135">
        <f>SUM(D124:D126)</f>
        <v>1239.8</v>
      </c>
      <c r="L135" t="s">
        <v>178</v>
      </c>
      <c r="M135" t="s">
        <v>165</v>
      </c>
      <c r="N135">
        <v>700</v>
      </c>
      <c r="O135">
        <v>1657</v>
      </c>
      <c r="P135" t="s">
        <v>188</v>
      </c>
      <c r="Q135">
        <v>916</v>
      </c>
      <c r="S135" t="s">
        <v>207</v>
      </c>
      <c r="T135" t="s">
        <v>165</v>
      </c>
      <c r="U135">
        <v>1400</v>
      </c>
      <c r="V135">
        <v>1388.0248833638132</v>
      </c>
      <c r="W135">
        <f t="shared" si="68"/>
        <v>11.97511663618684</v>
      </c>
      <c r="X135">
        <v>43</v>
      </c>
      <c r="Y135" s="30">
        <v>1388.0248833638132</v>
      </c>
    </row>
    <row r="136" spans="1:25" x14ac:dyDescent="0.25">
      <c r="A136" t="s">
        <v>37</v>
      </c>
      <c r="B136" s="28">
        <f>-(L58+L57)*C63</f>
        <v>100.40571451212638</v>
      </c>
      <c r="C136">
        <f>(AB10-AC10)*C63</f>
        <v>0</v>
      </c>
      <c r="D136">
        <f>(N10-O10)*C63</f>
        <v>-238.25253127061441</v>
      </c>
      <c r="E136">
        <f>(P10-Q10)*C63</f>
        <v>933.24678463941802</v>
      </c>
      <c r="L136" t="s">
        <v>179</v>
      </c>
      <c r="M136" t="s">
        <v>165</v>
      </c>
      <c r="N136">
        <v>1200</v>
      </c>
      <c r="O136">
        <v>4247</v>
      </c>
      <c r="P136" t="s">
        <v>189</v>
      </c>
      <c r="Q136">
        <v>1549</v>
      </c>
      <c r="S136" t="s">
        <v>208</v>
      </c>
      <c r="T136" t="s">
        <v>165</v>
      </c>
      <c r="U136">
        <v>200</v>
      </c>
      <c r="V136">
        <v>1388.0248833638132</v>
      </c>
      <c r="W136">
        <f t="shared" si="68"/>
        <v>-1188.0248833638132</v>
      </c>
      <c r="X136">
        <v>46</v>
      </c>
      <c r="Y136" s="30">
        <v>1388.0248833638132</v>
      </c>
    </row>
    <row r="137" spans="1:25" x14ac:dyDescent="0.25">
      <c r="A137" t="s">
        <v>155</v>
      </c>
      <c r="B137">
        <f>B135-B136</f>
        <v>731.49428548787364</v>
      </c>
      <c r="C137">
        <f t="shared" ref="C137:E137" si="69">C135-C136</f>
        <v>776.5</v>
      </c>
      <c r="D137">
        <f t="shared" si="69"/>
        <v>817.45253127061449</v>
      </c>
      <c r="E137">
        <f t="shared" si="69"/>
        <v>306.55321536058193</v>
      </c>
      <c r="L137" t="s">
        <v>180</v>
      </c>
      <c r="M137" t="s">
        <v>165</v>
      </c>
      <c r="N137">
        <v>700</v>
      </c>
      <c r="O137">
        <v>2190</v>
      </c>
      <c r="P137" t="s">
        <v>190</v>
      </c>
      <c r="Q137">
        <v>1322</v>
      </c>
      <c r="S137" t="s">
        <v>209</v>
      </c>
      <c r="T137" t="s">
        <v>165</v>
      </c>
      <c r="U137">
        <v>1400</v>
      </c>
      <c r="V137" s="30">
        <v>555.20995334552526</v>
      </c>
      <c r="W137">
        <f t="shared" si="68"/>
        <v>844.79004665447474</v>
      </c>
      <c r="X137">
        <v>47</v>
      </c>
      <c r="Y137" s="30">
        <v>1388.0248833638132</v>
      </c>
    </row>
    <row r="138" spans="1:25" x14ac:dyDescent="0.25">
      <c r="A138" t="s">
        <v>156</v>
      </c>
      <c r="B138" s="31">
        <f>B137/$F$65</f>
        <v>7.6369350224913951E-2</v>
      </c>
      <c r="C138" s="2">
        <f t="shared" ref="C138:E138" si="70">C137/$F$65</f>
        <v>8.1068029684052453E-2</v>
      </c>
      <c r="D138" s="2">
        <f t="shared" si="70"/>
        <v>8.5343549350096581E-2</v>
      </c>
      <c r="E138" s="2">
        <f t="shared" si="70"/>
        <v>3.2004720106366236E-2</v>
      </c>
      <c r="L138" t="s">
        <v>181</v>
      </c>
      <c r="M138" t="s">
        <v>165</v>
      </c>
      <c r="N138">
        <v>600</v>
      </c>
      <c r="O138">
        <v>4305</v>
      </c>
      <c r="P138" t="s">
        <v>53</v>
      </c>
      <c r="Q138">
        <v>1549</v>
      </c>
      <c r="S138" t="s">
        <v>210</v>
      </c>
      <c r="T138" t="s">
        <v>165</v>
      </c>
      <c r="U138">
        <v>1600</v>
      </c>
      <c r="V138" s="30">
        <v>1665.6298600365756</v>
      </c>
      <c r="W138">
        <f t="shared" si="68"/>
        <v>-65.629860036575565</v>
      </c>
      <c r="X138">
        <v>51</v>
      </c>
      <c r="Y138" s="30">
        <v>1665.6298600365756</v>
      </c>
    </row>
    <row r="139" spans="1:25" x14ac:dyDescent="0.25">
      <c r="L139" t="s">
        <v>182</v>
      </c>
      <c r="M139" t="s">
        <v>165</v>
      </c>
      <c r="N139">
        <v>1200</v>
      </c>
      <c r="O139">
        <v>4584</v>
      </c>
      <c r="P139" t="s">
        <v>191</v>
      </c>
      <c r="Q139">
        <v>796</v>
      </c>
      <c r="S139" t="s">
        <v>211</v>
      </c>
      <c r="T139" t="s">
        <v>165</v>
      </c>
      <c r="U139">
        <v>1000</v>
      </c>
      <c r="V139" s="30">
        <v>4080.7931570896103</v>
      </c>
      <c r="W139">
        <f t="shared" si="68"/>
        <v>-3080.7931570896103</v>
      </c>
      <c r="X139">
        <v>61</v>
      </c>
      <c r="Y139" s="30">
        <v>4080.7931570896103</v>
      </c>
    </row>
    <row r="140" spans="1:25" x14ac:dyDescent="0.25">
      <c r="L140" t="s">
        <v>183</v>
      </c>
      <c r="M140" t="s">
        <v>165</v>
      </c>
      <c r="N140">
        <v>500</v>
      </c>
      <c r="O140">
        <v>500</v>
      </c>
      <c r="P140" t="s">
        <v>192</v>
      </c>
      <c r="Q140">
        <v>3671</v>
      </c>
      <c r="S140" t="s">
        <v>212</v>
      </c>
      <c r="T140" t="s">
        <v>165</v>
      </c>
      <c r="U140">
        <v>600</v>
      </c>
      <c r="V140" s="30">
        <v>943.85692068739286</v>
      </c>
      <c r="W140">
        <f t="shared" si="68"/>
        <v>-343.85692068739286</v>
      </c>
      <c r="X140">
        <v>62</v>
      </c>
      <c r="Y140" s="30">
        <v>943.85692068739286</v>
      </c>
    </row>
    <row r="141" spans="1:25" x14ac:dyDescent="0.25">
      <c r="L141" t="s">
        <v>184</v>
      </c>
      <c r="M141" t="s">
        <v>165</v>
      </c>
      <c r="N141">
        <v>4500</v>
      </c>
      <c r="O141">
        <v>4500</v>
      </c>
      <c r="P141" t="s">
        <v>193</v>
      </c>
      <c r="Q141">
        <v>1590</v>
      </c>
      <c r="S141" t="s">
        <v>213</v>
      </c>
      <c r="T141" t="s">
        <v>165</v>
      </c>
      <c r="U141">
        <v>1180</v>
      </c>
      <c r="V141" s="30">
        <v>4587.8640363175055</v>
      </c>
      <c r="W141">
        <f t="shared" si="68"/>
        <v>-3407.8640363175055</v>
      </c>
      <c r="X141">
        <v>63</v>
      </c>
      <c r="Y141" s="30">
        <v>4587.8640363175055</v>
      </c>
    </row>
    <row r="142" spans="1:25" x14ac:dyDescent="0.25">
      <c r="S142" t="s">
        <v>214</v>
      </c>
      <c r="T142" t="s">
        <v>165</v>
      </c>
      <c r="U142">
        <v>600</v>
      </c>
      <c r="V142" s="30">
        <v>300</v>
      </c>
      <c r="W142">
        <f t="shared" si="68"/>
        <v>300</v>
      </c>
      <c r="X142">
        <v>71</v>
      </c>
      <c r="Y142" s="30">
        <v>300</v>
      </c>
    </row>
    <row r="143" spans="1:25" x14ac:dyDescent="0.25">
      <c r="S143" t="s">
        <v>215</v>
      </c>
      <c r="T143" t="s">
        <v>165</v>
      </c>
      <c r="U143">
        <v>4000</v>
      </c>
      <c r="V143" s="30">
        <v>2000</v>
      </c>
      <c r="W143">
        <f t="shared" si="68"/>
        <v>2000</v>
      </c>
      <c r="X143">
        <v>72</v>
      </c>
      <c r="Y143" s="30">
        <v>2000</v>
      </c>
    </row>
    <row r="145" spans="1:18" x14ac:dyDescent="0.25">
      <c r="A145" t="s">
        <v>185</v>
      </c>
      <c r="B145">
        <f>D86</f>
        <v>1351.767333163587</v>
      </c>
    </row>
    <row r="146" spans="1:18" x14ac:dyDescent="0.25">
      <c r="A146" t="s">
        <v>20</v>
      </c>
      <c r="B146" s="29">
        <f t="shared" ref="B146:B155" si="71">D95</f>
        <v>1073.1592408130298</v>
      </c>
      <c r="M146">
        <v>1</v>
      </c>
      <c r="N146">
        <v>1</v>
      </c>
      <c r="R146" s="37"/>
    </row>
    <row r="147" spans="1:18" x14ac:dyDescent="0.25">
      <c r="A147" t="s">
        <v>21</v>
      </c>
      <c r="B147" s="29">
        <f t="shared" si="71"/>
        <v>3951.5789473684213</v>
      </c>
      <c r="M147">
        <v>2</v>
      </c>
      <c r="N147">
        <v>2</v>
      </c>
      <c r="R147" s="37"/>
    </row>
    <row r="148" spans="1:18" x14ac:dyDescent="0.25">
      <c r="A148" t="s">
        <v>22</v>
      </c>
      <c r="B148" s="29">
        <f t="shared" si="71"/>
        <v>2798.0526315789475</v>
      </c>
      <c r="M148">
        <v>3</v>
      </c>
      <c r="N148">
        <v>3</v>
      </c>
      <c r="Q148" s="1"/>
      <c r="R148" s="37"/>
    </row>
    <row r="149" spans="1:18" x14ac:dyDescent="0.25">
      <c r="A149" t="s">
        <v>186</v>
      </c>
      <c r="B149" s="29">
        <f t="shared" si="71"/>
        <v>2983.983123646437</v>
      </c>
      <c r="M149">
        <v>4</v>
      </c>
      <c r="N149">
        <v>4</v>
      </c>
      <c r="R149" s="37"/>
    </row>
    <row r="150" spans="1:18" x14ac:dyDescent="0.25">
      <c r="A150" t="s">
        <v>8</v>
      </c>
      <c r="B150" s="29">
        <f t="shared" si="71"/>
        <v>1390.1571111111114</v>
      </c>
      <c r="M150">
        <v>5</v>
      </c>
      <c r="N150">
        <v>5</v>
      </c>
      <c r="R150" s="35"/>
    </row>
    <row r="151" spans="1:18" x14ac:dyDescent="0.25">
      <c r="A151" t="s">
        <v>9</v>
      </c>
      <c r="B151" s="29">
        <f t="shared" si="71"/>
        <v>4246.9540768509842</v>
      </c>
      <c r="M151">
        <v>11</v>
      </c>
      <c r="N151">
        <v>11</v>
      </c>
      <c r="R151" s="35"/>
    </row>
    <row r="152" spans="1:18" x14ac:dyDescent="0.25">
      <c r="A152" t="s">
        <v>10</v>
      </c>
      <c r="B152" s="29">
        <f t="shared" si="71"/>
        <v>1694.2507966260544</v>
      </c>
      <c r="M152">
        <v>12</v>
      </c>
      <c r="N152">
        <v>12</v>
      </c>
      <c r="R152" s="36"/>
    </row>
    <row r="153" spans="1:18" x14ac:dyDescent="0.25">
      <c r="A153" t="s">
        <v>11</v>
      </c>
      <c r="B153" s="29">
        <f t="shared" si="71"/>
        <v>5187.4129043007388</v>
      </c>
      <c r="M153">
        <v>13</v>
      </c>
      <c r="N153">
        <v>13</v>
      </c>
      <c r="R153" s="38"/>
    </row>
    <row r="154" spans="1:18" x14ac:dyDescent="0.25">
      <c r="A154" t="s">
        <v>12</v>
      </c>
      <c r="B154" s="29">
        <f t="shared" si="71"/>
        <v>1565.5555555555554</v>
      </c>
      <c r="M154">
        <v>22</v>
      </c>
      <c r="N154">
        <v>22</v>
      </c>
      <c r="R154" s="38"/>
    </row>
    <row r="155" spans="1:18" x14ac:dyDescent="0.25">
      <c r="A155" t="s">
        <v>0</v>
      </c>
      <c r="B155" s="29">
        <f t="shared" si="71"/>
        <v>500</v>
      </c>
      <c r="M155">
        <v>31</v>
      </c>
      <c r="N155">
        <v>31</v>
      </c>
      <c r="R155" s="38"/>
    </row>
    <row r="156" spans="1:18" x14ac:dyDescent="0.25">
      <c r="A156" t="s">
        <v>187</v>
      </c>
      <c r="B156" s="29">
        <f>D87</f>
        <v>1490.9494702460397</v>
      </c>
      <c r="M156">
        <v>32</v>
      </c>
      <c r="N156">
        <v>32</v>
      </c>
      <c r="R156" s="38"/>
    </row>
    <row r="157" spans="1:18" x14ac:dyDescent="0.25">
      <c r="A157" t="s">
        <v>1</v>
      </c>
      <c r="B157" s="30">
        <f>D105</f>
        <v>4500</v>
      </c>
      <c r="M157" t="s">
        <v>216</v>
      </c>
      <c r="N157" t="s">
        <v>216</v>
      </c>
      <c r="R157" s="38"/>
    </row>
    <row r="158" spans="1:18" x14ac:dyDescent="0.25">
      <c r="A158" t="s">
        <v>188</v>
      </c>
      <c r="B158" s="29">
        <f t="shared" ref="B158:B164" si="72">D88</f>
        <v>915.76255216045229</v>
      </c>
      <c r="M158">
        <v>41</v>
      </c>
      <c r="N158">
        <v>41</v>
      </c>
      <c r="R158" s="39"/>
    </row>
    <row r="159" spans="1:18" x14ac:dyDescent="0.25">
      <c r="A159" t="s">
        <v>189</v>
      </c>
      <c r="B159" s="29">
        <f t="shared" si="72"/>
        <v>843.47103793002066</v>
      </c>
      <c r="M159">
        <v>42</v>
      </c>
      <c r="N159">
        <v>42</v>
      </c>
      <c r="R159" s="39"/>
    </row>
    <row r="160" spans="1:18" x14ac:dyDescent="0.25">
      <c r="A160" t="s">
        <v>190</v>
      </c>
      <c r="B160" s="29">
        <f t="shared" si="72"/>
        <v>899.40752719788304</v>
      </c>
      <c r="M160">
        <v>43</v>
      </c>
      <c r="N160">
        <v>43</v>
      </c>
      <c r="R160" s="39"/>
    </row>
    <row r="161" spans="1:18" x14ac:dyDescent="0.25">
      <c r="A161" t="s">
        <v>53</v>
      </c>
      <c r="B161" s="29">
        <f t="shared" si="72"/>
        <v>284.15555555555557</v>
      </c>
      <c r="M161">
        <v>46</v>
      </c>
      <c r="N161">
        <v>46</v>
      </c>
      <c r="R161" s="39"/>
    </row>
    <row r="162" spans="1:18" x14ac:dyDescent="0.25">
      <c r="A162" t="s">
        <v>191</v>
      </c>
      <c r="B162" s="29">
        <f t="shared" si="72"/>
        <v>216.04444444444442</v>
      </c>
      <c r="M162">
        <v>47</v>
      </c>
      <c r="N162">
        <v>47</v>
      </c>
      <c r="R162" s="39"/>
    </row>
    <row r="163" spans="1:18" x14ac:dyDescent="0.25">
      <c r="A163" t="s">
        <v>192</v>
      </c>
      <c r="B163" s="29">
        <f t="shared" si="72"/>
        <v>1318.9311967068511</v>
      </c>
      <c r="C163" s="29"/>
      <c r="M163">
        <v>51</v>
      </c>
      <c r="N163">
        <v>51</v>
      </c>
      <c r="R163" s="39"/>
    </row>
    <row r="164" spans="1:18" x14ac:dyDescent="0.25">
      <c r="A164" t="s">
        <v>193</v>
      </c>
      <c r="B164" s="29">
        <f t="shared" si="72"/>
        <v>1589.4140351958379</v>
      </c>
      <c r="C164" s="30"/>
      <c r="M164">
        <v>60</v>
      </c>
      <c r="N164">
        <v>60</v>
      </c>
      <c r="R164" s="36"/>
    </row>
    <row r="165" spans="1:18" x14ac:dyDescent="0.25">
      <c r="A165" t="s">
        <v>221</v>
      </c>
      <c r="C165" s="29"/>
      <c r="M165">
        <v>61</v>
      </c>
      <c r="N165">
        <v>61</v>
      </c>
      <c r="R165" s="36"/>
    </row>
    <row r="166" spans="1:18" x14ac:dyDescent="0.25">
      <c r="C166" s="30"/>
      <c r="M166">
        <v>62</v>
      </c>
      <c r="N166">
        <v>62</v>
      </c>
      <c r="R166" s="42"/>
    </row>
    <row r="167" spans="1:18" x14ac:dyDescent="0.25">
      <c r="C167" s="29"/>
      <c r="M167">
        <v>63</v>
      </c>
      <c r="N167">
        <v>63</v>
      </c>
      <c r="R167" s="36"/>
    </row>
    <row r="168" spans="1:18" x14ac:dyDescent="0.25">
      <c r="B168" s="29">
        <f>SUM(B145:B164)+2*(B149)+B160+B148-D119</f>
        <v>48466.433946521647</v>
      </c>
      <c r="C168" s="30"/>
      <c r="M168">
        <v>64</v>
      </c>
      <c r="N168">
        <v>64</v>
      </c>
      <c r="R168" s="41"/>
    </row>
    <row r="169" spans="1:18" x14ac:dyDescent="0.25">
      <c r="M169">
        <v>71</v>
      </c>
      <c r="N169">
        <v>71</v>
      </c>
    </row>
    <row r="170" spans="1:18" x14ac:dyDescent="0.25">
      <c r="M170">
        <v>72</v>
      </c>
      <c r="N170">
        <v>72</v>
      </c>
    </row>
    <row r="171" spans="1:18" x14ac:dyDescent="0.25">
      <c r="M171" t="s">
        <v>148</v>
      </c>
      <c r="N171" t="s">
        <v>148</v>
      </c>
    </row>
    <row r="172" spans="1:18" x14ac:dyDescent="0.25">
      <c r="L172" s="32"/>
      <c r="M172" t="s">
        <v>219</v>
      </c>
      <c r="N172" s="21" t="s">
        <v>219</v>
      </c>
    </row>
    <row r="173" spans="1:18" x14ac:dyDescent="0.25">
      <c r="M173" t="s">
        <v>149</v>
      </c>
      <c r="N173" s="32" t="s">
        <v>149</v>
      </c>
    </row>
    <row r="174" spans="1:18" x14ac:dyDescent="0.25">
      <c r="M174" t="s">
        <v>150</v>
      </c>
      <c r="N174" t="s">
        <v>150</v>
      </c>
    </row>
    <row r="175" spans="1:18" x14ac:dyDescent="0.25">
      <c r="M175" t="s">
        <v>220</v>
      </c>
      <c r="N175" t="s">
        <v>151</v>
      </c>
    </row>
    <row r="176" spans="1:18" x14ac:dyDescent="0.25">
      <c r="M176" t="s">
        <v>151</v>
      </c>
      <c r="N176" t="s">
        <v>152</v>
      </c>
    </row>
    <row r="177" spans="13:14" x14ac:dyDescent="0.25">
      <c r="M177" t="s">
        <v>152</v>
      </c>
      <c r="N177" t="s">
        <v>153</v>
      </c>
    </row>
    <row r="178" spans="13:14" x14ac:dyDescent="0.25">
      <c r="M178" t="s">
        <v>153</v>
      </c>
    </row>
  </sheetData>
  <mergeCells count="9">
    <mergeCell ref="B25:D25"/>
    <mergeCell ref="T40:W40"/>
    <mergeCell ref="Y40:AA40"/>
    <mergeCell ref="AB40:AD40"/>
    <mergeCell ref="B40:D40"/>
    <mergeCell ref="E40:G40"/>
    <mergeCell ref="I40:K40"/>
    <mergeCell ref="L40:N40"/>
    <mergeCell ref="P40:S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Muller</dc:creator>
  <cp:lastModifiedBy>Sharon Muller</cp:lastModifiedBy>
  <dcterms:created xsi:type="dcterms:W3CDTF">2019-05-22T09:17:25Z</dcterms:created>
  <dcterms:modified xsi:type="dcterms:W3CDTF">2019-08-29T13:37:35Z</dcterms:modified>
</cp:coreProperties>
</file>