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56b7cd70d4fd96/Documents/MY PROJECTS/"/>
    </mc:Choice>
  </mc:AlternateContent>
  <xr:revisionPtr revIDLastSave="0" documentId="8_{99FE6241-1F00-4547-8246-259325D0C91B}" xr6:coauthVersionLast="47" xr6:coauthVersionMax="47" xr10:uidLastSave="{00000000-0000-0000-0000-000000000000}"/>
  <bookViews>
    <workbookView xWindow="-108" yWindow="-108" windowWidth="23256" windowHeight="13176" tabRatio="779" xr2:uid="{F77C996D-8A5C-4B63-B111-08519EAAE226}"/>
  </bookViews>
  <sheets>
    <sheet name="ASSUMPTIONS" sheetId="6" r:id="rId1"/>
    <sheet name="REVENUE" sheetId="1" r:id="rId2"/>
    <sheet name="DIRECT EXPENSES(COGS)" sheetId="2" r:id="rId3"/>
    <sheet name="INDIRECT EXPENSES(OPEX)" sheetId="3" r:id="rId4"/>
    <sheet name="WACC" sheetId="7" r:id="rId5"/>
    <sheet name="OTHER" sheetId="4" r:id="rId6"/>
    <sheet name="FINANCIAL STATEMENTS" sheetId="14" r:id="rId7"/>
    <sheet name="FCFF" sheetId="17" r:id="rId8"/>
    <sheet name="EXEC.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4" l="1"/>
  <c r="AB12" i="1"/>
  <c r="W12" i="1"/>
  <c r="X12" i="1"/>
  <c r="Y12" i="1"/>
  <c r="Z12" i="1"/>
  <c r="AA12" i="1"/>
  <c r="O12" i="1"/>
  <c r="P12" i="1"/>
  <c r="Q12" i="1"/>
  <c r="R12" i="1"/>
  <c r="S12" i="1"/>
  <c r="T12" i="1"/>
  <c r="U12" i="1"/>
  <c r="V12" i="1"/>
  <c r="N12" i="1"/>
  <c r="AA11" i="1"/>
  <c r="AB11" i="1"/>
  <c r="V11" i="1"/>
  <c r="W11" i="1"/>
  <c r="X11" i="1"/>
  <c r="Y11" i="1"/>
  <c r="Z11" i="1"/>
  <c r="S11" i="1"/>
  <c r="T11" i="1"/>
  <c r="U11" i="1"/>
  <c r="O11" i="1"/>
  <c r="P11" i="1"/>
  <c r="Q11" i="1"/>
  <c r="R11" i="1"/>
  <c r="N11" i="1"/>
  <c r="Z10" i="1"/>
  <c r="AA10" i="1"/>
  <c r="AB10" i="1"/>
  <c r="V10" i="1"/>
  <c r="W10" i="1"/>
  <c r="X10" i="1"/>
  <c r="Y10" i="1"/>
  <c r="O10" i="1"/>
  <c r="P10" i="1"/>
  <c r="Q10" i="1"/>
  <c r="R10" i="1"/>
  <c r="S10" i="1"/>
  <c r="T10" i="1"/>
  <c r="U10" i="1"/>
  <c r="N10" i="1"/>
  <c r="X9" i="1"/>
  <c r="Y9" i="1"/>
  <c r="Z9" i="1"/>
  <c r="AA9" i="1"/>
  <c r="AB9" i="1"/>
  <c r="S9" i="1"/>
  <c r="T9" i="1"/>
  <c r="U9" i="1"/>
  <c r="V9" i="1"/>
  <c r="W9" i="1"/>
  <c r="O9" i="1"/>
  <c r="P9" i="1"/>
  <c r="Q9" i="1"/>
  <c r="R9" i="1"/>
  <c r="N9" i="1"/>
  <c r="AA8" i="1"/>
  <c r="AB8" i="1"/>
  <c r="V8" i="1"/>
  <c r="W8" i="1"/>
  <c r="X8" i="1"/>
  <c r="Y8" i="1"/>
  <c r="Z8" i="1"/>
  <c r="O8" i="1"/>
  <c r="P8" i="1"/>
  <c r="Q8" i="1"/>
  <c r="R8" i="1"/>
  <c r="S8" i="1"/>
  <c r="T8" i="1"/>
  <c r="U8" i="1"/>
  <c r="N8" i="1"/>
  <c r="AB7" i="1"/>
  <c r="V7" i="1"/>
  <c r="W7" i="1"/>
  <c r="X7" i="1"/>
  <c r="Y7" i="1"/>
  <c r="Z7" i="1"/>
  <c r="AA7" i="1"/>
  <c r="O7" i="1"/>
  <c r="P7" i="1"/>
  <c r="Q7" i="1"/>
  <c r="R7" i="1"/>
  <c r="S7" i="1"/>
  <c r="T7" i="1"/>
  <c r="U7" i="1"/>
  <c r="N7" i="1"/>
  <c r="X6" i="1"/>
  <c r="X13" i="1" s="1"/>
  <c r="S8" i="14" s="1"/>
  <c r="Y6" i="1"/>
  <c r="Y13" i="1" s="1"/>
  <c r="T8" i="14" s="1"/>
  <c r="Z5" i="1"/>
  <c r="AA5" i="1"/>
  <c r="AB5" i="1"/>
  <c r="W5" i="1"/>
  <c r="X5" i="1"/>
  <c r="Y5" i="1"/>
  <c r="O5" i="1"/>
  <c r="P5" i="1"/>
  <c r="Q5" i="1"/>
  <c r="R5" i="1"/>
  <c r="S5" i="1"/>
  <c r="T5" i="1"/>
  <c r="U5" i="1"/>
  <c r="V5" i="1"/>
  <c r="N5" i="1"/>
  <c r="O123" i="1"/>
  <c r="O6" i="1" s="1"/>
  <c r="O13" i="1" s="1"/>
  <c r="J8" i="14" s="1"/>
  <c r="P123" i="1"/>
  <c r="P6" i="1" s="1"/>
  <c r="P13" i="1" s="1"/>
  <c r="K8" i="14" s="1"/>
  <c r="Q123" i="1"/>
  <c r="Q6" i="1" s="1"/>
  <c r="Q13" i="1" s="1"/>
  <c r="L8" i="14" s="1"/>
  <c r="R123" i="1"/>
  <c r="R6" i="1" s="1"/>
  <c r="R13" i="1" s="1"/>
  <c r="M8" i="14" s="1"/>
  <c r="S123" i="1"/>
  <c r="S6" i="1" s="1"/>
  <c r="S13" i="1" s="1"/>
  <c r="N8" i="14" s="1"/>
  <c r="T123" i="1"/>
  <c r="T6" i="1" s="1"/>
  <c r="T13" i="1" s="1"/>
  <c r="O8" i="14" s="1"/>
  <c r="U123" i="1"/>
  <c r="U6" i="1" s="1"/>
  <c r="U13" i="1" s="1"/>
  <c r="P8" i="14" s="1"/>
  <c r="V123" i="1"/>
  <c r="V6" i="1" s="1"/>
  <c r="V13" i="1" s="1"/>
  <c r="Q8" i="14" s="1"/>
  <c r="W123" i="1"/>
  <c r="W6" i="1" s="1"/>
  <c r="W13" i="1" s="1"/>
  <c r="R8" i="14" s="1"/>
  <c r="X123" i="1"/>
  <c r="Y123" i="1"/>
  <c r="Z123" i="1"/>
  <c r="Z6" i="1" s="1"/>
  <c r="Z13" i="1" s="1"/>
  <c r="U8" i="14" s="1"/>
  <c r="AA123" i="1"/>
  <c r="AA6" i="1" s="1"/>
  <c r="AA13" i="1" s="1"/>
  <c r="V8" i="14" s="1"/>
  <c r="AB123" i="1"/>
  <c r="AB6" i="1" s="1"/>
  <c r="AB13" i="1" s="1"/>
  <c r="W8" i="14" s="1"/>
  <c r="I116" i="1"/>
  <c r="N104" i="1"/>
  <c r="R76" i="1"/>
  <c r="S76" i="1"/>
  <c r="T76" i="1"/>
  <c r="U76" i="1"/>
  <c r="V76" i="1"/>
  <c r="W76" i="1"/>
  <c r="X76" i="1"/>
  <c r="Y76" i="1"/>
  <c r="Z76" i="1"/>
  <c r="AA76" i="1"/>
  <c r="AB76" i="1"/>
  <c r="Q76" i="1"/>
  <c r="R70" i="1"/>
  <c r="S70" i="1"/>
  <c r="T70" i="1"/>
  <c r="U70" i="1"/>
  <c r="V70" i="1"/>
  <c r="W70" i="1"/>
  <c r="X70" i="1"/>
  <c r="Y70" i="1"/>
  <c r="Z70" i="1"/>
  <c r="AA70" i="1"/>
  <c r="AB70" i="1"/>
  <c r="Q70" i="1"/>
  <c r="Q63" i="1"/>
  <c r="R63" i="1"/>
  <c r="S63" i="1"/>
  <c r="T63" i="1"/>
  <c r="U63" i="1"/>
  <c r="V63" i="1"/>
  <c r="W63" i="1"/>
  <c r="X63" i="1"/>
  <c r="Y63" i="1"/>
  <c r="Z63" i="1"/>
  <c r="AA63" i="1"/>
  <c r="AB63" i="1"/>
  <c r="Q65" i="1"/>
  <c r="R65" i="1"/>
  <c r="S65" i="1"/>
  <c r="T65" i="1"/>
  <c r="U65" i="1"/>
  <c r="V65" i="1"/>
  <c r="W65" i="1"/>
  <c r="X65" i="1"/>
  <c r="Y65" i="1"/>
  <c r="Z65" i="1"/>
  <c r="AA65" i="1"/>
  <c r="AB65" i="1"/>
  <c r="N123" i="1" l="1"/>
  <c r="N6" i="1" s="1"/>
  <c r="N13" i="1" s="1"/>
  <c r="I8" i="14" s="1"/>
  <c r="AB34" i="1" l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B52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N38" i="1"/>
  <c r="E23" i="1"/>
  <c r="E22" i="1"/>
  <c r="E21" i="1"/>
  <c r="E20" i="1"/>
  <c r="E19" i="1"/>
  <c r="E18" i="1"/>
  <c r="Q35" i="1" s="1"/>
  <c r="N35" i="1" l="1"/>
  <c r="O35" i="1"/>
  <c r="P35" i="1"/>
  <c r="AB35" i="1"/>
  <c r="R35" i="1"/>
  <c r="S35" i="1"/>
  <c r="T35" i="1"/>
  <c r="U35" i="1"/>
  <c r="V35" i="1"/>
  <c r="W35" i="1"/>
  <c r="O38" i="1"/>
  <c r="X35" i="1"/>
  <c r="Y35" i="1"/>
  <c r="Z35" i="1"/>
  <c r="AA35" i="1"/>
  <c r="N48" i="1"/>
  <c r="N49" i="1"/>
  <c r="N50" i="1"/>
  <c r="N51" i="1"/>
  <c r="N47" i="1"/>
  <c r="N46" i="1"/>
  <c r="E24" i="1"/>
  <c r="P38" i="1" l="1"/>
  <c r="O51" i="1"/>
  <c r="O50" i="1"/>
  <c r="O49" i="1"/>
  <c r="O47" i="1"/>
  <c r="O48" i="1"/>
  <c r="O46" i="1"/>
  <c r="N54" i="1"/>
  <c r="N52" i="1"/>
  <c r="Q38" i="1"/>
  <c r="P46" i="1"/>
  <c r="P47" i="1"/>
  <c r="P48" i="1"/>
  <c r="P49" i="1"/>
  <c r="P50" i="1"/>
  <c r="P51" i="1"/>
  <c r="O52" i="1" l="1"/>
  <c r="O54" i="1"/>
  <c r="P54" i="1"/>
  <c r="P52" i="1"/>
  <c r="Q46" i="1"/>
  <c r="Q47" i="1"/>
  <c r="Q48" i="1"/>
  <c r="Q49" i="1"/>
  <c r="Q50" i="1"/>
  <c r="Q51" i="1"/>
  <c r="R38" i="1"/>
  <c r="Q54" i="1" l="1"/>
  <c r="R46" i="1"/>
  <c r="R47" i="1"/>
  <c r="R48" i="1"/>
  <c r="R49" i="1"/>
  <c r="R50" i="1"/>
  <c r="R51" i="1"/>
  <c r="S38" i="1"/>
  <c r="Q52" i="1"/>
  <c r="R54" i="1" l="1"/>
  <c r="S46" i="1"/>
  <c r="S47" i="1"/>
  <c r="S48" i="1"/>
  <c r="S49" i="1"/>
  <c r="S50" i="1"/>
  <c r="S51" i="1"/>
  <c r="T38" i="1"/>
  <c r="R52" i="1"/>
  <c r="S54" i="1" l="1"/>
  <c r="T46" i="1"/>
  <c r="T47" i="1"/>
  <c r="T48" i="1"/>
  <c r="T49" i="1"/>
  <c r="T50" i="1"/>
  <c r="T51" i="1"/>
  <c r="U38" i="1"/>
  <c r="S52" i="1"/>
  <c r="T54" i="1" l="1"/>
  <c r="U46" i="1"/>
  <c r="U47" i="1"/>
  <c r="U48" i="1"/>
  <c r="U49" i="1"/>
  <c r="U50" i="1"/>
  <c r="U51" i="1"/>
  <c r="V38" i="1"/>
  <c r="T52" i="1"/>
  <c r="U54" i="1" l="1"/>
  <c r="V46" i="1"/>
  <c r="V47" i="1"/>
  <c r="V48" i="1"/>
  <c r="V49" i="1"/>
  <c r="V50" i="1"/>
  <c r="V51" i="1"/>
  <c r="W38" i="1"/>
  <c r="U52" i="1"/>
  <c r="V54" i="1" l="1"/>
  <c r="W47" i="1"/>
  <c r="W48" i="1"/>
  <c r="W49" i="1"/>
  <c r="W50" i="1"/>
  <c r="W51" i="1"/>
  <c r="X38" i="1"/>
  <c r="W46" i="1"/>
  <c r="W54" i="1" s="1"/>
  <c r="V52" i="1"/>
  <c r="W52" i="1" l="1"/>
  <c r="X48" i="1"/>
  <c r="X49" i="1"/>
  <c r="X50" i="1"/>
  <c r="X51" i="1"/>
  <c r="Y38" i="1"/>
  <c r="X47" i="1"/>
  <c r="X46" i="1"/>
  <c r="X54" i="1" l="1"/>
  <c r="X52" i="1"/>
  <c r="Y49" i="1"/>
  <c r="Y50" i="1"/>
  <c r="Y51" i="1"/>
  <c r="Y46" i="1"/>
  <c r="Z38" i="1"/>
  <c r="Y48" i="1"/>
  <c r="Y47" i="1"/>
  <c r="Y54" i="1" l="1"/>
  <c r="Y52" i="1"/>
  <c r="Z50" i="1"/>
  <c r="Z51" i="1"/>
  <c r="Z47" i="1"/>
  <c r="AA38" i="1"/>
  <c r="Z49" i="1"/>
  <c r="Z46" i="1"/>
  <c r="Z48" i="1"/>
  <c r="Z54" i="1" l="1"/>
  <c r="Z52" i="1"/>
  <c r="AA51" i="1"/>
  <c r="AB38" i="1"/>
  <c r="AA48" i="1"/>
  <c r="AA46" i="1"/>
  <c r="AA47" i="1"/>
  <c r="AA49" i="1"/>
  <c r="AA50" i="1"/>
  <c r="AA54" i="1" l="1"/>
  <c r="AA52" i="1"/>
  <c r="AB51" i="1"/>
  <c r="AB46" i="1"/>
  <c r="AB49" i="1"/>
  <c r="AB47" i="1"/>
  <c r="AB48" i="1"/>
  <c r="AB50" i="1"/>
  <c r="AB54" i="1" l="1"/>
  <c r="AB52" i="1"/>
  <c r="V439" i="2" l="1"/>
  <c r="U439" i="2"/>
  <c r="T439" i="2"/>
  <c r="S439" i="2"/>
  <c r="R439" i="2"/>
  <c r="Q439" i="2"/>
  <c r="P439" i="2"/>
  <c r="O439" i="2"/>
  <c r="N439" i="2"/>
  <c r="M439" i="2"/>
  <c r="L439" i="2"/>
  <c r="K439" i="2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F46" i="4"/>
  <c r="F22" i="7" l="1"/>
  <c r="B88" i="18" s="1"/>
  <c r="B87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G44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G43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G20" i="18"/>
  <c r="G21" i="18"/>
  <c r="G19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G18" i="18"/>
  <c r="H14" i="18"/>
  <c r="I14" i="18"/>
  <c r="J14" i="18"/>
  <c r="K14" i="18"/>
  <c r="L14" i="18"/>
  <c r="M14" i="18"/>
  <c r="G14" i="18"/>
  <c r="I54" i="17"/>
  <c r="J54" i="17" s="1"/>
  <c r="K54" i="17" s="1"/>
  <c r="L54" i="17" s="1"/>
  <c r="M54" i="17" s="1"/>
  <c r="N54" i="17" s="1"/>
  <c r="O54" i="17" s="1"/>
  <c r="P54" i="17" s="1"/>
  <c r="Q54" i="17" s="1"/>
  <c r="R54" i="17" s="1"/>
  <c r="S54" i="17" s="1"/>
  <c r="T54" i="17" s="1"/>
  <c r="U54" i="17" s="1"/>
  <c r="V54" i="17" s="1"/>
  <c r="W54" i="17" s="1"/>
  <c r="B55" i="17"/>
  <c r="C66" i="6" l="1"/>
  <c r="B30" i="17"/>
  <c r="J19" i="17"/>
  <c r="H11" i="18" s="1"/>
  <c r="K19" i="17"/>
  <c r="I11" i="18" s="1"/>
  <c r="L19" i="17"/>
  <c r="J11" i="18" s="1"/>
  <c r="M19" i="17"/>
  <c r="K11" i="18" s="1"/>
  <c r="N19" i="17"/>
  <c r="L11" i="18" s="1"/>
  <c r="O19" i="17"/>
  <c r="M11" i="18" s="1"/>
  <c r="P19" i="17"/>
  <c r="N11" i="18" s="1"/>
  <c r="Q19" i="17"/>
  <c r="O11" i="18" s="1"/>
  <c r="R19" i="17"/>
  <c r="P11" i="18" s="1"/>
  <c r="S19" i="17"/>
  <c r="Q11" i="18" s="1"/>
  <c r="T19" i="17"/>
  <c r="R11" i="18" s="1"/>
  <c r="U19" i="17"/>
  <c r="S11" i="18" s="1"/>
  <c r="V19" i="17"/>
  <c r="T11" i="18" s="1"/>
  <c r="W19" i="17"/>
  <c r="U11" i="18" s="1"/>
  <c r="I19" i="17"/>
  <c r="G11" i="18" s="1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I87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J81" i="14"/>
  <c r="I81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J79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I80" i="14"/>
  <c r="I79" i="14"/>
  <c r="J53" i="14"/>
  <c r="N53" i="14"/>
  <c r="Q53" i="14"/>
  <c r="R53" i="14"/>
  <c r="S53" i="14"/>
  <c r="T53" i="14"/>
  <c r="U53" i="14"/>
  <c r="V53" i="14"/>
  <c r="W53" i="14"/>
  <c r="L53" i="14"/>
  <c r="O53" i="14"/>
  <c r="K53" i="14"/>
  <c r="M53" i="14"/>
  <c r="P53" i="14"/>
  <c r="I62" i="14"/>
  <c r="J62" i="14"/>
  <c r="J63" i="14" s="1"/>
  <c r="H24" i="18" s="1"/>
  <c r="K62" i="14"/>
  <c r="K63" i="14" s="1"/>
  <c r="I24" i="18" s="1"/>
  <c r="L62" i="14"/>
  <c r="M62" i="14"/>
  <c r="N62" i="14"/>
  <c r="O62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I77" i="14"/>
  <c r="J76" i="14"/>
  <c r="K76" i="14"/>
  <c r="L76" i="14"/>
  <c r="M76" i="14"/>
  <c r="N76" i="14"/>
  <c r="O76" i="14"/>
  <c r="I76" i="14"/>
  <c r="H50" i="4"/>
  <c r="K22" i="17" s="1"/>
  <c r="G50" i="4"/>
  <c r="J22" i="17" s="1"/>
  <c r="F50" i="4"/>
  <c r="I22" i="17" s="1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I37" i="14"/>
  <c r="B78" i="6"/>
  <c r="B85" i="6"/>
  <c r="B84" i="6"/>
  <c r="F84" i="6" s="1"/>
  <c r="J57" i="14" s="1"/>
  <c r="B83" i="6"/>
  <c r="J61" i="4"/>
  <c r="J62" i="4" s="1"/>
  <c r="K61" i="4"/>
  <c r="K62" i="4" s="1"/>
  <c r="L61" i="4"/>
  <c r="L62" i="4" s="1"/>
  <c r="M61" i="4"/>
  <c r="M62" i="4" s="1"/>
  <c r="N61" i="4"/>
  <c r="N62" i="4" s="1"/>
  <c r="O61" i="4"/>
  <c r="O62" i="4" s="1"/>
  <c r="P61" i="4"/>
  <c r="P62" i="4" s="1"/>
  <c r="Q61" i="4"/>
  <c r="Q62" i="4" s="1"/>
  <c r="R61" i="4"/>
  <c r="R62" i="4" s="1"/>
  <c r="S61" i="4"/>
  <c r="S62" i="4" s="1"/>
  <c r="T61" i="4"/>
  <c r="T62" i="4" s="1"/>
  <c r="F88" i="3"/>
  <c r="F11" i="3" s="1"/>
  <c r="G88" i="3"/>
  <c r="G11" i="3" s="1"/>
  <c r="H88" i="3"/>
  <c r="H11" i="3" s="1"/>
  <c r="I80" i="3"/>
  <c r="J80" i="3"/>
  <c r="K80" i="3"/>
  <c r="L80" i="3"/>
  <c r="M80" i="3"/>
  <c r="N80" i="3"/>
  <c r="O80" i="3"/>
  <c r="P80" i="3"/>
  <c r="Q80" i="3"/>
  <c r="R80" i="3"/>
  <c r="S80" i="3"/>
  <c r="T80" i="3"/>
  <c r="I81" i="3"/>
  <c r="J81" i="3"/>
  <c r="K81" i="3"/>
  <c r="L81" i="3"/>
  <c r="M81" i="3"/>
  <c r="N81" i="3"/>
  <c r="O81" i="3"/>
  <c r="P81" i="3"/>
  <c r="Q81" i="3"/>
  <c r="R81" i="3"/>
  <c r="S81" i="3"/>
  <c r="T81" i="3"/>
  <c r="I82" i="3"/>
  <c r="J82" i="3"/>
  <c r="K82" i="3"/>
  <c r="L82" i="3"/>
  <c r="M82" i="3"/>
  <c r="N82" i="3"/>
  <c r="O82" i="3"/>
  <c r="P82" i="3"/>
  <c r="Q82" i="3"/>
  <c r="R82" i="3"/>
  <c r="S82" i="3"/>
  <c r="T82" i="3"/>
  <c r="I83" i="3"/>
  <c r="J83" i="3"/>
  <c r="K83" i="3"/>
  <c r="L83" i="3"/>
  <c r="M83" i="3"/>
  <c r="N83" i="3"/>
  <c r="O83" i="3"/>
  <c r="P83" i="3"/>
  <c r="Q83" i="3"/>
  <c r="R83" i="3"/>
  <c r="S83" i="3"/>
  <c r="T83" i="3"/>
  <c r="I84" i="3"/>
  <c r="J84" i="3"/>
  <c r="K84" i="3"/>
  <c r="L84" i="3"/>
  <c r="M84" i="3"/>
  <c r="N84" i="3"/>
  <c r="O84" i="3"/>
  <c r="P84" i="3"/>
  <c r="Q84" i="3"/>
  <c r="R84" i="3"/>
  <c r="S84" i="3"/>
  <c r="T84" i="3"/>
  <c r="I85" i="3"/>
  <c r="J85" i="3"/>
  <c r="K85" i="3"/>
  <c r="L85" i="3"/>
  <c r="M85" i="3"/>
  <c r="N85" i="3"/>
  <c r="O85" i="3"/>
  <c r="P85" i="3"/>
  <c r="Q85" i="3"/>
  <c r="R85" i="3"/>
  <c r="S85" i="3"/>
  <c r="T85" i="3"/>
  <c r="I86" i="3"/>
  <c r="J86" i="3"/>
  <c r="K86" i="3"/>
  <c r="L86" i="3"/>
  <c r="M86" i="3"/>
  <c r="N86" i="3"/>
  <c r="O86" i="3"/>
  <c r="P86" i="3"/>
  <c r="Q86" i="3"/>
  <c r="R86" i="3"/>
  <c r="S86" i="3"/>
  <c r="T86" i="3"/>
  <c r="I87" i="3"/>
  <c r="J87" i="3"/>
  <c r="K87" i="3"/>
  <c r="L87" i="3"/>
  <c r="M87" i="3"/>
  <c r="N87" i="3"/>
  <c r="O87" i="3"/>
  <c r="P87" i="3"/>
  <c r="Q87" i="3"/>
  <c r="R87" i="3"/>
  <c r="S87" i="3"/>
  <c r="T87" i="3"/>
  <c r="F75" i="3"/>
  <c r="F10" i="3" s="1"/>
  <c r="G75" i="3"/>
  <c r="G10" i="3" s="1"/>
  <c r="H75" i="3"/>
  <c r="H10" i="3" s="1"/>
  <c r="I73" i="3"/>
  <c r="J73" i="3"/>
  <c r="K73" i="3"/>
  <c r="L73" i="3"/>
  <c r="M73" i="3"/>
  <c r="N73" i="3"/>
  <c r="O73" i="3"/>
  <c r="O75" i="3" s="1"/>
  <c r="O10" i="3" s="1"/>
  <c r="P73" i="3"/>
  <c r="Q73" i="3"/>
  <c r="R73" i="3"/>
  <c r="S73" i="3"/>
  <c r="T73" i="3"/>
  <c r="I74" i="3"/>
  <c r="J74" i="3"/>
  <c r="K74" i="3"/>
  <c r="L74" i="3"/>
  <c r="M74" i="3"/>
  <c r="N74" i="3"/>
  <c r="O74" i="3"/>
  <c r="P74" i="3"/>
  <c r="Q74" i="3"/>
  <c r="R74" i="3"/>
  <c r="S74" i="3"/>
  <c r="T74" i="3"/>
  <c r="B88" i="3"/>
  <c r="B75" i="3"/>
  <c r="B71" i="3"/>
  <c r="F71" i="3"/>
  <c r="F9" i="3" s="1"/>
  <c r="G71" i="3"/>
  <c r="G9" i="3" s="1"/>
  <c r="H71" i="3"/>
  <c r="H9" i="3" s="1"/>
  <c r="I68" i="3"/>
  <c r="J68" i="3"/>
  <c r="K68" i="3"/>
  <c r="L68" i="3"/>
  <c r="M68" i="3"/>
  <c r="N68" i="3"/>
  <c r="O68" i="3"/>
  <c r="P68" i="3"/>
  <c r="Q68" i="3"/>
  <c r="R68" i="3"/>
  <c r="S68" i="3"/>
  <c r="T68" i="3"/>
  <c r="I69" i="3"/>
  <c r="J69" i="3"/>
  <c r="K69" i="3"/>
  <c r="L69" i="3"/>
  <c r="M69" i="3"/>
  <c r="N69" i="3"/>
  <c r="O69" i="3"/>
  <c r="P69" i="3"/>
  <c r="Q69" i="3"/>
  <c r="R69" i="3"/>
  <c r="S69" i="3"/>
  <c r="T69" i="3"/>
  <c r="I70" i="3"/>
  <c r="J70" i="3"/>
  <c r="K70" i="3"/>
  <c r="L70" i="3"/>
  <c r="M70" i="3"/>
  <c r="N70" i="3"/>
  <c r="O70" i="3"/>
  <c r="P70" i="3"/>
  <c r="Q70" i="3"/>
  <c r="R70" i="3"/>
  <c r="S70" i="3"/>
  <c r="T70" i="3"/>
  <c r="G66" i="3"/>
  <c r="G8" i="3" s="1"/>
  <c r="H66" i="3"/>
  <c r="H8" i="3" s="1"/>
  <c r="I63" i="3"/>
  <c r="J63" i="3"/>
  <c r="K63" i="3"/>
  <c r="L63" i="3"/>
  <c r="M63" i="3"/>
  <c r="N63" i="3"/>
  <c r="O63" i="3"/>
  <c r="P63" i="3"/>
  <c r="Q63" i="3"/>
  <c r="R63" i="3"/>
  <c r="S63" i="3"/>
  <c r="T63" i="3"/>
  <c r="F66" i="3"/>
  <c r="F8" i="3" s="1"/>
  <c r="I64" i="3"/>
  <c r="J64" i="3"/>
  <c r="K64" i="3"/>
  <c r="L64" i="3"/>
  <c r="M64" i="3"/>
  <c r="N64" i="3"/>
  <c r="O64" i="3"/>
  <c r="P64" i="3"/>
  <c r="Q64" i="3"/>
  <c r="R64" i="3"/>
  <c r="S64" i="3"/>
  <c r="T64" i="3"/>
  <c r="I65" i="3"/>
  <c r="J65" i="3"/>
  <c r="K65" i="3"/>
  <c r="L65" i="3"/>
  <c r="M65" i="3"/>
  <c r="N65" i="3"/>
  <c r="O65" i="3"/>
  <c r="P65" i="3"/>
  <c r="Q65" i="3"/>
  <c r="R65" i="3"/>
  <c r="S65" i="3"/>
  <c r="T65" i="3"/>
  <c r="B66" i="3"/>
  <c r="F59" i="3"/>
  <c r="F7" i="3" s="1"/>
  <c r="G59" i="3"/>
  <c r="G7" i="3" s="1"/>
  <c r="H59" i="3"/>
  <c r="H7" i="3" s="1"/>
  <c r="I55" i="3"/>
  <c r="J55" i="3"/>
  <c r="K55" i="3"/>
  <c r="L55" i="3"/>
  <c r="M55" i="3"/>
  <c r="N55" i="3"/>
  <c r="O55" i="3"/>
  <c r="P55" i="3"/>
  <c r="Q55" i="3"/>
  <c r="R55" i="3"/>
  <c r="S55" i="3"/>
  <c r="T55" i="3"/>
  <c r="I56" i="3"/>
  <c r="J56" i="3"/>
  <c r="K56" i="3"/>
  <c r="L56" i="3"/>
  <c r="M56" i="3"/>
  <c r="N56" i="3"/>
  <c r="O56" i="3"/>
  <c r="P56" i="3"/>
  <c r="Q56" i="3"/>
  <c r="R56" i="3"/>
  <c r="S56" i="3"/>
  <c r="T56" i="3"/>
  <c r="I57" i="3"/>
  <c r="J57" i="3"/>
  <c r="K57" i="3"/>
  <c r="L57" i="3"/>
  <c r="M57" i="3"/>
  <c r="N57" i="3"/>
  <c r="O57" i="3"/>
  <c r="P57" i="3"/>
  <c r="Q57" i="3"/>
  <c r="R57" i="3"/>
  <c r="S57" i="3"/>
  <c r="T57" i="3"/>
  <c r="F51" i="3"/>
  <c r="F6" i="3" s="1"/>
  <c r="G75" i="18" s="1"/>
  <c r="G51" i="3"/>
  <c r="G6" i="3" s="1"/>
  <c r="H51" i="3"/>
  <c r="H6" i="3" s="1"/>
  <c r="I35" i="3"/>
  <c r="J35" i="3"/>
  <c r="K35" i="3"/>
  <c r="L35" i="3"/>
  <c r="M35" i="3"/>
  <c r="N35" i="3"/>
  <c r="O35" i="3"/>
  <c r="P35" i="3"/>
  <c r="Q35" i="3"/>
  <c r="R35" i="3"/>
  <c r="S35" i="3"/>
  <c r="T35" i="3"/>
  <c r="I36" i="3"/>
  <c r="J36" i="3"/>
  <c r="K36" i="3"/>
  <c r="L36" i="3"/>
  <c r="M36" i="3"/>
  <c r="N36" i="3"/>
  <c r="O36" i="3"/>
  <c r="P36" i="3"/>
  <c r="Q36" i="3"/>
  <c r="R36" i="3"/>
  <c r="S36" i="3"/>
  <c r="T36" i="3"/>
  <c r="I37" i="3"/>
  <c r="J37" i="3"/>
  <c r="K37" i="3"/>
  <c r="L37" i="3"/>
  <c r="M37" i="3"/>
  <c r="N37" i="3"/>
  <c r="O37" i="3"/>
  <c r="P37" i="3"/>
  <c r="Q37" i="3"/>
  <c r="R37" i="3"/>
  <c r="S37" i="3"/>
  <c r="T37" i="3"/>
  <c r="I38" i="3"/>
  <c r="J38" i="3"/>
  <c r="K38" i="3"/>
  <c r="L38" i="3"/>
  <c r="M38" i="3"/>
  <c r="N38" i="3"/>
  <c r="O38" i="3"/>
  <c r="P38" i="3"/>
  <c r="Q38" i="3"/>
  <c r="R38" i="3"/>
  <c r="S38" i="3"/>
  <c r="T38" i="3"/>
  <c r="I39" i="3"/>
  <c r="J39" i="3"/>
  <c r="K39" i="3"/>
  <c r="L39" i="3"/>
  <c r="M39" i="3"/>
  <c r="N39" i="3"/>
  <c r="O39" i="3"/>
  <c r="P39" i="3"/>
  <c r="Q39" i="3"/>
  <c r="R39" i="3"/>
  <c r="S39" i="3"/>
  <c r="T39" i="3"/>
  <c r="I40" i="3"/>
  <c r="J40" i="3"/>
  <c r="K40" i="3"/>
  <c r="L40" i="3"/>
  <c r="M40" i="3"/>
  <c r="N40" i="3"/>
  <c r="O40" i="3"/>
  <c r="P40" i="3"/>
  <c r="Q40" i="3"/>
  <c r="R40" i="3"/>
  <c r="S40" i="3"/>
  <c r="T40" i="3"/>
  <c r="I41" i="3"/>
  <c r="J41" i="3"/>
  <c r="K41" i="3"/>
  <c r="L41" i="3"/>
  <c r="M41" i="3"/>
  <c r="N41" i="3"/>
  <c r="O41" i="3"/>
  <c r="P41" i="3"/>
  <c r="Q41" i="3"/>
  <c r="R41" i="3"/>
  <c r="S41" i="3"/>
  <c r="T41" i="3"/>
  <c r="I42" i="3"/>
  <c r="J42" i="3"/>
  <c r="K42" i="3"/>
  <c r="L42" i="3"/>
  <c r="M42" i="3"/>
  <c r="N42" i="3"/>
  <c r="O42" i="3"/>
  <c r="P42" i="3"/>
  <c r="Q42" i="3"/>
  <c r="R42" i="3"/>
  <c r="S42" i="3"/>
  <c r="T42" i="3"/>
  <c r="I43" i="3"/>
  <c r="J43" i="3"/>
  <c r="K43" i="3"/>
  <c r="L43" i="3"/>
  <c r="M43" i="3"/>
  <c r="N43" i="3"/>
  <c r="O43" i="3"/>
  <c r="P43" i="3"/>
  <c r="Q43" i="3"/>
  <c r="R43" i="3"/>
  <c r="S43" i="3"/>
  <c r="T43" i="3"/>
  <c r="I44" i="3"/>
  <c r="J44" i="3"/>
  <c r="K44" i="3"/>
  <c r="L44" i="3"/>
  <c r="M44" i="3"/>
  <c r="N44" i="3"/>
  <c r="O44" i="3"/>
  <c r="P44" i="3"/>
  <c r="Q44" i="3"/>
  <c r="R44" i="3"/>
  <c r="S44" i="3"/>
  <c r="T44" i="3"/>
  <c r="I45" i="3"/>
  <c r="J45" i="3"/>
  <c r="K45" i="3"/>
  <c r="L45" i="3"/>
  <c r="M45" i="3"/>
  <c r="N45" i="3"/>
  <c r="O45" i="3"/>
  <c r="P45" i="3"/>
  <c r="Q45" i="3"/>
  <c r="R45" i="3"/>
  <c r="S45" i="3"/>
  <c r="T45" i="3"/>
  <c r="I46" i="3"/>
  <c r="J46" i="3"/>
  <c r="K46" i="3"/>
  <c r="L46" i="3"/>
  <c r="M46" i="3"/>
  <c r="N46" i="3"/>
  <c r="O46" i="3"/>
  <c r="P46" i="3"/>
  <c r="Q46" i="3"/>
  <c r="R46" i="3"/>
  <c r="S46" i="3"/>
  <c r="T46" i="3"/>
  <c r="B31" i="3"/>
  <c r="I13" i="2"/>
  <c r="H73" i="18" s="1"/>
  <c r="J13" i="2"/>
  <c r="I73" i="18" s="1"/>
  <c r="K13" i="2"/>
  <c r="J73" i="18" s="1"/>
  <c r="L13" i="2"/>
  <c r="K73" i="18" s="1"/>
  <c r="M13" i="2"/>
  <c r="L73" i="18" s="1"/>
  <c r="N13" i="2"/>
  <c r="M73" i="18" s="1"/>
  <c r="O13" i="2"/>
  <c r="N73" i="18" s="1"/>
  <c r="P13" i="2"/>
  <c r="O73" i="18" s="1"/>
  <c r="Q13" i="2"/>
  <c r="P73" i="18" s="1"/>
  <c r="R13" i="2"/>
  <c r="Q73" i="18" s="1"/>
  <c r="S13" i="2"/>
  <c r="R73" i="18" s="1"/>
  <c r="T13" i="2"/>
  <c r="S73" i="18" s="1"/>
  <c r="U13" i="2"/>
  <c r="T73" i="18" s="1"/>
  <c r="V13" i="2"/>
  <c r="U73" i="18" s="1"/>
  <c r="H13" i="2"/>
  <c r="G73" i="18" s="1"/>
  <c r="M442" i="2"/>
  <c r="N442" i="2"/>
  <c r="O442" i="2"/>
  <c r="P442" i="2"/>
  <c r="Q442" i="2"/>
  <c r="R442" i="2"/>
  <c r="S442" i="2"/>
  <c r="T442" i="2"/>
  <c r="U442" i="2"/>
  <c r="V442" i="2"/>
  <c r="L442" i="2"/>
  <c r="I442" i="2"/>
  <c r="J442" i="2"/>
  <c r="K442" i="2"/>
  <c r="H442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07" i="1"/>
  <c r="F308" i="1"/>
  <c r="F309" i="1"/>
  <c r="F310" i="1"/>
  <c r="F311" i="1"/>
  <c r="F312" i="1"/>
  <c r="F313" i="1"/>
  <c r="F314" i="1"/>
  <c r="F315" i="1"/>
  <c r="F316" i="1"/>
  <c r="F317" i="1"/>
  <c r="F306" i="1"/>
  <c r="F305" i="1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I323" i="2"/>
  <c r="J323" i="2"/>
  <c r="H323" i="2"/>
  <c r="I261" i="2"/>
  <c r="I281" i="2" s="1"/>
  <c r="E316" i="2"/>
  <c r="O316" i="2" s="1"/>
  <c r="E315" i="2"/>
  <c r="N315" i="2" s="1"/>
  <c r="E314" i="2"/>
  <c r="M314" i="2" s="1"/>
  <c r="E313" i="2"/>
  <c r="L313" i="2" s="1"/>
  <c r="E312" i="2"/>
  <c r="K312" i="2" s="1"/>
  <c r="E311" i="2"/>
  <c r="J311" i="2" s="1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H248" i="2"/>
  <c r="H268" i="2" s="1"/>
  <c r="I248" i="2"/>
  <c r="I268" i="2" s="1"/>
  <c r="J248" i="2"/>
  <c r="J268" i="2" s="1"/>
  <c r="K248" i="2"/>
  <c r="K268" i="2" s="1"/>
  <c r="L248" i="2"/>
  <c r="L268" i="2" s="1"/>
  <c r="M248" i="2"/>
  <c r="M268" i="2" s="1"/>
  <c r="N248" i="2"/>
  <c r="N268" i="2" s="1"/>
  <c r="O248" i="2"/>
  <c r="O268" i="2" s="1"/>
  <c r="P248" i="2"/>
  <c r="P268" i="2" s="1"/>
  <c r="Q248" i="2"/>
  <c r="Q268" i="2" s="1"/>
  <c r="R248" i="2"/>
  <c r="R268" i="2" s="1"/>
  <c r="S248" i="2"/>
  <c r="S268" i="2" s="1"/>
  <c r="T248" i="2"/>
  <c r="T268" i="2" s="1"/>
  <c r="U248" i="2"/>
  <c r="U268" i="2" s="1"/>
  <c r="V248" i="2"/>
  <c r="V268" i="2" s="1"/>
  <c r="H249" i="2"/>
  <c r="H269" i="2" s="1"/>
  <c r="I249" i="2"/>
  <c r="I269" i="2" s="1"/>
  <c r="J249" i="2"/>
  <c r="J269" i="2" s="1"/>
  <c r="K249" i="2"/>
  <c r="K269" i="2" s="1"/>
  <c r="L249" i="2"/>
  <c r="L269" i="2" s="1"/>
  <c r="M249" i="2"/>
  <c r="M269" i="2" s="1"/>
  <c r="N249" i="2"/>
  <c r="N269" i="2" s="1"/>
  <c r="O249" i="2"/>
  <c r="O269" i="2" s="1"/>
  <c r="P249" i="2"/>
  <c r="P269" i="2" s="1"/>
  <c r="Q249" i="2"/>
  <c r="Q269" i="2" s="1"/>
  <c r="R249" i="2"/>
  <c r="R269" i="2" s="1"/>
  <c r="S249" i="2"/>
  <c r="S269" i="2" s="1"/>
  <c r="T249" i="2"/>
  <c r="T269" i="2" s="1"/>
  <c r="U249" i="2"/>
  <c r="U269" i="2" s="1"/>
  <c r="V249" i="2"/>
  <c r="V269" i="2" s="1"/>
  <c r="H250" i="2"/>
  <c r="H270" i="2" s="1"/>
  <c r="I250" i="2"/>
  <c r="I270" i="2" s="1"/>
  <c r="J250" i="2"/>
  <c r="J270" i="2" s="1"/>
  <c r="K250" i="2"/>
  <c r="K270" i="2" s="1"/>
  <c r="L250" i="2"/>
  <c r="L270" i="2" s="1"/>
  <c r="M250" i="2"/>
  <c r="M270" i="2" s="1"/>
  <c r="N250" i="2"/>
  <c r="N270" i="2" s="1"/>
  <c r="O250" i="2"/>
  <c r="O270" i="2" s="1"/>
  <c r="P250" i="2"/>
  <c r="P270" i="2" s="1"/>
  <c r="Q250" i="2"/>
  <c r="Q270" i="2" s="1"/>
  <c r="R250" i="2"/>
  <c r="R270" i="2" s="1"/>
  <c r="S250" i="2"/>
  <c r="S270" i="2" s="1"/>
  <c r="T250" i="2"/>
  <c r="T270" i="2" s="1"/>
  <c r="U250" i="2"/>
  <c r="U270" i="2" s="1"/>
  <c r="V250" i="2"/>
  <c r="V270" i="2" s="1"/>
  <c r="H251" i="2"/>
  <c r="H271" i="2" s="1"/>
  <c r="I251" i="2"/>
  <c r="I271" i="2" s="1"/>
  <c r="J251" i="2"/>
  <c r="J271" i="2" s="1"/>
  <c r="K251" i="2"/>
  <c r="K271" i="2" s="1"/>
  <c r="L251" i="2"/>
  <c r="L271" i="2" s="1"/>
  <c r="M251" i="2"/>
  <c r="M271" i="2" s="1"/>
  <c r="N251" i="2"/>
  <c r="N271" i="2" s="1"/>
  <c r="O251" i="2"/>
  <c r="O271" i="2" s="1"/>
  <c r="P251" i="2"/>
  <c r="P271" i="2" s="1"/>
  <c r="Q251" i="2"/>
  <c r="Q271" i="2" s="1"/>
  <c r="R251" i="2"/>
  <c r="R271" i="2" s="1"/>
  <c r="S251" i="2"/>
  <c r="S271" i="2" s="1"/>
  <c r="T251" i="2"/>
  <c r="T271" i="2" s="1"/>
  <c r="U251" i="2"/>
  <c r="U271" i="2" s="1"/>
  <c r="V251" i="2"/>
  <c r="V271" i="2" s="1"/>
  <c r="H252" i="2"/>
  <c r="H272" i="2" s="1"/>
  <c r="I252" i="2"/>
  <c r="I272" i="2" s="1"/>
  <c r="J252" i="2"/>
  <c r="J272" i="2" s="1"/>
  <c r="K252" i="2"/>
  <c r="K272" i="2" s="1"/>
  <c r="L252" i="2"/>
  <c r="L272" i="2" s="1"/>
  <c r="M252" i="2"/>
  <c r="M272" i="2" s="1"/>
  <c r="N252" i="2"/>
  <c r="N272" i="2" s="1"/>
  <c r="O252" i="2"/>
  <c r="O272" i="2" s="1"/>
  <c r="P252" i="2"/>
  <c r="P272" i="2" s="1"/>
  <c r="Q252" i="2"/>
  <c r="Q272" i="2" s="1"/>
  <c r="R252" i="2"/>
  <c r="R272" i="2" s="1"/>
  <c r="S252" i="2"/>
  <c r="S272" i="2" s="1"/>
  <c r="T252" i="2"/>
  <c r="T272" i="2" s="1"/>
  <c r="U252" i="2"/>
  <c r="U272" i="2" s="1"/>
  <c r="V252" i="2"/>
  <c r="V272" i="2" s="1"/>
  <c r="H253" i="2"/>
  <c r="H273" i="2" s="1"/>
  <c r="I253" i="2"/>
  <c r="I273" i="2" s="1"/>
  <c r="J253" i="2"/>
  <c r="J273" i="2" s="1"/>
  <c r="K253" i="2"/>
  <c r="K273" i="2" s="1"/>
  <c r="L253" i="2"/>
  <c r="L273" i="2" s="1"/>
  <c r="M253" i="2"/>
  <c r="M273" i="2" s="1"/>
  <c r="N253" i="2"/>
  <c r="N273" i="2" s="1"/>
  <c r="O253" i="2"/>
  <c r="O273" i="2" s="1"/>
  <c r="P253" i="2"/>
  <c r="P273" i="2" s="1"/>
  <c r="Q253" i="2"/>
  <c r="Q273" i="2" s="1"/>
  <c r="R253" i="2"/>
  <c r="R273" i="2" s="1"/>
  <c r="S253" i="2"/>
  <c r="S273" i="2" s="1"/>
  <c r="T253" i="2"/>
  <c r="T273" i="2" s="1"/>
  <c r="U253" i="2"/>
  <c r="U273" i="2" s="1"/>
  <c r="V253" i="2"/>
  <c r="V273" i="2" s="1"/>
  <c r="H254" i="2"/>
  <c r="H274" i="2" s="1"/>
  <c r="I254" i="2"/>
  <c r="I274" i="2" s="1"/>
  <c r="J254" i="2"/>
  <c r="J274" i="2" s="1"/>
  <c r="K254" i="2"/>
  <c r="K274" i="2" s="1"/>
  <c r="L254" i="2"/>
  <c r="L274" i="2" s="1"/>
  <c r="M254" i="2"/>
  <c r="M274" i="2" s="1"/>
  <c r="N254" i="2"/>
  <c r="N274" i="2" s="1"/>
  <c r="O254" i="2"/>
  <c r="O274" i="2" s="1"/>
  <c r="P254" i="2"/>
  <c r="P274" i="2" s="1"/>
  <c r="Q254" i="2"/>
  <c r="Q274" i="2" s="1"/>
  <c r="R254" i="2"/>
  <c r="R274" i="2" s="1"/>
  <c r="S254" i="2"/>
  <c r="S274" i="2" s="1"/>
  <c r="T254" i="2"/>
  <c r="T274" i="2" s="1"/>
  <c r="U254" i="2"/>
  <c r="U274" i="2" s="1"/>
  <c r="V254" i="2"/>
  <c r="V274" i="2" s="1"/>
  <c r="H255" i="2"/>
  <c r="H275" i="2" s="1"/>
  <c r="I255" i="2"/>
  <c r="I275" i="2" s="1"/>
  <c r="J255" i="2"/>
  <c r="J275" i="2" s="1"/>
  <c r="K255" i="2"/>
  <c r="K275" i="2" s="1"/>
  <c r="L255" i="2"/>
  <c r="L275" i="2" s="1"/>
  <c r="M255" i="2"/>
  <c r="M275" i="2" s="1"/>
  <c r="N255" i="2"/>
  <c r="N275" i="2" s="1"/>
  <c r="O255" i="2"/>
  <c r="O275" i="2" s="1"/>
  <c r="P255" i="2"/>
  <c r="P275" i="2" s="1"/>
  <c r="Q255" i="2"/>
  <c r="Q275" i="2" s="1"/>
  <c r="R255" i="2"/>
  <c r="R275" i="2" s="1"/>
  <c r="S255" i="2"/>
  <c r="S275" i="2" s="1"/>
  <c r="T255" i="2"/>
  <c r="T275" i="2" s="1"/>
  <c r="U255" i="2"/>
  <c r="U275" i="2" s="1"/>
  <c r="V255" i="2"/>
  <c r="V275" i="2" s="1"/>
  <c r="H256" i="2"/>
  <c r="H276" i="2" s="1"/>
  <c r="I256" i="2"/>
  <c r="I276" i="2" s="1"/>
  <c r="J256" i="2"/>
  <c r="J276" i="2" s="1"/>
  <c r="K256" i="2"/>
  <c r="K276" i="2" s="1"/>
  <c r="L256" i="2"/>
  <c r="L276" i="2" s="1"/>
  <c r="M256" i="2"/>
  <c r="M276" i="2" s="1"/>
  <c r="N256" i="2"/>
  <c r="N276" i="2" s="1"/>
  <c r="O256" i="2"/>
  <c r="O276" i="2" s="1"/>
  <c r="P256" i="2"/>
  <c r="P276" i="2" s="1"/>
  <c r="Q256" i="2"/>
  <c r="Q276" i="2" s="1"/>
  <c r="R256" i="2"/>
  <c r="R276" i="2" s="1"/>
  <c r="S256" i="2"/>
  <c r="S276" i="2" s="1"/>
  <c r="T256" i="2"/>
  <c r="T276" i="2" s="1"/>
  <c r="U256" i="2"/>
  <c r="U276" i="2" s="1"/>
  <c r="V256" i="2"/>
  <c r="V276" i="2" s="1"/>
  <c r="H257" i="2"/>
  <c r="H277" i="2" s="1"/>
  <c r="I257" i="2"/>
  <c r="I277" i="2" s="1"/>
  <c r="J257" i="2"/>
  <c r="J277" i="2" s="1"/>
  <c r="K257" i="2"/>
  <c r="K277" i="2" s="1"/>
  <c r="L257" i="2"/>
  <c r="L277" i="2" s="1"/>
  <c r="M257" i="2"/>
  <c r="M277" i="2" s="1"/>
  <c r="N257" i="2"/>
  <c r="N277" i="2" s="1"/>
  <c r="O257" i="2"/>
  <c r="O277" i="2" s="1"/>
  <c r="P257" i="2"/>
  <c r="P277" i="2" s="1"/>
  <c r="Q257" i="2"/>
  <c r="Q277" i="2" s="1"/>
  <c r="R257" i="2"/>
  <c r="R277" i="2" s="1"/>
  <c r="S257" i="2"/>
  <c r="S277" i="2" s="1"/>
  <c r="T257" i="2"/>
  <c r="T277" i="2" s="1"/>
  <c r="U257" i="2"/>
  <c r="U277" i="2" s="1"/>
  <c r="V257" i="2"/>
  <c r="V277" i="2" s="1"/>
  <c r="H258" i="2"/>
  <c r="H278" i="2" s="1"/>
  <c r="I258" i="2"/>
  <c r="I278" i="2" s="1"/>
  <c r="J258" i="2"/>
  <c r="J278" i="2" s="1"/>
  <c r="K258" i="2"/>
  <c r="K278" i="2" s="1"/>
  <c r="L258" i="2"/>
  <c r="L278" i="2" s="1"/>
  <c r="M258" i="2"/>
  <c r="M278" i="2" s="1"/>
  <c r="N258" i="2"/>
  <c r="N278" i="2" s="1"/>
  <c r="O258" i="2"/>
  <c r="O278" i="2" s="1"/>
  <c r="P258" i="2"/>
  <c r="P278" i="2" s="1"/>
  <c r="Q258" i="2"/>
  <c r="Q278" i="2" s="1"/>
  <c r="R258" i="2"/>
  <c r="R278" i="2" s="1"/>
  <c r="S258" i="2"/>
  <c r="S278" i="2" s="1"/>
  <c r="T258" i="2"/>
  <c r="T278" i="2" s="1"/>
  <c r="U258" i="2"/>
  <c r="U278" i="2" s="1"/>
  <c r="V258" i="2"/>
  <c r="V278" i="2" s="1"/>
  <c r="H259" i="2"/>
  <c r="H279" i="2" s="1"/>
  <c r="I259" i="2"/>
  <c r="I279" i="2" s="1"/>
  <c r="J259" i="2"/>
  <c r="J279" i="2" s="1"/>
  <c r="K259" i="2"/>
  <c r="K279" i="2" s="1"/>
  <c r="L259" i="2"/>
  <c r="L279" i="2" s="1"/>
  <c r="M259" i="2"/>
  <c r="M279" i="2" s="1"/>
  <c r="N259" i="2"/>
  <c r="N279" i="2" s="1"/>
  <c r="O259" i="2"/>
  <c r="O279" i="2" s="1"/>
  <c r="P259" i="2"/>
  <c r="P279" i="2" s="1"/>
  <c r="Q259" i="2"/>
  <c r="Q279" i="2" s="1"/>
  <c r="R259" i="2"/>
  <c r="R279" i="2" s="1"/>
  <c r="S259" i="2"/>
  <c r="S279" i="2" s="1"/>
  <c r="T259" i="2"/>
  <c r="T279" i="2" s="1"/>
  <c r="U259" i="2"/>
  <c r="U279" i="2" s="1"/>
  <c r="V259" i="2"/>
  <c r="V279" i="2" s="1"/>
  <c r="H260" i="2"/>
  <c r="H280" i="2" s="1"/>
  <c r="I260" i="2"/>
  <c r="I280" i="2" s="1"/>
  <c r="J260" i="2"/>
  <c r="J280" i="2" s="1"/>
  <c r="K260" i="2"/>
  <c r="K280" i="2" s="1"/>
  <c r="L260" i="2"/>
  <c r="L280" i="2" s="1"/>
  <c r="M260" i="2"/>
  <c r="M280" i="2" s="1"/>
  <c r="N260" i="2"/>
  <c r="N280" i="2" s="1"/>
  <c r="O260" i="2"/>
  <c r="O280" i="2" s="1"/>
  <c r="P260" i="2"/>
  <c r="P280" i="2" s="1"/>
  <c r="Q260" i="2"/>
  <c r="Q280" i="2" s="1"/>
  <c r="R260" i="2"/>
  <c r="R280" i="2" s="1"/>
  <c r="S260" i="2"/>
  <c r="S280" i="2" s="1"/>
  <c r="T260" i="2"/>
  <c r="T280" i="2" s="1"/>
  <c r="U260" i="2"/>
  <c r="U280" i="2" s="1"/>
  <c r="V260" i="2"/>
  <c r="V280" i="2" s="1"/>
  <c r="H261" i="2"/>
  <c r="H281" i="2" s="1"/>
  <c r="J261" i="2"/>
  <c r="J281" i="2" s="1"/>
  <c r="K261" i="2"/>
  <c r="K281" i="2" s="1"/>
  <c r="L261" i="2"/>
  <c r="L281" i="2" s="1"/>
  <c r="M261" i="2"/>
  <c r="M281" i="2" s="1"/>
  <c r="N261" i="2"/>
  <c r="N281" i="2" s="1"/>
  <c r="O261" i="2"/>
  <c r="O281" i="2" s="1"/>
  <c r="P261" i="2"/>
  <c r="P281" i="2" s="1"/>
  <c r="Q261" i="2"/>
  <c r="Q281" i="2" s="1"/>
  <c r="R261" i="2"/>
  <c r="R281" i="2" s="1"/>
  <c r="S261" i="2"/>
  <c r="S281" i="2" s="1"/>
  <c r="T261" i="2"/>
  <c r="T281" i="2" s="1"/>
  <c r="U261" i="2"/>
  <c r="U281" i="2" s="1"/>
  <c r="V261" i="2"/>
  <c r="V281" i="2" s="1"/>
  <c r="H262" i="2"/>
  <c r="H282" i="2" s="1"/>
  <c r="I262" i="2"/>
  <c r="I282" i="2" s="1"/>
  <c r="J262" i="2"/>
  <c r="J282" i="2" s="1"/>
  <c r="K262" i="2"/>
  <c r="K282" i="2" s="1"/>
  <c r="L262" i="2"/>
  <c r="L282" i="2" s="1"/>
  <c r="M262" i="2"/>
  <c r="M282" i="2" s="1"/>
  <c r="N262" i="2"/>
  <c r="N282" i="2" s="1"/>
  <c r="O262" i="2"/>
  <c r="O282" i="2" s="1"/>
  <c r="P262" i="2"/>
  <c r="P282" i="2" s="1"/>
  <c r="Q262" i="2"/>
  <c r="Q282" i="2" s="1"/>
  <c r="R262" i="2"/>
  <c r="R282" i="2" s="1"/>
  <c r="S262" i="2"/>
  <c r="S282" i="2" s="1"/>
  <c r="T262" i="2"/>
  <c r="T282" i="2" s="1"/>
  <c r="U262" i="2"/>
  <c r="U282" i="2" s="1"/>
  <c r="V262" i="2"/>
  <c r="V282" i="2" s="1"/>
  <c r="H263" i="2"/>
  <c r="H283" i="2" s="1"/>
  <c r="I263" i="2"/>
  <c r="I283" i="2" s="1"/>
  <c r="J263" i="2"/>
  <c r="J283" i="2" s="1"/>
  <c r="K263" i="2"/>
  <c r="K283" i="2" s="1"/>
  <c r="L263" i="2"/>
  <c r="L283" i="2" s="1"/>
  <c r="M263" i="2"/>
  <c r="M283" i="2" s="1"/>
  <c r="N263" i="2"/>
  <c r="N283" i="2" s="1"/>
  <c r="O263" i="2"/>
  <c r="O283" i="2" s="1"/>
  <c r="P263" i="2"/>
  <c r="P283" i="2" s="1"/>
  <c r="Q263" i="2"/>
  <c r="Q283" i="2" s="1"/>
  <c r="R263" i="2"/>
  <c r="R283" i="2" s="1"/>
  <c r="S263" i="2"/>
  <c r="S283" i="2" s="1"/>
  <c r="T263" i="2"/>
  <c r="T283" i="2" s="1"/>
  <c r="U263" i="2"/>
  <c r="U283" i="2" s="1"/>
  <c r="V263" i="2"/>
  <c r="V283" i="2" s="1"/>
  <c r="V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H186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R175" i="2"/>
  <c r="S175" i="2"/>
  <c r="T175" i="2"/>
  <c r="U175" i="2"/>
  <c r="V175" i="2"/>
  <c r="I175" i="2"/>
  <c r="J175" i="2"/>
  <c r="K175" i="2"/>
  <c r="L175" i="2"/>
  <c r="M175" i="2"/>
  <c r="N175" i="2"/>
  <c r="O175" i="2"/>
  <c r="P175" i="2"/>
  <c r="Q175" i="2"/>
  <c r="H175" i="2"/>
  <c r="H176" i="2"/>
  <c r="H177" i="2"/>
  <c r="H178" i="2"/>
  <c r="H179" i="2"/>
  <c r="H180" i="2"/>
  <c r="V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H174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U139" i="2"/>
  <c r="V139" i="2"/>
  <c r="P139" i="2"/>
  <c r="Q139" i="2"/>
  <c r="R139" i="2"/>
  <c r="S139" i="2"/>
  <c r="T139" i="2"/>
  <c r="P140" i="2"/>
  <c r="Q140" i="2"/>
  <c r="R140" i="2"/>
  <c r="S140" i="2"/>
  <c r="P141" i="2"/>
  <c r="Q141" i="2"/>
  <c r="R141" i="2"/>
  <c r="S141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I139" i="2"/>
  <c r="J139" i="2"/>
  <c r="K139" i="2"/>
  <c r="L139" i="2"/>
  <c r="M139" i="2"/>
  <c r="N139" i="2"/>
  <c r="O139" i="2"/>
  <c r="I140" i="2"/>
  <c r="J140" i="2"/>
  <c r="K140" i="2"/>
  <c r="L140" i="2"/>
  <c r="M140" i="2"/>
  <c r="N140" i="2"/>
  <c r="O140" i="2"/>
  <c r="I141" i="2"/>
  <c r="J141" i="2"/>
  <c r="K141" i="2"/>
  <c r="L141" i="2"/>
  <c r="M141" i="2"/>
  <c r="N141" i="2"/>
  <c r="O141" i="2"/>
  <c r="I142" i="2"/>
  <c r="J142" i="2"/>
  <c r="K142" i="2"/>
  <c r="L142" i="2"/>
  <c r="M142" i="2"/>
  <c r="N142" i="2"/>
  <c r="O142" i="2"/>
  <c r="I143" i="2"/>
  <c r="J143" i="2"/>
  <c r="K143" i="2"/>
  <c r="L143" i="2"/>
  <c r="M143" i="2"/>
  <c r="N143" i="2"/>
  <c r="O143" i="2"/>
  <c r="I144" i="2"/>
  <c r="J144" i="2"/>
  <c r="K144" i="2"/>
  <c r="L144" i="2"/>
  <c r="M144" i="2"/>
  <c r="N144" i="2"/>
  <c r="O144" i="2"/>
  <c r="I145" i="2"/>
  <c r="J145" i="2"/>
  <c r="K145" i="2"/>
  <c r="L145" i="2"/>
  <c r="M145" i="2"/>
  <c r="N145" i="2"/>
  <c r="O145" i="2"/>
  <c r="H140" i="2"/>
  <c r="H141" i="2"/>
  <c r="H142" i="2"/>
  <c r="H143" i="2"/>
  <c r="H144" i="2"/>
  <c r="H145" i="2"/>
  <c r="H139" i="2"/>
  <c r="L25" i="2"/>
  <c r="L23" i="2" s="1"/>
  <c r="M25" i="2"/>
  <c r="M23" i="2" s="1"/>
  <c r="N25" i="2"/>
  <c r="N23" i="2" s="1"/>
  <c r="O25" i="2"/>
  <c r="O23" i="2" s="1"/>
  <c r="P25" i="2"/>
  <c r="P23" i="2" s="1"/>
  <c r="Q25" i="2"/>
  <c r="Q23" i="2" s="1"/>
  <c r="R25" i="2"/>
  <c r="R23" i="2" s="1"/>
  <c r="S25" i="2"/>
  <c r="S23" i="2" s="1"/>
  <c r="T25" i="2"/>
  <c r="T23" i="2" s="1"/>
  <c r="U25" i="2"/>
  <c r="U23" i="2" s="1"/>
  <c r="V25" i="2"/>
  <c r="V23" i="2" s="1"/>
  <c r="H25" i="2"/>
  <c r="H23" i="2" s="1"/>
  <c r="I25" i="2"/>
  <c r="I23" i="2" s="1"/>
  <c r="J25" i="2"/>
  <c r="J23" i="2" s="1"/>
  <c r="K25" i="2"/>
  <c r="K23" i="2" s="1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H113" i="2"/>
  <c r="L92" i="2"/>
  <c r="M92" i="2"/>
  <c r="N92" i="2"/>
  <c r="O92" i="2"/>
  <c r="P92" i="2"/>
  <c r="Q92" i="2"/>
  <c r="R92" i="2"/>
  <c r="S92" i="2"/>
  <c r="T92" i="2"/>
  <c r="U92" i="2"/>
  <c r="V92" i="2"/>
  <c r="L93" i="2"/>
  <c r="M93" i="2"/>
  <c r="N93" i="2"/>
  <c r="O93" i="2"/>
  <c r="P93" i="2"/>
  <c r="Q93" i="2"/>
  <c r="R93" i="2"/>
  <c r="S93" i="2"/>
  <c r="T93" i="2"/>
  <c r="U93" i="2"/>
  <c r="V93" i="2"/>
  <c r="L94" i="2"/>
  <c r="M94" i="2"/>
  <c r="N94" i="2"/>
  <c r="O94" i="2"/>
  <c r="P94" i="2"/>
  <c r="Q94" i="2"/>
  <c r="R94" i="2"/>
  <c r="S94" i="2"/>
  <c r="T94" i="2"/>
  <c r="U94" i="2"/>
  <c r="V94" i="2"/>
  <c r="L95" i="2"/>
  <c r="M95" i="2"/>
  <c r="N95" i="2"/>
  <c r="O95" i="2"/>
  <c r="P95" i="2"/>
  <c r="Q95" i="2"/>
  <c r="R95" i="2"/>
  <c r="S95" i="2"/>
  <c r="T95" i="2"/>
  <c r="U95" i="2"/>
  <c r="V95" i="2"/>
  <c r="L96" i="2"/>
  <c r="M96" i="2"/>
  <c r="N96" i="2"/>
  <c r="O96" i="2"/>
  <c r="P96" i="2"/>
  <c r="Q96" i="2"/>
  <c r="R96" i="2"/>
  <c r="S96" i="2"/>
  <c r="T96" i="2"/>
  <c r="U96" i="2"/>
  <c r="V96" i="2"/>
  <c r="L97" i="2"/>
  <c r="M97" i="2"/>
  <c r="N97" i="2"/>
  <c r="O97" i="2"/>
  <c r="P97" i="2"/>
  <c r="Q97" i="2"/>
  <c r="R97" i="2"/>
  <c r="S97" i="2"/>
  <c r="T97" i="2"/>
  <c r="U97" i="2"/>
  <c r="V97" i="2"/>
  <c r="L98" i="2"/>
  <c r="M98" i="2"/>
  <c r="N98" i="2"/>
  <c r="O98" i="2"/>
  <c r="P98" i="2"/>
  <c r="Q98" i="2"/>
  <c r="R98" i="2"/>
  <c r="S98" i="2"/>
  <c r="T98" i="2"/>
  <c r="U98" i="2"/>
  <c r="V98" i="2"/>
  <c r="L99" i="2"/>
  <c r="M99" i="2"/>
  <c r="N99" i="2"/>
  <c r="O99" i="2"/>
  <c r="P99" i="2"/>
  <c r="Q99" i="2"/>
  <c r="R99" i="2"/>
  <c r="S99" i="2"/>
  <c r="T99" i="2"/>
  <c r="U99" i="2"/>
  <c r="V99" i="2"/>
  <c r="K92" i="2"/>
  <c r="K93" i="2"/>
  <c r="K94" i="2"/>
  <c r="K95" i="2"/>
  <c r="K96" i="2"/>
  <c r="K97" i="2"/>
  <c r="K98" i="2"/>
  <c r="K99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H93" i="2"/>
  <c r="H94" i="2"/>
  <c r="H95" i="2"/>
  <c r="H96" i="2"/>
  <c r="H97" i="2"/>
  <c r="H98" i="2"/>
  <c r="H99" i="2"/>
  <c r="H92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H24" i="2"/>
  <c r="H54" i="2"/>
  <c r="I54" i="2"/>
  <c r="J54" i="2"/>
  <c r="H55" i="2"/>
  <c r="I55" i="2"/>
  <c r="J55" i="2"/>
  <c r="H56" i="2"/>
  <c r="I56" i="2"/>
  <c r="J56" i="2"/>
  <c r="H57" i="2"/>
  <c r="I57" i="2"/>
  <c r="J57" i="2"/>
  <c r="L57" i="2"/>
  <c r="M57" i="2"/>
  <c r="N57" i="2"/>
  <c r="O57" i="2"/>
  <c r="P57" i="2"/>
  <c r="Q57" i="2"/>
  <c r="R57" i="2"/>
  <c r="S57" i="2"/>
  <c r="T57" i="2"/>
  <c r="U57" i="2"/>
  <c r="V57" i="2"/>
  <c r="L56" i="2"/>
  <c r="M56" i="2"/>
  <c r="N56" i="2"/>
  <c r="O56" i="2"/>
  <c r="P56" i="2"/>
  <c r="Q56" i="2"/>
  <c r="R56" i="2"/>
  <c r="S56" i="2"/>
  <c r="T56" i="2"/>
  <c r="U56" i="2"/>
  <c r="V56" i="2"/>
  <c r="L55" i="2"/>
  <c r="M55" i="2"/>
  <c r="N55" i="2"/>
  <c r="O55" i="2"/>
  <c r="P55" i="2"/>
  <c r="Q55" i="2"/>
  <c r="R55" i="2"/>
  <c r="S55" i="2"/>
  <c r="T55" i="2"/>
  <c r="U55" i="2"/>
  <c r="V55" i="2"/>
  <c r="L54" i="2"/>
  <c r="M54" i="2"/>
  <c r="N54" i="2"/>
  <c r="O54" i="2"/>
  <c r="P54" i="2"/>
  <c r="Q54" i="2"/>
  <c r="R54" i="2"/>
  <c r="S54" i="2"/>
  <c r="T54" i="2"/>
  <c r="U54" i="2"/>
  <c r="V54" i="2"/>
  <c r="H53" i="2"/>
  <c r="I53" i="2"/>
  <c r="J53" i="2"/>
  <c r="T53" i="2"/>
  <c r="U53" i="2"/>
  <c r="V53" i="2"/>
  <c r="L53" i="2"/>
  <c r="M53" i="2"/>
  <c r="N53" i="2"/>
  <c r="O53" i="2"/>
  <c r="P53" i="2"/>
  <c r="Q53" i="2"/>
  <c r="R53" i="2"/>
  <c r="S53" i="2"/>
  <c r="K57" i="2"/>
  <c r="K55" i="2"/>
  <c r="K56" i="2"/>
  <c r="K54" i="2"/>
  <c r="K53" i="2"/>
  <c r="N380" i="1"/>
  <c r="O380" i="1"/>
  <c r="P380" i="1"/>
  <c r="N379" i="1"/>
  <c r="O379" i="1"/>
  <c r="P379" i="1"/>
  <c r="N378" i="1"/>
  <c r="O378" i="1"/>
  <c r="P378" i="1"/>
  <c r="N377" i="1"/>
  <c r="O377" i="1"/>
  <c r="P377" i="1"/>
  <c r="N376" i="1"/>
  <c r="O376" i="1"/>
  <c r="P376" i="1"/>
  <c r="N375" i="1"/>
  <c r="O375" i="1"/>
  <c r="P375" i="1"/>
  <c r="N374" i="1"/>
  <c r="O374" i="1"/>
  <c r="P374" i="1"/>
  <c r="N373" i="1"/>
  <c r="O373" i="1"/>
  <c r="P373" i="1"/>
  <c r="N372" i="1"/>
  <c r="O372" i="1"/>
  <c r="P372" i="1"/>
  <c r="N371" i="1"/>
  <c r="O371" i="1"/>
  <c r="P371" i="1"/>
  <c r="N370" i="1"/>
  <c r="O370" i="1"/>
  <c r="P370" i="1"/>
  <c r="N369" i="1"/>
  <c r="O369" i="1"/>
  <c r="P369" i="1"/>
  <c r="N368" i="1"/>
  <c r="O368" i="1"/>
  <c r="P368" i="1"/>
  <c r="N367" i="1"/>
  <c r="O367" i="1"/>
  <c r="P367" i="1"/>
  <c r="N366" i="1"/>
  <c r="O366" i="1"/>
  <c r="P366" i="1"/>
  <c r="N365" i="1"/>
  <c r="O365" i="1"/>
  <c r="P365" i="1"/>
  <c r="R380" i="1"/>
  <c r="S380" i="1"/>
  <c r="T380" i="1"/>
  <c r="U380" i="1"/>
  <c r="V380" i="1"/>
  <c r="W380" i="1"/>
  <c r="X380" i="1"/>
  <c r="Y380" i="1"/>
  <c r="Z380" i="1"/>
  <c r="AA380" i="1"/>
  <c r="AB380" i="1"/>
  <c r="R379" i="1"/>
  <c r="S379" i="1"/>
  <c r="T379" i="1"/>
  <c r="U379" i="1"/>
  <c r="V379" i="1"/>
  <c r="W379" i="1"/>
  <c r="X379" i="1"/>
  <c r="Y379" i="1"/>
  <c r="Z379" i="1"/>
  <c r="AA379" i="1"/>
  <c r="AB379" i="1"/>
  <c r="R378" i="1"/>
  <c r="S378" i="1"/>
  <c r="T378" i="1"/>
  <c r="U378" i="1"/>
  <c r="V378" i="1"/>
  <c r="W378" i="1"/>
  <c r="X378" i="1"/>
  <c r="Y378" i="1"/>
  <c r="Z378" i="1"/>
  <c r="AA378" i="1"/>
  <c r="AB378" i="1"/>
  <c r="R377" i="1"/>
  <c r="S377" i="1"/>
  <c r="T377" i="1"/>
  <c r="U377" i="1"/>
  <c r="V377" i="1"/>
  <c r="W377" i="1"/>
  <c r="X377" i="1"/>
  <c r="Y377" i="1"/>
  <c r="Z377" i="1"/>
  <c r="AA377" i="1"/>
  <c r="AB377" i="1"/>
  <c r="R376" i="1"/>
  <c r="S376" i="1"/>
  <c r="T376" i="1"/>
  <c r="U376" i="1"/>
  <c r="V376" i="1"/>
  <c r="W376" i="1"/>
  <c r="X376" i="1"/>
  <c r="Y376" i="1"/>
  <c r="Z376" i="1"/>
  <c r="AA376" i="1"/>
  <c r="AB376" i="1"/>
  <c r="R375" i="1"/>
  <c r="S375" i="1"/>
  <c r="T375" i="1"/>
  <c r="U375" i="1"/>
  <c r="V375" i="1"/>
  <c r="W375" i="1"/>
  <c r="X375" i="1"/>
  <c r="Y375" i="1"/>
  <c r="Z375" i="1"/>
  <c r="AA375" i="1"/>
  <c r="AB375" i="1"/>
  <c r="R374" i="1"/>
  <c r="S374" i="1"/>
  <c r="T374" i="1"/>
  <c r="U374" i="1"/>
  <c r="V374" i="1"/>
  <c r="W374" i="1"/>
  <c r="X374" i="1"/>
  <c r="Y374" i="1"/>
  <c r="Z374" i="1"/>
  <c r="AA374" i="1"/>
  <c r="AB374" i="1"/>
  <c r="R373" i="1"/>
  <c r="S373" i="1"/>
  <c r="T373" i="1"/>
  <c r="U373" i="1"/>
  <c r="V373" i="1"/>
  <c r="W373" i="1"/>
  <c r="X373" i="1"/>
  <c r="Y373" i="1"/>
  <c r="Z373" i="1"/>
  <c r="AA373" i="1"/>
  <c r="AB373" i="1"/>
  <c r="R372" i="1"/>
  <c r="S372" i="1"/>
  <c r="T372" i="1"/>
  <c r="U372" i="1"/>
  <c r="V372" i="1"/>
  <c r="W372" i="1"/>
  <c r="X372" i="1"/>
  <c r="Y372" i="1"/>
  <c r="Z372" i="1"/>
  <c r="AA372" i="1"/>
  <c r="AB372" i="1"/>
  <c r="R371" i="1"/>
  <c r="S371" i="1"/>
  <c r="T371" i="1"/>
  <c r="U371" i="1"/>
  <c r="V371" i="1"/>
  <c r="W371" i="1"/>
  <c r="X371" i="1"/>
  <c r="Y371" i="1"/>
  <c r="Z371" i="1"/>
  <c r="AA371" i="1"/>
  <c r="AB371" i="1"/>
  <c r="R370" i="1"/>
  <c r="S370" i="1"/>
  <c r="T370" i="1"/>
  <c r="U370" i="1"/>
  <c r="V370" i="1"/>
  <c r="W370" i="1"/>
  <c r="X370" i="1"/>
  <c r="Y370" i="1"/>
  <c r="Z370" i="1"/>
  <c r="AA370" i="1"/>
  <c r="AB370" i="1"/>
  <c r="R369" i="1"/>
  <c r="S369" i="1"/>
  <c r="T369" i="1"/>
  <c r="U369" i="1"/>
  <c r="V369" i="1"/>
  <c r="W369" i="1"/>
  <c r="X369" i="1"/>
  <c r="Y369" i="1"/>
  <c r="Z369" i="1"/>
  <c r="AA369" i="1"/>
  <c r="AB369" i="1"/>
  <c r="R368" i="1"/>
  <c r="S368" i="1"/>
  <c r="T368" i="1"/>
  <c r="U368" i="1"/>
  <c r="V368" i="1"/>
  <c r="W368" i="1"/>
  <c r="X368" i="1"/>
  <c r="Y368" i="1"/>
  <c r="Z368" i="1"/>
  <c r="AA368" i="1"/>
  <c r="AB368" i="1"/>
  <c r="R367" i="1"/>
  <c r="S367" i="1"/>
  <c r="T367" i="1"/>
  <c r="U367" i="1"/>
  <c r="V367" i="1"/>
  <c r="W367" i="1"/>
  <c r="X367" i="1"/>
  <c r="Y367" i="1"/>
  <c r="Z367" i="1"/>
  <c r="AA367" i="1"/>
  <c r="AB367" i="1"/>
  <c r="R366" i="1"/>
  <c r="S366" i="1"/>
  <c r="T366" i="1"/>
  <c r="U366" i="1"/>
  <c r="V366" i="1"/>
  <c r="W366" i="1"/>
  <c r="X366" i="1"/>
  <c r="Y366" i="1"/>
  <c r="Z366" i="1"/>
  <c r="AA366" i="1"/>
  <c r="AB366" i="1"/>
  <c r="R365" i="1"/>
  <c r="S365" i="1"/>
  <c r="T365" i="1"/>
  <c r="U365" i="1"/>
  <c r="V365" i="1"/>
  <c r="W365" i="1"/>
  <c r="X365" i="1"/>
  <c r="Y365" i="1"/>
  <c r="Z365" i="1"/>
  <c r="AA365" i="1"/>
  <c r="AB365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00" i="1"/>
  <c r="Q297" i="1"/>
  <c r="Q299" i="1"/>
  <c r="O300" i="1"/>
  <c r="P300" i="1"/>
  <c r="R300" i="1"/>
  <c r="S300" i="1"/>
  <c r="T300" i="1"/>
  <c r="U300" i="1"/>
  <c r="V300" i="1"/>
  <c r="W300" i="1"/>
  <c r="X300" i="1"/>
  <c r="Y300" i="1"/>
  <c r="Z300" i="1"/>
  <c r="AA300" i="1"/>
  <c r="AB300" i="1"/>
  <c r="O299" i="1"/>
  <c r="P299" i="1"/>
  <c r="R299" i="1"/>
  <c r="S299" i="1"/>
  <c r="T299" i="1"/>
  <c r="U299" i="1"/>
  <c r="V299" i="1"/>
  <c r="W299" i="1"/>
  <c r="X299" i="1"/>
  <c r="Y299" i="1"/>
  <c r="Z299" i="1"/>
  <c r="AA299" i="1"/>
  <c r="AB299" i="1"/>
  <c r="O298" i="1"/>
  <c r="P298" i="1"/>
  <c r="R298" i="1"/>
  <c r="S298" i="1"/>
  <c r="T298" i="1"/>
  <c r="U298" i="1"/>
  <c r="V298" i="1"/>
  <c r="W298" i="1"/>
  <c r="X298" i="1"/>
  <c r="Y298" i="1"/>
  <c r="Z298" i="1"/>
  <c r="AA298" i="1"/>
  <c r="AB298" i="1"/>
  <c r="Q298" i="1"/>
  <c r="Q296" i="1"/>
  <c r="O297" i="1"/>
  <c r="P297" i="1"/>
  <c r="R297" i="1"/>
  <c r="S297" i="1"/>
  <c r="T297" i="1"/>
  <c r="U297" i="1"/>
  <c r="V297" i="1"/>
  <c r="W297" i="1"/>
  <c r="X297" i="1"/>
  <c r="Y297" i="1"/>
  <c r="Z297" i="1"/>
  <c r="AA297" i="1"/>
  <c r="AB297" i="1"/>
  <c r="O296" i="1"/>
  <c r="P296" i="1"/>
  <c r="AB296" i="1"/>
  <c r="R296" i="1"/>
  <c r="S296" i="1"/>
  <c r="T296" i="1"/>
  <c r="U296" i="1"/>
  <c r="V296" i="1"/>
  <c r="W296" i="1"/>
  <c r="X296" i="1"/>
  <c r="Y296" i="1"/>
  <c r="Z296" i="1"/>
  <c r="AA296" i="1"/>
  <c r="O295" i="1"/>
  <c r="P295" i="1"/>
  <c r="R295" i="1"/>
  <c r="S295" i="1"/>
  <c r="T295" i="1"/>
  <c r="U295" i="1"/>
  <c r="V295" i="1"/>
  <c r="W295" i="1"/>
  <c r="X295" i="1"/>
  <c r="Y295" i="1"/>
  <c r="Z295" i="1"/>
  <c r="AA295" i="1"/>
  <c r="AB295" i="1"/>
  <c r="Q295" i="1"/>
  <c r="R294" i="1"/>
  <c r="S294" i="1"/>
  <c r="T294" i="1"/>
  <c r="U294" i="1"/>
  <c r="V294" i="1"/>
  <c r="W294" i="1"/>
  <c r="X294" i="1"/>
  <c r="Y294" i="1"/>
  <c r="Z294" i="1"/>
  <c r="AA294" i="1"/>
  <c r="AB294" i="1"/>
  <c r="O294" i="1"/>
  <c r="P294" i="1"/>
  <c r="Q294" i="1"/>
  <c r="O293" i="1"/>
  <c r="P293" i="1"/>
  <c r="R293" i="1"/>
  <c r="S293" i="1"/>
  <c r="T293" i="1"/>
  <c r="U293" i="1"/>
  <c r="V293" i="1"/>
  <c r="W293" i="1"/>
  <c r="X293" i="1"/>
  <c r="Y293" i="1"/>
  <c r="Z293" i="1"/>
  <c r="AA293" i="1"/>
  <c r="AB293" i="1"/>
  <c r="Q293" i="1"/>
  <c r="O292" i="1"/>
  <c r="P292" i="1"/>
  <c r="R292" i="1"/>
  <c r="S292" i="1"/>
  <c r="T292" i="1"/>
  <c r="U292" i="1"/>
  <c r="V292" i="1"/>
  <c r="W292" i="1"/>
  <c r="X292" i="1"/>
  <c r="Y292" i="1"/>
  <c r="Z292" i="1"/>
  <c r="AA292" i="1"/>
  <c r="AB292" i="1"/>
  <c r="Q292" i="1"/>
  <c r="O291" i="1"/>
  <c r="P291" i="1"/>
  <c r="R291" i="1"/>
  <c r="S291" i="1"/>
  <c r="T291" i="1"/>
  <c r="U291" i="1"/>
  <c r="V291" i="1"/>
  <c r="W291" i="1"/>
  <c r="X291" i="1"/>
  <c r="Y291" i="1"/>
  <c r="Z291" i="1"/>
  <c r="AA291" i="1"/>
  <c r="AB291" i="1"/>
  <c r="Q291" i="1"/>
  <c r="O290" i="1"/>
  <c r="P290" i="1"/>
  <c r="R290" i="1"/>
  <c r="S290" i="1"/>
  <c r="T290" i="1"/>
  <c r="U290" i="1"/>
  <c r="V290" i="1"/>
  <c r="W290" i="1"/>
  <c r="X290" i="1"/>
  <c r="Y290" i="1"/>
  <c r="Z290" i="1"/>
  <c r="AA290" i="1"/>
  <c r="AB290" i="1"/>
  <c r="Q290" i="1"/>
  <c r="O289" i="1"/>
  <c r="P289" i="1"/>
  <c r="R289" i="1"/>
  <c r="S289" i="1"/>
  <c r="T289" i="1"/>
  <c r="U289" i="1"/>
  <c r="V289" i="1"/>
  <c r="W289" i="1"/>
  <c r="X289" i="1"/>
  <c r="Y289" i="1"/>
  <c r="Z289" i="1"/>
  <c r="AA289" i="1"/>
  <c r="AB289" i="1"/>
  <c r="Q289" i="1"/>
  <c r="O288" i="1"/>
  <c r="P288" i="1"/>
  <c r="R288" i="1"/>
  <c r="S288" i="1"/>
  <c r="T288" i="1"/>
  <c r="U288" i="1"/>
  <c r="V288" i="1"/>
  <c r="W288" i="1"/>
  <c r="X288" i="1"/>
  <c r="Y288" i="1"/>
  <c r="Z288" i="1"/>
  <c r="AA288" i="1"/>
  <c r="AB288" i="1"/>
  <c r="Q288" i="1"/>
  <c r="O287" i="1"/>
  <c r="P287" i="1"/>
  <c r="R287" i="1"/>
  <c r="S287" i="1"/>
  <c r="T287" i="1"/>
  <c r="U287" i="1"/>
  <c r="V287" i="1"/>
  <c r="W287" i="1"/>
  <c r="X287" i="1"/>
  <c r="Y287" i="1"/>
  <c r="Z287" i="1"/>
  <c r="AA287" i="1"/>
  <c r="AB287" i="1"/>
  <c r="Q287" i="1"/>
  <c r="O286" i="1"/>
  <c r="P286" i="1"/>
  <c r="R286" i="1"/>
  <c r="S286" i="1"/>
  <c r="T286" i="1"/>
  <c r="U286" i="1"/>
  <c r="V286" i="1"/>
  <c r="W286" i="1"/>
  <c r="X286" i="1"/>
  <c r="Y286" i="1"/>
  <c r="Z286" i="1"/>
  <c r="AA286" i="1"/>
  <c r="AB286" i="1"/>
  <c r="Q286" i="1"/>
  <c r="Q285" i="1"/>
  <c r="O285" i="1"/>
  <c r="P285" i="1"/>
  <c r="S285" i="1"/>
  <c r="T285" i="1"/>
  <c r="U285" i="1"/>
  <c r="V285" i="1"/>
  <c r="W285" i="1"/>
  <c r="X285" i="1"/>
  <c r="Y285" i="1"/>
  <c r="Z285" i="1"/>
  <c r="AA285" i="1"/>
  <c r="AB285" i="1"/>
  <c r="R285" i="1"/>
  <c r="N265" i="1"/>
  <c r="N285" i="1" s="1"/>
  <c r="N266" i="1"/>
  <c r="N286" i="1" s="1"/>
  <c r="N267" i="1"/>
  <c r="N287" i="1" s="1"/>
  <c r="N268" i="1"/>
  <c r="N288" i="1" s="1"/>
  <c r="N269" i="1"/>
  <c r="N289" i="1" s="1"/>
  <c r="N270" i="1"/>
  <c r="N290" i="1" s="1"/>
  <c r="N271" i="1"/>
  <c r="N291" i="1" s="1"/>
  <c r="N272" i="1"/>
  <c r="N292" i="1" s="1"/>
  <c r="N273" i="1"/>
  <c r="N293" i="1" s="1"/>
  <c r="N274" i="1"/>
  <c r="N294" i="1" s="1"/>
  <c r="N275" i="1"/>
  <c r="N295" i="1" s="1"/>
  <c r="N276" i="1"/>
  <c r="N296" i="1" s="1"/>
  <c r="N277" i="1"/>
  <c r="N278" i="1"/>
  <c r="N298" i="1" s="1"/>
  <c r="N279" i="1"/>
  <c r="N299" i="1" s="1"/>
  <c r="N280" i="1"/>
  <c r="N300" i="1" s="1"/>
  <c r="I416" i="2"/>
  <c r="I418" i="2" s="1"/>
  <c r="J416" i="2"/>
  <c r="J418" i="2" s="1"/>
  <c r="K416" i="2"/>
  <c r="K418" i="2" s="1"/>
  <c r="L416" i="2"/>
  <c r="L418" i="2" s="1"/>
  <c r="M416" i="2"/>
  <c r="M418" i="2" s="1"/>
  <c r="N416" i="2"/>
  <c r="N418" i="2" s="1"/>
  <c r="O416" i="2"/>
  <c r="O418" i="2" s="1"/>
  <c r="P416" i="2"/>
  <c r="P418" i="2" s="1"/>
  <c r="Q416" i="2"/>
  <c r="Q418" i="2" s="1"/>
  <c r="R416" i="2"/>
  <c r="R418" i="2" s="1"/>
  <c r="S416" i="2"/>
  <c r="S418" i="2" s="1"/>
  <c r="T416" i="2"/>
  <c r="T418" i="2" s="1"/>
  <c r="U416" i="2"/>
  <c r="U418" i="2" s="1"/>
  <c r="V416" i="2"/>
  <c r="V418" i="2" s="1"/>
  <c r="H416" i="2"/>
  <c r="H418" i="2" s="1"/>
  <c r="N411" i="1"/>
  <c r="I428" i="2"/>
  <c r="I430" i="2" s="1"/>
  <c r="J428" i="2"/>
  <c r="J430" i="2" s="1"/>
  <c r="K428" i="2"/>
  <c r="K430" i="2" s="1"/>
  <c r="L428" i="2"/>
  <c r="L430" i="2" s="1"/>
  <c r="M428" i="2"/>
  <c r="M430" i="2" s="1"/>
  <c r="N428" i="2"/>
  <c r="N430" i="2" s="1"/>
  <c r="O428" i="2"/>
  <c r="O430" i="2" s="1"/>
  <c r="P428" i="2"/>
  <c r="P430" i="2" s="1"/>
  <c r="Q428" i="2"/>
  <c r="Q430" i="2" s="1"/>
  <c r="R428" i="2"/>
  <c r="R430" i="2" s="1"/>
  <c r="S428" i="2"/>
  <c r="S430" i="2" s="1"/>
  <c r="T428" i="2"/>
  <c r="T430" i="2" s="1"/>
  <c r="U428" i="2"/>
  <c r="U430" i="2" s="1"/>
  <c r="V428" i="2"/>
  <c r="V430" i="2" s="1"/>
  <c r="H428" i="2"/>
  <c r="H430" i="2" s="1"/>
  <c r="N438" i="1"/>
  <c r="U433" i="2"/>
  <c r="U435" i="2" s="1"/>
  <c r="V433" i="2"/>
  <c r="V435" i="2" s="1"/>
  <c r="I433" i="2"/>
  <c r="I435" i="2" s="1"/>
  <c r="J433" i="2"/>
  <c r="J435" i="2" s="1"/>
  <c r="K433" i="2"/>
  <c r="K435" i="2" s="1"/>
  <c r="L433" i="2"/>
  <c r="L435" i="2" s="1"/>
  <c r="M433" i="2"/>
  <c r="M435" i="2" s="1"/>
  <c r="N433" i="2"/>
  <c r="N435" i="2" s="1"/>
  <c r="O433" i="2"/>
  <c r="O435" i="2" s="1"/>
  <c r="P433" i="2"/>
  <c r="P435" i="2" s="1"/>
  <c r="Q433" i="2"/>
  <c r="Q435" i="2" s="1"/>
  <c r="R433" i="2"/>
  <c r="R435" i="2" s="1"/>
  <c r="S433" i="2"/>
  <c r="S435" i="2" s="1"/>
  <c r="T433" i="2"/>
  <c r="T435" i="2" s="1"/>
  <c r="H433" i="2"/>
  <c r="H435" i="2" s="1"/>
  <c r="N449" i="1"/>
  <c r="O449" i="1"/>
  <c r="P449" i="1"/>
  <c r="R449" i="1"/>
  <c r="S449" i="1"/>
  <c r="T449" i="1"/>
  <c r="U449" i="1"/>
  <c r="V449" i="1"/>
  <c r="W449" i="1"/>
  <c r="X449" i="1"/>
  <c r="Y449" i="1"/>
  <c r="Z449" i="1"/>
  <c r="AA449" i="1"/>
  <c r="AB449" i="1"/>
  <c r="Q449" i="1"/>
  <c r="Z438" i="1"/>
  <c r="AA438" i="1"/>
  <c r="AB438" i="1"/>
  <c r="O438" i="1"/>
  <c r="P438" i="1"/>
  <c r="Q438" i="1"/>
  <c r="R438" i="1"/>
  <c r="S438" i="1"/>
  <c r="T438" i="1"/>
  <c r="U438" i="1"/>
  <c r="V438" i="1"/>
  <c r="W438" i="1"/>
  <c r="X438" i="1"/>
  <c r="Y438" i="1"/>
  <c r="AB421" i="1"/>
  <c r="AB428" i="1" s="1"/>
  <c r="Y421" i="1"/>
  <c r="Y428" i="1" s="1"/>
  <c r="Z421" i="1"/>
  <c r="Z428" i="1" s="1"/>
  <c r="AA421" i="1"/>
  <c r="AA428" i="1" s="1"/>
  <c r="R421" i="1"/>
  <c r="R428" i="1" s="1"/>
  <c r="S421" i="1"/>
  <c r="S428" i="1" s="1"/>
  <c r="T421" i="1"/>
  <c r="T428" i="1" s="1"/>
  <c r="U421" i="1"/>
  <c r="U428" i="1" s="1"/>
  <c r="V421" i="1"/>
  <c r="V428" i="1" s="1"/>
  <c r="W421" i="1"/>
  <c r="W428" i="1" s="1"/>
  <c r="X421" i="1"/>
  <c r="X428" i="1" s="1"/>
  <c r="N421" i="1"/>
  <c r="H422" i="2" s="1"/>
  <c r="H424" i="2" s="1"/>
  <c r="O421" i="1"/>
  <c r="O428" i="1" s="1"/>
  <c r="P421" i="1"/>
  <c r="P428" i="1" s="1"/>
  <c r="Q421" i="1"/>
  <c r="Q428" i="1" s="1"/>
  <c r="V411" i="1"/>
  <c r="W411" i="1"/>
  <c r="X411" i="1"/>
  <c r="Y411" i="1"/>
  <c r="Z411" i="1"/>
  <c r="AA411" i="1"/>
  <c r="AB411" i="1"/>
  <c r="O411" i="1"/>
  <c r="P411" i="1"/>
  <c r="Q411" i="1"/>
  <c r="R411" i="1"/>
  <c r="S411" i="1"/>
  <c r="T411" i="1"/>
  <c r="U411" i="1"/>
  <c r="N397" i="1"/>
  <c r="O397" i="1"/>
  <c r="P397" i="1"/>
  <c r="N396" i="1"/>
  <c r="O396" i="1"/>
  <c r="P396" i="1"/>
  <c r="R397" i="1"/>
  <c r="S397" i="1"/>
  <c r="T397" i="1"/>
  <c r="U397" i="1"/>
  <c r="V397" i="1"/>
  <c r="W397" i="1"/>
  <c r="X397" i="1"/>
  <c r="Y397" i="1"/>
  <c r="Z397" i="1"/>
  <c r="AA397" i="1"/>
  <c r="AB397" i="1"/>
  <c r="R396" i="1"/>
  <c r="S396" i="1"/>
  <c r="T396" i="1"/>
  <c r="U396" i="1"/>
  <c r="V396" i="1"/>
  <c r="W396" i="1"/>
  <c r="X396" i="1"/>
  <c r="Y396" i="1"/>
  <c r="Z396" i="1"/>
  <c r="AA396" i="1"/>
  <c r="AB396" i="1"/>
  <c r="Q397" i="1"/>
  <c r="Q396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07" i="1"/>
  <c r="F100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85" i="1"/>
  <c r="O77" i="1"/>
  <c r="P77" i="1"/>
  <c r="O75" i="1"/>
  <c r="I324" i="2" s="1"/>
  <c r="P75" i="1"/>
  <c r="J324" i="2" s="1"/>
  <c r="N77" i="1"/>
  <c r="N75" i="1"/>
  <c r="H324" i="2" s="1"/>
  <c r="O71" i="1"/>
  <c r="P71" i="1"/>
  <c r="N71" i="1"/>
  <c r="O69" i="1"/>
  <c r="P69" i="1"/>
  <c r="N69" i="1"/>
  <c r="S75" i="1"/>
  <c r="M324" i="2" s="1"/>
  <c r="T77" i="1"/>
  <c r="U75" i="1"/>
  <c r="O324" i="2" s="1"/>
  <c r="V75" i="1"/>
  <c r="P324" i="2" s="1"/>
  <c r="W75" i="1"/>
  <c r="Q324" i="2" s="1"/>
  <c r="X77" i="1"/>
  <c r="Y77" i="1"/>
  <c r="Z75" i="1"/>
  <c r="T324" i="2" s="1"/>
  <c r="AA75" i="1"/>
  <c r="U324" i="2" s="1"/>
  <c r="R77" i="1"/>
  <c r="Q77" i="1"/>
  <c r="AB69" i="1"/>
  <c r="V323" i="2" s="1"/>
  <c r="S71" i="1"/>
  <c r="T71" i="1"/>
  <c r="U71" i="1"/>
  <c r="V69" i="1"/>
  <c r="P323" i="2" s="1"/>
  <c r="X69" i="1"/>
  <c r="R323" i="2" s="1"/>
  <c r="Q71" i="1"/>
  <c r="F17" i="7"/>
  <c r="F9" i="7"/>
  <c r="D83" i="6"/>
  <c r="F85" i="6"/>
  <c r="B86" i="6" s="1"/>
  <c r="D86" i="6" s="1"/>
  <c r="C85" i="6" s="1"/>
  <c r="K56" i="14" s="1"/>
  <c r="F83" i="6"/>
  <c r="F102" i="4" s="1"/>
  <c r="D85" i="6"/>
  <c r="D84" i="6"/>
  <c r="C83" i="6" s="1"/>
  <c r="I56" i="14" s="1"/>
  <c r="I57" i="14" l="1"/>
  <c r="C84" i="6"/>
  <c r="J56" i="14" s="1"/>
  <c r="J59" i="14" s="1"/>
  <c r="H23" i="18" s="1"/>
  <c r="B79" i="6"/>
  <c r="C88" i="6" s="1"/>
  <c r="N56" i="14" s="1"/>
  <c r="N86" i="14" s="1"/>
  <c r="H102" i="4"/>
  <c r="G102" i="4"/>
  <c r="K57" i="14"/>
  <c r="K59" i="14" s="1"/>
  <c r="J54" i="14"/>
  <c r="J70" i="14"/>
  <c r="H64" i="18" s="1"/>
  <c r="I54" i="14"/>
  <c r="M54" i="14"/>
  <c r="K54" i="14"/>
  <c r="K70" i="14"/>
  <c r="I64" i="18" s="1"/>
  <c r="R54" i="14"/>
  <c r="J7" i="17"/>
  <c r="Q54" i="14"/>
  <c r="P54" i="14"/>
  <c r="J66" i="3"/>
  <c r="J8" i="3" s="1"/>
  <c r="P71" i="3"/>
  <c r="P9" i="3" s="1"/>
  <c r="N75" i="3"/>
  <c r="N10" i="3" s="1"/>
  <c r="I26" i="14"/>
  <c r="G79" i="18"/>
  <c r="K24" i="14"/>
  <c r="I77" i="18"/>
  <c r="J23" i="14"/>
  <c r="H76" i="18"/>
  <c r="I25" i="14"/>
  <c r="G78" i="18"/>
  <c r="J27" i="14"/>
  <c r="H80" i="18"/>
  <c r="I23" i="14"/>
  <c r="G76" i="18"/>
  <c r="I27" i="14"/>
  <c r="G80" i="18"/>
  <c r="S59" i="3"/>
  <c r="S7" i="3" s="1"/>
  <c r="R26" i="14"/>
  <c r="P79" i="18"/>
  <c r="Q59" i="3"/>
  <c r="Q7" i="3" s="1"/>
  <c r="M24" i="14"/>
  <c r="K77" i="18"/>
  <c r="S25" i="14"/>
  <c r="Q78" i="18"/>
  <c r="Q26" i="14"/>
  <c r="O79" i="18"/>
  <c r="P59" i="3"/>
  <c r="P7" i="3" s="1"/>
  <c r="I66" i="3"/>
  <c r="I8" i="3" s="1"/>
  <c r="O71" i="3"/>
  <c r="O9" i="3" s="1"/>
  <c r="M75" i="3"/>
  <c r="M10" i="3" s="1"/>
  <c r="K22" i="14"/>
  <c r="I75" i="18"/>
  <c r="N71" i="3"/>
  <c r="N9" i="3" s="1"/>
  <c r="J22" i="14"/>
  <c r="H75" i="18"/>
  <c r="N59" i="3"/>
  <c r="N7" i="3" s="1"/>
  <c r="J24" i="14"/>
  <c r="H77" i="18"/>
  <c r="M59" i="3"/>
  <c r="M7" i="3" s="1"/>
  <c r="I22" i="14"/>
  <c r="L59" i="3"/>
  <c r="L7" i="3" s="1"/>
  <c r="I24" i="14"/>
  <c r="G77" i="18"/>
  <c r="K26" i="14"/>
  <c r="I79" i="18"/>
  <c r="M71" i="3"/>
  <c r="M9" i="3" s="1"/>
  <c r="J26" i="14"/>
  <c r="H79" i="18"/>
  <c r="K25" i="14"/>
  <c r="I78" i="18"/>
  <c r="K23" i="14"/>
  <c r="I76" i="18"/>
  <c r="J25" i="14"/>
  <c r="H78" i="18"/>
  <c r="K27" i="14"/>
  <c r="I80" i="18"/>
  <c r="I83" i="14"/>
  <c r="I84" i="14" s="1"/>
  <c r="G30" i="18" s="1"/>
  <c r="K83" i="14"/>
  <c r="K84" i="14" s="1"/>
  <c r="I30" i="18" s="1"/>
  <c r="J83" i="14"/>
  <c r="J84" i="14" s="1"/>
  <c r="H30" i="18" s="1"/>
  <c r="J17" i="14"/>
  <c r="L17" i="14"/>
  <c r="K17" i="14"/>
  <c r="I17" i="14"/>
  <c r="V17" i="14"/>
  <c r="U17" i="14"/>
  <c r="T17" i="14"/>
  <c r="S17" i="14"/>
  <c r="R17" i="14"/>
  <c r="Q17" i="14"/>
  <c r="P17" i="14"/>
  <c r="O17" i="14"/>
  <c r="N17" i="14"/>
  <c r="W17" i="14"/>
  <c r="M17" i="14"/>
  <c r="N321" i="1"/>
  <c r="R40" i="18"/>
  <c r="L88" i="14"/>
  <c r="J13" i="18"/>
  <c r="K88" i="14"/>
  <c r="I13" i="18"/>
  <c r="J88" i="14"/>
  <c r="H13" i="18"/>
  <c r="K7" i="17"/>
  <c r="I88" i="14"/>
  <c r="G13" i="18"/>
  <c r="W88" i="14"/>
  <c r="U13" i="18"/>
  <c r="V88" i="14"/>
  <c r="T13" i="18"/>
  <c r="U88" i="14"/>
  <c r="S13" i="18"/>
  <c r="T88" i="14"/>
  <c r="R13" i="18"/>
  <c r="S88" i="14"/>
  <c r="Q13" i="18"/>
  <c r="M88" i="14"/>
  <c r="K13" i="18"/>
  <c r="R88" i="14"/>
  <c r="P13" i="18"/>
  <c r="Q88" i="14"/>
  <c r="O13" i="18"/>
  <c r="I59" i="14"/>
  <c r="N88" i="14"/>
  <c r="L13" i="18"/>
  <c r="P88" i="14"/>
  <c r="N13" i="18"/>
  <c r="O88" i="14"/>
  <c r="M13" i="18"/>
  <c r="P88" i="3"/>
  <c r="P11" i="3" s="1"/>
  <c r="T51" i="3"/>
  <c r="T6" i="3" s="1"/>
  <c r="U75" i="18" s="1"/>
  <c r="K59" i="3"/>
  <c r="K7" i="3" s="1"/>
  <c r="L75" i="3"/>
  <c r="L10" i="3" s="1"/>
  <c r="O88" i="3"/>
  <c r="O11" i="3" s="1"/>
  <c r="S51" i="3"/>
  <c r="S6" i="3" s="1"/>
  <c r="T75" i="18" s="1"/>
  <c r="J59" i="3"/>
  <c r="J7" i="3" s="1"/>
  <c r="L71" i="3"/>
  <c r="L9" i="3" s="1"/>
  <c r="K75" i="3"/>
  <c r="K10" i="3" s="1"/>
  <c r="N88" i="3"/>
  <c r="N11" i="3" s="1"/>
  <c r="R51" i="3"/>
  <c r="R6" i="3" s="1"/>
  <c r="S75" i="18" s="1"/>
  <c r="I59" i="3"/>
  <c r="I7" i="3" s="1"/>
  <c r="K71" i="3"/>
  <c r="K9" i="3" s="1"/>
  <c r="J75" i="3"/>
  <c r="J10" i="3" s="1"/>
  <c r="M88" i="3"/>
  <c r="M11" i="3" s="1"/>
  <c r="Q51" i="3"/>
  <c r="Q6" i="3" s="1"/>
  <c r="R75" i="18" s="1"/>
  <c r="T66" i="3"/>
  <c r="T8" i="3" s="1"/>
  <c r="J71" i="3"/>
  <c r="J9" i="3" s="1"/>
  <c r="I75" i="3"/>
  <c r="I10" i="3" s="1"/>
  <c r="L88" i="3"/>
  <c r="L11" i="3" s="1"/>
  <c r="P51" i="3"/>
  <c r="P6" i="3" s="1"/>
  <c r="Q75" i="18" s="1"/>
  <c r="S66" i="3"/>
  <c r="S8" i="3" s="1"/>
  <c r="I71" i="3"/>
  <c r="I9" i="3" s="1"/>
  <c r="K88" i="3"/>
  <c r="K11" i="3" s="1"/>
  <c r="Q88" i="3"/>
  <c r="Q11" i="3" s="1"/>
  <c r="O51" i="3"/>
  <c r="O6" i="3" s="1"/>
  <c r="P75" i="18" s="1"/>
  <c r="R66" i="3"/>
  <c r="R8" i="3" s="1"/>
  <c r="J88" i="3"/>
  <c r="J11" i="3" s="1"/>
  <c r="N51" i="3"/>
  <c r="N6" i="3" s="1"/>
  <c r="O75" i="18" s="1"/>
  <c r="Q66" i="3"/>
  <c r="Q8" i="3" s="1"/>
  <c r="I88" i="3"/>
  <c r="I11" i="3" s="1"/>
  <c r="M51" i="3"/>
  <c r="M6" i="3" s="1"/>
  <c r="N75" i="18" s="1"/>
  <c r="T59" i="3"/>
  <c r="T7" i="3" s="1"/>
  <c r="P66" i="3"/>
  <c r="P8" i="3" s="1"/>
  <c r="R88" i="3"/>
  <c r="R11" i="3" s="1"/>
  <c r="L51" i="3"/>
  <c r="L6" i="3" s="1"/>
  <c r="M75" i="18" s="1"/>
  <c r="O66" i="3"/>
  <c r="O8" i="3" s="1"/>
  <c r="T75" i="3"/>
  <c r="T10" i="3" s="1"/>
  <c r="K51" i="3"/>
  <c r="K6" i="3" s="1"/>
  <c r="L75" i="18" s="1"/>
  <c r="R59" i="3"/>
  <c r="R7" i="3" s="1"/>
  <c r="N66" i="3"/>
  <c r="N8" i="3" s="1"/>
  <c r="T71" i="3"/>
  <c r="T9" i="3" s="1"/>
  <c r="S75" i="3"/>
  <c r="S10" i="3" s="1"/>
  <c r="J51" i="3"/>
  <c r="J6" i="3" s="1"/>
  <c r="K75" i="18" s="1"/>
  <c r="M66" i="3"/>
  <c r="M8" i="3" s="1"/>
  <c r="S71" i="3"/>
  <c r="S9" i="3" s="1"/>
  <c r="R75" i="3"/>
  <c r="R10" i="3" s="1"/>
  <c r="I51" i="3"/>
  <c r="I6" i="3" s="1"/>
  <c r="J75" i="18" s="1"/>
  <c r="L66" i="3"/>
  <c r="L8" i="3" s="1"/>
  <c r="R71" i="3"/>
  <c r="R9" i="3" s="1"/>
  <c r="Q75" i="3"/>
  <c r="Q10" i="3" s="1"/>
  <c r="T88" i="3"/>
  <c r="T11" i="3" s="1"/>
  <c r="O59" i="3"/>
  <c r="O7" i="3" s="1"/>
  <c r="K66" i="3"/>
  <c r="K8" i="3" s="1"/>
  <c r="Q71" i="3"/>
  <c r="Q9" i="3" s="1"/>
  <c r="P75" i="3"/>
  <c r="P10" i="3" s="1"/>
  <c r="S88" i="3"/>
  <c r="S11" i="3" s="1"/>
  <c r="C97" i="6"/>
  <c r="W56" i="14" s="1"/>
  <c r="W86" i="14" s="1"/>
  <c r="W89" i="14" s="1"/>
  <c r="U31" i="18" s="1"/>
  <c r="C96" i="6"/>
  <c r="V56" i="14" s="1"/>
  <c r="C95" i="6"/>
  <c r="U56" i="14" s="1"/>
  <c r="U86" i="14" s="1"/>
  <c r="C94" i="6"/>
  <c r="T56" i="14" s="1"/>
  <c r="C93" i="6"/>
  <c r="S56" i="14" s="1"/>
  <c r="C92" i="6"/>
  <c r="R56" i="14" s="1"/>
  <c r="C90" i="6"/>
  <c r="P56" i="14" s="1"/>
  <c r="C89" i="6"/>
  <c r="O56" i="14" s="1"/>
  <c r="I86" i="14"/>
  <c r="J86" i="14"/>
  <c r="J89" i="14" s="1"/>
  <c r="H31" i="18" s="1"/>
  <c r="O63" i="14"/>
  <c r="K86" i="14"/>
  <c r="N63" i="14"/>
  <c r="N70" i="14" s="1"/>
  <c r="M63" i="14"/>
  <c r="M70" i="14" s="1"/>
  <c r="L63" i="14"/>
  <c r="L70" i="14" s="1"/>
  <c r="L54" i="14"/>
  <c r="W54" i="14"/>
  <c r="V54" i="14"/>
  <c r="S54" i="14"/>
  <c r="I63" i="14"/>
  <c r="G24" i="18" s="1"/>
  <c r="J64" i="14"/>
  <c r="J69" i="14" s="1"/>
  <c r="H63" i="18" s="1"/>
  <c r="U54" i="14"/>
  <c r="T54" i="14"/>
  <c r="N54" i="14"/>
  <c r="O54" i="14"/>
  <c r="C87" i="6"/>
  <c r="C86" i="6"/>
  <c r="H12" i="3"/>
  <c r="G12" i="3"/>
  <c r="F12" i="3"/>
  <c r="I12" i="2"/>
  <c r="H10" i="2"/>
  <c r="V9" i="2"/>
  <c r="H11" i="2"/>
  <c r="V10" i="2"/>
  <c r="U9" i="2"/>
  <c r="H12" i="2"/>
  <c r="V11" i="2"/>
  <c r="U10" i="2"/>
  <c r="T9" i="2"/>
  <c r="V12" i="2"/>
  <c r="U11" i="2"/>
  <c r="T10" i="2"/>
  <c r="S9" i="2"/>
  <c r="U12" i="2"/>
  <c r="T11" i="2"/>
  <c r="S10" i="2"/>
  <c r="R9" i="2"/>
  <c r="T12" i="2"/>
  <c r="S11" i="2"/>
  <c r="R10" i="2"/>
  <c r="Q9" i="2"/>
  <c r="S12" i="2"/>
  <c r="R11" i="2"/>
  <c r="Q10" i="2"/>
  <c r="P9" i="2"/>
  <c r="R12" i="2"/>
  <c r="Q11" i="2"/>
  <c r="P10" i="2"/>
  <c r="O9" i="2"/>
  <c r="Q12" i="2"/>
  <c r="P11" i="2"/>
  <c r="O10" i="2"/>
  <c r="N9" i="2"/>
  <c r="P12" i="2"/>
  <c r="O11" i="2"/>
  <c r="N10" i="2"/>
  <c r="M9" i="2"/>
  <c r="O12" i="2"/>
  <c r="N11" i="2"/>
  <c r="M10" i="2"/>
  <c r="L9" i="2"/>
  <c r="N12" i="2"/>
  <c r="M11" i="2"/>
  <c r="L10" i="2"/>
  <c r="K9" i="2"/>
  <c r="M12" i="2"/>
  <c r="L11" i="2"/>
  <c r="K10" i="2"/>
  <c r="J9" i="2"/>
  <c r="L12" i="2"/>
  <c r="K11" i="2"/>
  <c r="J10" i="2"/>
  <c r="I9" i="2"/>
  <c r="K12" i="2"/>
  <c r="J11" i="2"/>
  <c r="I10" i="2"/>
  <c r="J12" i="2"/>
  <c r="I11" i="2"/>
  <c r="H9" i="2"/>
  <c r="P405" i="2" a="1"/>
  <c r="P405" i="2" s="1"/>
  <c r="O402" i="2"/>
  <c r="M402" i="2"/>
  <c r="J402" i="2"/>
  <c r="H402" i="2"/>
  <c r="K402" i="2"/>
  <c r="T405" i="2" a="1"/>
  <c r="T405" i="2" s="1"/>
  <c r="I402" i="2"/>
  <c r="T402" i="2"/>
  <c r="L402" i="2"/>
  <c r="P402" i="2"/>
  <c r="V402" i="2"/>
  <c r="J405" i="2" a="1"/>
  <c r="J405" i="2" s="1"/>
  <c r="Q402" i="2"/>
  <c r="N402" i="2"/>
  <c r="U402" i="2"/>
  <c r="R402" i="2"/>
  <c r="S402" i="2"/>
  <c r="H405" i="2" a="1"/>
  <c r="H405" i="2" s="1"/>
  <c r="V405" i="2" a="1"/>
  <c r="V405" i="2" s="1"/>
  <c r="U400" i="2" a="1"/>
  <c r="U400" i="2" s="1"/>
  <c r="U405" i="2" a="1"/>
  <c r="U405" i="2" s="1"/>
  <c r="I405" i="2" a="1"/>
  <c r="I405" i="2" s="1"/>
  <c r="H400" i="2" a="1"/>
  <c r="H400" i="2" s="1"/>
  <c r="S405" i="2" a="1"/>
  <c r="S405" i="2" s="1"/>
  <c r="R400" i="2" a="1"/>
  <c r="R400" i="2" s="1"/>
  <c r="R405" i="2" a="1"/>
  <c r="R405" i="2" s="1"/>
  <c r="Q405" i="2" a="1"/>
  <c r="Q405" i="2" s="1"/>
  <c r="O405" i="2" a="1"/>
  <c r="O405" i="2" s="1"/>
  <c r="N405" i="2" a="1"/>
  <c r="N405" i="2" s="1"/>
  <c r="M405" i="2" a="1"/>
  <c r="M405" i="2" s="1"/>
  <c r="L405" i="2" a="1"/>
  <c r="L405" i="2" s="1"/>
  <c r="K405" i="2" a="1"/>
  <c r="K405" i="2" s="1"/>
  <c r="T400" i="2" a="1"/>
  <c r="T400" i="2" s="1"/>
  <c r="S400" i="2" a="1"/>
  <c r="S400" i="2" s="1"/>
  <c r="Q400" i="2" a="1"/>
  <c r="Q400" i="2" s="1"/>
  <c r="P400" i="2" a="1"/>
  <c r="P400" i="2" s="1"/>
  <c r="O400" i="2" a="1"/>
  <c r="O400" i="2" s="1"/>
  <c r="N400" i="2" a="1"/>
  <c r="N400" i="2" s="1"/>
  <c r="M400" i="2" a="1"/>
  <c r="M400" i="2" s="1"/>
  <c r="L400" i="2" a="1"/>
  <c r="L400" i="2" s="1"/>
  <c r="K400" i="2" a="1"/>
  <c r="K400" i="2" s="1"/>
  <c r="J400" i="2" a="1"/>
  <c r="J400" i="2" s="1"/>
  <c r="I400" i="2" a="1"/>
  <c r="I400" i="2" s="1"/>
  <c r="V400" i="2" a="1"/>
  <c r="V400" i="2" s="1"/>
  <c r="AB321" i="1"/>
  <c r="AA321" i="1"/>
  <c r="Z321" i="1"/>
  <c r="X321" i="1"/>
  <c r="W321" i="1"/>
  <c r="V321" i="1"/>
  <c r="U321" i="1"/>
  <c r="Y321" i="1"/>
  <c r="T321" i="1"/>
  <c r="S321" i="1"/>
  <c r="R321" i="1"/>
  <c r="Q321" i="1"/>
  <c r="P321" i="1"/>
  <c r="O321" i="1"/>
  <c r="L316" i="2"/>
  <c r="K316" i="2"/>
  <c r="H325" i="2"/>
  <c r="H363" i="2" s="1"/>
  <c r="J325" i="2"/>
  <c r="J363" i="2" s="1"/>
  <c r="P325" i="2"/>
  <c r="P363" i="2" s="1"/>
  <c r="N316" i="2"/>
  <c r="M315" i="2"/>
  <c r="L314" i="2"/>
  <c r="H313" i="2"/>
  <c r="V311" i="2"/>
  <c r="I311" i="2"/>
  <c r="I325" i="2"/>
  <c r="I363" i="2" s="1"/>
  <c r="J316" i="2"/>
  <c r="L315" i="2"/>
  <c r="K315" i="2"/>
  <c r="J315" i="2"/>
  <c r="I315" i="2"/>
  <c r="J314" i="2"/>
  <c r="I314" i="2"/>
  <c r="K313" i="2"/>
  <c r="I313" i="2"/>
  <c r="J312" i="2"/>
  <c r="M316" i="2"/>
  <c r="K314" i="2"/>
  <c r="J313" i="2"/>
  <c r="I312" i="2"/>
  <c r="H311" i="2"/>
  <c r="H314" i="2"/>
  <c r="V312" i="2"/>
  <c r="U311" i="2"/>
  <c r="I316" i="2"/>
  <c r="H315" i="2"/>
  <c r="V313" i="2"/>
  <c r="U312" i="2"/>
  <c r="T311" i="2"/>
  <c r="H316" i="2"/>
  <c r="V314" i="2"/>
  <c r="U313" i="2"/>
  <c r="T312" i="2"/>
  <c r="S311" i="2"/>
  <c r="V315" i="2"/>
  <c r="U314" i="2"/>
  <c r="T313" i="2"/>
  <c r="S312" i="2"/>
  <c r="R311" i="2"/>
  <c r="V316" i="2"/>
  <c r="U315" i="2"/>
  <c r="T314" i="2"/>
  <c r="S313" i="2"/>
  <c r="R312" i="2"/>
  <c r="Q311" i="2"/>
  <c r="H312" i="2"/>
  <c r="U316" i="2"/>
  <c r="T315" i="2"/>
  <c r="S314" i="2"/>
  <c r="R313" i="2"/>
  <c r="Q312" i="2"/>
  <c r="P311" i="2"/>
  <c r="T316" i="2"/>
  <c r="S315" i="2"/>
  <c r="R314" i="2"/>
  <c r="Q313" i="2"/>
  <c r="P312" i="2"/>
  <c r="O311" i="2"/>
  <c r="S316" i="2"/>
  <c r="R315" i="2"/>
  <c r="Q314" i="2"/>
  <c r="P313" i="2"/>
  <c r="O312" i="2"/>
  <c r="N311" i="2"/>
  <c r="R316" i="2"/>
  <c r="Q315" i="2"/>
  <c r="P314" i="2"/>
  <c r="O313" i="2"/>
  <c r="N312" i="2"/>
  <c r="M311" i="2"/>
  <c r="Q316" i="2"/>
  <c r="P315" i="2"/>
  <c r="O314" i="2"/>
  <c r="N313" i="2"/>
  <c r="M312" i="2"/>
  <c r="L311" i="2"/>
  <c r="P316" i="2"/>
  <c r="O315" i="2"/>
  <c r="N314" i="2"/>
  <c r="M313" i="2"/>
  <c r="L312" i="2"/>
  <c r="K311" i="2"/>
  <c r="E317" i="2"/>
  <c r="V285" i="2"/>
  <c r="H285" i="2"/>
  <c r="U285" i="2"/>
  <c r="T285" i="2"/>
  <c r="Q285" i="2"/>
  <c r="P285" i="2"/>
  <c r="O285" i="2"/>
  <c r="N285" i="2"/>
  <c r="S285" i="2"/>
  <c r="M285" i="2"/>
  <c r="L285" i="2"/>
  <c r="K285" i="2"/>
  <c r="J285" i="2"/>
  <c r="R285" i="2"/>
  <c r="I285" i="2"/>
  <c r="N189" i="2"/>
  <c r="R189" i="2"/>
  <c r="M190" i="2"/>
  <c r="P189" i="2"/>
  <c r="H190" i="2"/>
  <c r="L189" i="2"/>
  <c r="J190" i="2"/>
  <c r="V189" i="2"/>
  <c r="J189" i="2"/>
  <c r="I190" i="2"/>
  <c r="R190" i="2"/>
  <c r="Q189" i="2"/>
  <c r="L190" i="2"/>
  <c r="K189" i="2"/>
  <c r="J181" i="2"/>
  <c r="U189" i="2"/>
  <c r="L181" i="2"/>
  <c r="V190" i="2"/>
  <c r="U181" i="2"/>
  <c r="T190" i="2"/>
  <c r="M189" i="2"/>
  <c r="S181" i="2"/>
  <c r="Q190" i="2"/>
  <c r="P190" i="2"/>
  <c r="H189" i="2"/>
  <c r="I189" i="2"/>
  <c r="T189" i="2"/>
  <c r="O181" i="2"/>
  <c r="O189" i="2"/>
  <c r="S189" i="2"/>
  <c r="N190" i="2"/>
  <c r="O190" i="2"/>
  <c r="K181" i="2"/>
  <c r="I181" i="2"/>
  <c r="M181" i="2"/>
  <c r="U190" i="2"/>
  <c r="V181" i="2"/>
  <c r="S190" i="2"/>
  <c r="T181" i="2"/>
  <c r="R181" i="2"/>
  <c r="H181" i="2"/>
  <c r="U147" i="2"/>
  <c r="Q181" i="2"/>
  <c r="P181" i="2"/>
  <c r="N181" i="2"/>
  <c r="K190" i="2"/>
  <c r="S152" i="2"/>
  <c r="R152" i="2"/>
  <c r="P152" i="2"/>
  <c r="N152" i="2"/>
  <c r="J117" i="2"/>
  <c r="L117" i="2"/>
  <c r="V117" i="2"/>
  <c r="K117" i="2"/>
  <c r="Q152" i="2"/>
  <c r="M117" i="2"/>
  <c r="O152" i="2"/>
  <c r="U117" i="2"/>
  <c r="H117" i="2"/>
  <c r="T117" i="2"/>
  <c r="H152" i="2"/>
  <c r="I117" i="2"/>
  <c r="S117" i="2"/>
  <c r="I152" i="2"/>
  <c r="V66" i="2"/>
  <c r="R117" i="2"/>
  <c r="J152" i="2"/>
  <c r="U66" i="2"/>
  <c r="Q117" i="2"/>
  <c r="K152" i="2"/>
  <c r="H66" i="2"/>
  <c r="T66" i="2"/>
  <c r="P117" i="2"/>
  <c r="L152" i="2"/>
  <c r="I66" i="2"/>
  <c r="S66" i="2"/>
  <c r="O117" i="2"/>
  <c r="M152" i="2"/>
  <c r="J66" i="2"/>
  <c r="R66" i="2"/>
  <c r="N117" i="2"/>
  <c r="V152" i="2"/>
  <c r="Q66" i="2"/>
  <c r="U152" i="2"/>
  <c r="P66" i="2"/>
  <c r="T152" i="2"/>
  <c r="O66" i="2"/>
  <c r="H147" i="2"/>
  <c r="V147" i="2"/>
  <c r="S147" i="2"/>
  <c r="P147" i="2"/>
  <c r="O147" i="2"/>
  <c r="Q147" i="2"/>
  <c r="N147" i="2"/>
  <c r="R147" i="2"/>
  <c r="M147" i="2"/>
  <c r="L147" i="2"/>
  <c r="K147" i="2"/>
  <c r="J147" i="2"/>
  <c r="I147" i="2"/>
  <c r="T147" i="2"/>
  <c r="O101" i="2"/>
  <c r="R101" i="2"/>
  <c r="N101" i="2"/>
  <c r="M101" i="2"/>
  <c r="V101" i="2"/>
  <c r="K101" i="2"/>
  <c r="T101" i="2"/>
  <c r="S101" i="2"/>
  <c r="J101" i="2"/>
  <c r="H101" i="2"/>
  <c r="I101" i="2"/>
  <c r="P101" i="2"/>
  <c r="Q101" i="2"/>
  <c r="L101" i="2"/>
  <c r="U101" i="2"/>
  <c r="L66" i="2"/>
  <c r="M66" i="2"/>
  <c r="N66" i="2"/>
  <c r="K66" i="2"/>
  <c r="P382" i="1"/>
  <c r="AB382" i="1"/>
  <c r="Q382" i="1"/>
  <c r="N382" i="1"/>
  <c r="O382" i="1"/>
  <c r="Z382" i="1"/>
  <c r="Y382" i="1"/>
  <c r="W382" i="1"/>
  <c r="X382" i="1"/>
  <c r="V382" i="1"/>
  <c r="U382" i="1"/>
  <c r="T382" i="1"/>
  <c r="S382" i="1"/>
  <c r="R382" i="1"/>
  <c r="P104" i="1"/>
  <c r="AA382" i="1"/>
  <c r="O104" i="1"/>
  <c r="R302" i="1"/>
  <c r="L60" i="2" s="1"/>
  <c r="L61" i="2" s="1"/>
  <c r="L184" i="2" s="1"/>
  <c r="Z302" i="1"/>
  <c r="T60" i="2" s="1"/>
  <c r="T61" i="2" s="1"/>
  <c r="T184" i="2" s="1"/>
  <c r="AA302" i="1"/>
  <c r="U60" i="2" s="1"/>
  <c r="U61" i="2" s="1"/>
  <c r="U184" i="2" s="1"/>
  <c r="Y302" i="1"/>
  <c r="S60" i="2" s="1"/>
  <c r="S61" i="2" s="1"/>
  <c r="S184" i="2" s="1"/>
  <c r="X302" i="1"/>
  <c r="R60" i="2" s="1"/>
  <c r="R61" i="2" s="1"/>
  <c r="R184" i="2" s="1"/>
  <c r="W302" i="1"/>
  <c r="Q60" i="2" s="1"/>
  <c r="Q61" i="2" s="1"/>
  <c r="Q184" i="2" s="1"/>
  <c r="V302" i="1"/>
  <c r="P60" i="2" s="1"/>
  <c r="P61" i="2" s="1"/>
  <c r="P184" i="2" s="1"/>
  <c r="U302" i="1"/>
  <c r="O60" i="2" s="1"/>
  <c r="O61" i="2" s="1"/>
  <c r="O184" i="2" s="1"/>
  <c r="T302" i="1"/>
  <c r="N60" i="2" s="1"/>
  <c r="N61" i="2" s="1"/>
  <c r="N184" i="2" s="1"/>
  <c r="S302" i="1"/>
  <c r="M60" i="2" s="1"/>
  <c r="M61" i="2" s="1"/>
  <c r="M184" i="2" s="1"/>
  <c r="P302" i="1"/>
  <c r="J60" i="2" s="1"/>
  <c r="J61" i="2" s="1"/>
  <c r="J184" i="2" s="1"/>
  <c r="O302" i="1"/>
  <c r="I60" i="2" s="1"/>
  <c r="I61" i="2" s="1"/>
  <c r="I184" i="2" s="1"/>
  <c r="AB302" i="1"/>
  <c r="V60" i="2" s="1"/>
  <c r="V61" i="2" s="1"/>
  <c r="V184" i="2" s="1"/>
  <c r="Q302" i="1"/>
  <c r="K60" i="2" s="1"/>
  <c r="K61" i="2" s="1"/>
  <c r="K184" i="2" s="1"/>
  <c r="N297" i="1"/>
  <c r="N302" i="1" s="1"/>
  <c r="H60" i="2" s="1"/>
  <c r="H61" i="2" s="1"/>
  <c r="H184" i="2" s="1"/>
  <c r="Q399" i="1"/>
  <c r="Q402" i="1" s="1"/>
  <c r="Q104" i="1"/>
  <c r="V422" i="2"/>
  <c r="V424" i="2" s="1"/>
  <c r="N428" i="1"/>
  <c r="R422" i="2"/>
  <c r="R424" i="2" s="1"/>
  <c r="Q422" i="2"/>
  <c r="Q424" i="2" s="1"/>
  <c r="K422" i="2"/>
  <c r="K424" i="2" s="1"/>
  <c r="L422" i="2"/>
  <c r="L424" i="2" s="1"/>
  <c r="I422" i="2"/>
  <c r="I424" i="2" s="1"/>
  <c r="T422" i="2"/>
  <c r="T424" i="2" s="1"/>
  <c r="S422" i="2"/>
  <c r="S424" i="2" s="1"/>
  <c r="O422" i="2"/>
  <c r="O424" i="2" s="1"/>
  <c r="U422" i="2"/>
  <c r="U424" i="2" s="1"/>
  <c r="P422" i="2"/>
  <c r="P424" i="2" s="1"/>
  <c r="N422" i="2"/>
  <c r="N424" i="2" s="1"/>
  <c r="M422" i="2"/>
  <c r="M424" i="2" s="1"/>
  <c r="J422" i="2"/>
  <c r="J424" i="2" s="1"/>
  <c r="O399" i="1"/>
  <c r="N399" i="1"/>
  <c r="P399" i="1"/>
  <c r="S399" i="1"/>
  <c r="W399" i="1"/>
  <c r="T399" i="1"/>
  <c r="R399" i="1"/>
  <c r="U399" i="1"/>
  <c r="V399" i="1"/>
  <c r="AB399" i="1"/>
  <c r="AA399" i="1"/>
  <c r="X399" i="1"/>
  <c r="Z399" i="1"/>
  <c r="Y399" i="1"/>
  <c r="AA104" i="1"/>
  <c r="AB104" i="1"/>
  <c r="X104" i="1"/>
  <c r="S104" i="1"/>
  <c r="T104" i="1"/>
  <c r="V104" i="1"/>
  <c r="Y104" i="1"/>
  <c r="Z104" i="1"/>
  <c r="R104" i="1"/>
  <c r="U104" i="1"/>
  <c r="W104" i="1"/>
  <c r="R75" i="1"/>
  <c r="L324" i="2" s="1"/>
  <c r="Q75" i="1"/>
  <c r="K324" i="2" s="1"/>
  <c r="AB75" i="1"/>
  <c r="V324" i="2" s="1"/>
  <c r="V325" i="2" s="1"/>
  <c r="V363" i="2" s="1"/>
  <c r="Y71" i="1"/>
  <c r="T75" i="1"/>
  <c r="N324" i="2" s="1"/>
  <c r="AB77" i="1"/>
  <c r="AA77" i="1"/>
  <c r="Y75" i="1"/>
  <c r="S324" i="2" s="1"/>
  <c r="X75" i="1"/>
  <c r="R324" i="2" s="1"/>
  <c r="R325" i="2" s="1"/>
  <c r="R363" i="2" s="1"/>
  <c r="W77" i="1"/>
  <c r="AA69" i="1"/>
  <c r="U323" i="2" s="1"/>
  <c r="U325" i="2" s="1"/>
  <c r="U363" i="2" s="1"/>
  <c r="S77" i="1"/>
  <c r="Z77" i="1"/>
  <c r="V77" i="1"/>
  <c r="U77" i="1"/>
  <c r="AA71" i="1"/>
  <c r="Z71" i="1"/>
  <c r="AB71" i="1"/>
  <c r="R71" i="1"/>
  <c r="Z69" i="1"/>
  <c r="T323" i="2" s="1"/>
  <c r="T325" i="2" s="1"/>
  <c r="Y69" i="1"/>
  <c r="S323" i="2" s="1"/>
  <c r="X71" i="1"/>
  <c r="U69" i="1"/>
  <c r="O323" i="2" s="1"/>
  <c r="O325" i="2" s="1"/>
  <c r="O363" i="2" s="1"/>
  <c r="V71" i="1"/>
  <c r="T69" i="1"/>
  <c r="N323" i="2" s="1"/>
  <c r="S69" i="1"/>
  <c r="M323" i="2" s="1"/>
  <c r="M325" i="2" s="1"/>
  <c r="M363" i="2" s="1"/>
  <c r="R69" i="1"/>
  <c r="L323" i="2" s="1"/>
  <c r="W69" i="1"/>
  <c r="Q323" i="2" s="1"/>
  <c r="Q325" i="2" s="1"/>
  <c r="Q363" i="2" s="1"/>
  <c r="W71" i="1"/>
  <c r="Q69" i="1"/>
  <c r="K323" i="2" s="1"/>
  <c r="U22" i="18" l="1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U89" i="14"/>
  <c r="S31" i="18" s="1"/>
  <c r="K25" i="17"/>
  <c r="S40" i="18"/>
  <c r="T40" i="18"/>
  <c r="U40" i="18"/>
  <c r="H40" i="18"/>
  <c r="V67" i="2"/>
  <c r="I40" i="18"/>
  <c r="I41" i="18" s="1"/>
  <c r="J40" i="18"/>
  <c r="J41" i="18" s="1"/>
  <c r="K40" i="18"/>
  <c r="K41" i="18" s="1"/>
  <c r="K46" i="18" s="1"/>
  <c r="L40" i="18"/>
  <c r="L41" i="18" s="1"/>
  <c r="M40" i="18"/>
  <c r="M41" i="18" s="1"/>
  <c r="N40" i="18"/>
  <c r="N41" i="18" s="1"/>
  <c r="O40" i="18"/>
  <c r="O41" i="18" s="1"/>
  <c r="P40" i="18"/>
  <c r="P41" i="18" s="1"/>
  <c r="Q40" i="18"/>
  <c r="Q41" i="18" s="1"/>
  <c r="G40" i="18"/>
  <c r="G41" i="18" s="1"/>
  <c r="G46" i="18" s="1"/>
  <c r="C91" i="6"/>
  <c r="Q56" i="14" s="1"/>
  <c r="I23" i="18"/>
  <c r="K64" i="14"/>
  <c r="K69" i="14" s="1"/>
  <c r="I63" i="18" s="1"/>
  <c r="N7" i="17"/>
  <c r="O7" i="17"/>
  <c r="M24" i="18"/>
  <c r="I64" i="14"/>
  <c r="I69" i="14" s="1"/>
  <c r="G63" i="18" s="1"/>
  <c r="G23" i="18"/>
  <c r="I89" i="14"/>
  <c r="G31" i="18" s="1"/>
  <c r="O70" i="14"/>
  <c r="K64" i="18"/>
  <c r="K24" i="18"/>
  <c r="I70" i="14"/>
  <c r="G64" i="18" s="1"/>
  <c r="L64" i="18"/>
  <c r="L24" i="18"/>
  <c r="J64" i="18"/>
  <c r="J24" i="18"/>
  <c r="K89" i="14"/>
  <c r="I31" i="18" s="1"/>
  <c r="K28" i="14"/>
  <c r="I9" i="18" s="1"/>
  <c r="K67" i="2"/>
  <c r="N384" i="1"/>
  <c r="U384" i="1"/>
  <c r="I67" i="2"/>
  <c r="X384" i="1"/>
  <c r="L67" i="2"/>
  <c r="J67" i="2"/>
  <c r="M67" i="2"/>
  <c r="N67" i="2"/>
  <c r="O67" i="2"/>
  <c r="P67" i="2"/>
  <c r="Q67" i="2"/>
  <c r="R67" i="2"/>
  <c r="P384" i="1"/>
  <c r="AA384" i="1"/>
  <c r="S67" i="2"/>
  <c r="T67" i="2"/>
  <c r="R384" i="1"/>
  <c r="H67" i="2"/>
  <c r="S384" i="1"/>
  <c r="U67" i="2"/>
  <c r="I28" i="14"/>
  <c r="G9" i="18" s="1"/>
  <c r="J28" i="14"/>
  <c r="H9" i="18" s="1"/>
  <c r="R23" i="14"/>
  <c r="P76" i="18"/>
  <c r="R24" i="14"/>
  <c r="P77" i="18"/>
  <c r="R27" i="14"/>
  <c r="P80" i="18"/>
  <c r="Q25" i="14"/>
  <c r="O78" i="18"/>
  <c r="V23" i="14"/>
  <c r="T76" i="18"/>
  <c r="G82" i="18"/>
  <c r="G81" i="18"/>
  <c r="T26" i="14"/>
  <c r="R79" i="18"/>
  <c r="U27" i="14"/>
  <c r="S80" i="18"/>
  <c r="L26" i="14"/>
  <c r="J79" i="18"/>
  <c r="N23" i="14"/>
  <c r="L76" i="18"/>
  <c r="V24" i="14"/>
  <c r="T77" i="18"/>
  <c r="H82" i="18"/>
  <c r="H81" i="18"/>
  <c r="U25" i="14"/>
  <c r="S78" i="18"/>
  <c r="S24" i="14"/>
  <c r="Q77" i="18"/>
  <c r="M25" i="14"/>
  <c r="K78" i="18"/>
  <c r="P25" i="14"/>
  <c r="N78" i="18"/>
  <c r="P26" i="14"/>
  <c r="N79" i="18"/>
  <c r="O24" i="14"/>
  <c r="M77" i="18"/>
  <c r="W23" i="14"/>
  <c r="U76" i="18"/>
  <c r="W24" i="14"/>
  <c r="U77" i="18"/>
  <c r="S27" i="14"/>
  <c r="Q80" i="18"/>
  <c r="R25" i="14"/>
  <c r="P78" i="18"/>
  <c r="O27" i="14"/>
  <c r="M80" i="18"/>
  <c r="L24" i="14"/>
  <c r="J77" i="18"/>
  <c r="W27" i="14"/>
  <c r="U80" i="18"/>
  <c r="U26" i="14"/>
  <c r="S79" i="18"/>
  <c r="L27" i="14"/>
  <c r="J80" i="18"/>
  <c r="P27" i="14"/>
  <c r="N80" i="18"/>
  <c r="S23" i="14"/>
  <c r="Q76" i="18"/>
  <c r="W26" i="14"/>
  <c r="U79" i="18"/>
  <c r="V25" i="14"/>
  <c r="T78" i="18"/>
  <c r="T24" i="14"/>
  <c r="R77" i="18"/>
  <c r="M26" i="14"/>
  <c r="K79" i="18"/>
  <c r="I82" i="18"/>
  <c r="I81" i="18"/>
  <c r="P24" i="14"/>
  <c r="N77" i="18"/>
  <c r="N25" i="14"/>
  <c r="L78" i="18"/>
  <c r="O23" i="14"/>
  <c r="M76" i="18"/>
  <c r="O26" i="14"/>
  <c r="M79" i="18"/>
  <c r="M27" i="14"/>
  <c r="K80" i="18"/>
  <c r="L23" i="14"/>
  <c r="J76" i="18"/>
  <c r="V26" i="14"/>
  <c r="T79" i="18"/>
  <c r="U24" i="14"/>
  <c r="S77" i="18"/>
  <c r="P23" i="14"/>
  <c r="N76" i="18"/>
  <c r="N24" i="14"/>
  <c r="L77" i="18"/>
  <c r="W25" i="14"/>
  <c r="U78" i="18"/>
  <c r="Q27" i="14"/>
  <c r="O80" i="18"/>
  <c r="V27" i="14"/>
  <c r="T80" i="18"/>
  <c r="Q24" i="14"/>
  <c r="O77" i="18"/>
  <c r="T27" i="14"/>
  <c r="R80" i="18"/>
  <c r="N26" i="14"/>
  <c r="L79" i="18"/>
  <c r="S26" i="14"/>
  <c r="Q79" i="18"/>
  <c r="U23" i="14"/>
  <c r="S76" i="18"/>
  <c r="N27" i="14"/>
  <c r="L80" i="18"/>
  <c r="O25" i="14"/>
  <c r="M78" i="18"/>
  <c r="Q23" i="14"/>
  <c r="O76" i="18"/>
  <c r="T23" i="14"/>
  <c r="R76" i="18"/>
  <c r="T25" i="14"/>
  <c r="R78" i="18"/>
  <c r="L25" i="14"/>
  <c r="J78" i="18"/>
  <c r="M23" i="14"/>
  <c r="K76" i="18"/>
  <c r="H41" i="18"/>
  <c r="R41" i="18"/>
  <c r="S41" i="18"/>
  <c r="T41" i="18"/>
  <c r="U41" i="18"/>
  <c r="G69" i="18"/>
  <c r="I13" i="14"/>
  <c r="K70" i="18"/>
  <c r="M14" i="14"/>
  <c r="O70" i="18"/>
  <c r="Q14" i="14"/>
  <c r="S70" i="18"/>
  <c r="U14" i="14"/>
  <c r="Q384" i="1"/>
  <c r="H71" i="18"/>
  <c r="J15" i="14"/>
  <c r="L71" i="18"/>
  <c r="N15" i="14"/>
  <c r="P71" i="18"/>
  <c r="R15" i="14"/>
  <c r="T71" i="18"/>
  <c r="V15" i="14"/>
  <c r="H70" i="18"/>
  <c r="J14" i="14"/>
  <c r="L70" i="18"/>
  <c r="N14" i="14"/>
  <c r="P70" i="18"/>
  <c r="R14" i="14"/>
  <c r="T70" i="18"/>
  <c r="V14" i="14"/>
  <c r="AB384" i="1"/>
  <c r="M72" i="18"/>
  <c r="O16" i="14"/>
  <c r="I71" i="18"/>
  <c r="K15" i="14"/>
  <c r="M71" i="18"/>
  <c r="O15" i="14"/>
  <c r="Q71" i="18"/>
  <c r="S15" i="14"/>
  <c r="U71" i="18"/>
  <c r="W15" i="14"/>
  <c r="I72" i="18"/>
  <c r="K16" i="14"/>
  <c r="J72" i="18"/>
  <c r="L16" i="14"/>
  <c r="N72" i="18"/>
  <c r="P16" i="14"/>
  <c r="R72" i="18"/>
  <c r="T16" i="14"/>
  <c r="G72" i="18"/>
  <c r="I16" i="14"/>
  <c r="Q72" i="18"/>
  <c r="S16" i="14"/>
  <c r="K69" i="18"/>
  <c r="M13" i="14"/>
  <c r="H69" i="18"/>
  <c r="J13" i="14"/>
  <c r="L69" i="18"/>
  <c r="N13" i="14"/>
  <c r="P69" i="18"/>
  <c r="R13" i="14"/>
  <c r="T69" i="18"/>
  <c r="V13" i="14"/>
  <c r="S69" i="18"/>
  <c r="U13" i="14"/>
  <c r="Q68" i="2"/>
  <c r="S39" i="18"/>
  <c r="S42" i="18" s="1"/>
  <c r="R39" i="18"/>
  <c r="R42" i="18" s="1"/>
  <c r="Q39" i="18"/>
  <c r="P39" i="18"/>
  <c r="O39" i="18"/>
  <c r="N39" i="18"/>
  <c r="N42" i="18" s="1"/>
  <c r="M39" i="18"/>
  <c r="M42" i="18" s="1"/>
  <c r="L39" i="18"/>
  <c r="K39" i="18"/>
  <c r="J39" i="18"/>
  <c r="I39" i="18"/>
  <c r="H39" i="18"/>
  <c r="H42" i="18" s="1"/>
  <c r="G39" i="18"/>
  <c r="U39" i="18"/>
  <c r="U42" i="18" s="1"/>
  <c r="T39" i="18"/>
  <c r="T42" i="18" s="1"/>
  <c r="T384" i="1"/>
  <c r="I70" i="18"/>
  <c r="K14" i="14"/>
  <c r="M70" i="18"/>
  <c r="O14" i="14"/>
  <c r="Q70" i="18"/>
  <c r="S14" i="14"/>
  <c r="U70" i="18"/>
  <c r="W14" i="14"/>
  <c r="J71" i="18"/>
  <c r="L15" i="14"/>
  <c r="N71" i="18"/>
  <c r="P15" i="14"/>
  <c r="R71" i="18"/>
  <c r="T15" i="14"/>
  <c r="G71" i="18"/>
  <c r="I15" i="14"/>
  <c r="U72" i="18"/>
  <c r="W16" i="14"/>
  <c r="V384" i="1"/>
  <c r="K72" i="18"/>
  <c r="M16" i="14"/>
  <c r="O72" i="18"/>
  <c r="Q16" i="14"/>
  <c r="S72" i="18"/>
  <c r="U16" i="14"/>
  <c r="U69" i="18"/>
  <c r="W13" i="14"/>
  <c r="I69" i="18"/>
  <c r="K13" i="14"/>
  <c r="M69" i="18"/>
  <c r="O13" i="14"/>
  <c r="Q69" i="18"/>
  <c r="S13" i="14"/>
  <c r="G70" i="18"/>
  <c r="I14" i="14"/>
  <c r="W384" i="1"/>
  <c r="J70" i="18"/>
  <c r="L14" i="14"/>
  <c r="N70" i="18"/>
  <c r="P14" i="14"/>
  <c r="R70" i="18"/>
  <c r="T14" i="14"/>
  <c r="H72" i="18"/>
  <c r="J16" i="14"/>
  <c r="O69" i="18"/>
  <c r="Q13" i="14"/>
  <c r="Y384" i="1"/>
  <c r="K71" i="18"/>
  <c r="M15" i="14"/>
  <c r="O71" i="18"/>
  <c r="Q15" i="14"/>
  <c r="S71" i="18"/>
  <c r="U15" i="14"/>
  <c r="Z384" i="1"/>
  <c r="L72" i="18"/>
  <c r="N16" i="14"/>
  <c r="P72" i="18"/>
  <c r="R16" i="14"/>
  <c r="T72" i="18"/>
  <c r="V16" i="14"/>
  <c r="O384" i="1"/>
  <c r="J69" i="18"/>
  <c r="L13" i="14"/>
  <c r="N69" i="18"/>
  <c r="P13" i="14"/>
  <c r="R69" i="18"/>
  <c r="T13" i="14"/>
  <c r="I7" i="17"/>
  <c r="L7" i="17"/>
  <c r="L25" i="17" s="1"/>
  <c r="N89" i="14"/>
  <c r="L31" i="18" s="1"/>
  <c r="Q86" i="14"/>
  <c r="Q89" i="14" s="1"/>
  <c r="O31" i="18" s="1"/>
  <c r="M7" i="17"/>
  <c r="L22" i="14"/>
  <c r="I12" i="3"/>
  <c r="P22" i="14"/>
  <c r="M12" i="3"/>
  <c r="Q12" i="3"/>
  <c r="T22" i="14"/>
  <c r="M22" i="14"/>
  <c r="J12" i="3"/>
  <c r="R12" i="3"/>
  <c r="U22" i="14"/>
  <c r="O12" i="3"/>
  <c r="R22" i="14"/>
  <c r="N22" i="14"/>
  <c r="K12" i="3"/>
  <c r="S12" i="3"/>
  <c r="V22" i="14"/>
  <c r="N12" i="3"/>
  <c r="Q22" i="14"/>
  <c r="P12" i="3"/>
  <c r="S22" i="14"/>
  <c r="O22" i="14"/>
  <c r="L12" i="3"/>
  <c r="T12" i="3"/>
  <c r="W22" i="14"/>
  <c r="P86" i="14"/>
  <c r="P89" i="14" s="1"/>
  <c r="N31" i="18" s="1"/>
  <c r="V86" i="14"/>
  <c r="V89" i="14" s="1"/>
  <c r="T31" i="18" s="1"/>
  <c r="O86" i="14"/>
  <c r="O89" i="14" s="1"/>
  <c r="M31" i="18" s="1"/>
  <c r="E86" i="6"/>
  <c r="F86" i="6" s="1"/>
  <c r="L56" i="14"/>
  <c r="M56" i="14"/>
  <c r="R86" i="14"/>
  <c r="R89" i="14" s="1"/>
  <c r="P31" i="18" s="1"/>
  <c r="S86" i="14"/>
  <c r="S89" i="14" s="1"/>
  <c r="Q31" i="18" s="1"/>
  <c r="T86" i="14"/>
  <c r="T89" i="14" s="1"/>
  <c r="R31" i="18" s="1"/>
  <c r="M64" i="18"/>
  <c r="I404" i="2"/>
  <c r="K403" i="2"/>
  <c r="S403" i="2"/>
  <c r="N403" i="2"/>
  <c r="J403" i="2"/>
  <c r="M404" i="2"/>
  <c r="J404" i="2"/>
  <c r="Q403" i="2"/>
  <c r="T403" i="2"/>
  <c r="O404" i="2"/>
  <c r="L403" i="2"/>
  <c r="V404" i="2"/>
  <c r="O403" i="2"/>
  <c r="P404" i="2"/>
  <c r="U403" i="2"/>
  <c r="T363" i="2"/>
  <c r="T404" i="2"/>
  <c r="R403" i="2"/>
  <c r="H404" i="2"/>
  <c r="M403" i="2"/>
  <c r="Q404" i="2"/>
  <c r="H403" i="2"/>
  <c r="I403" i="2"/>
  <c r="R404" i="2"/>
  <c r="P403" i="2"/>
  <c r="V403" i="2"/>
  <c r="U404" i="2"/>
  <c r="K325" i="2"/>
  <c r="S325" i="2"/>
  <c r="N325" i="2"/>
  <c r="L325" i="2"/>
  <c r="T68" i="2"/>
  <c r="I319" i="2"/>
  <c r="J319" i="2"/>
  <c r="J191" i="2"/>
  <c r="V319" i="2"/>
  <c r="H319" i="2"/>
  <c r="H317" i="2"/>
  <c r="P317" i="2"/>
  <c r="P319" i="2"/>
  <c r="U317" i="2"/>
  <c r="U319" i="2"/>
  <c r="I317" i="2"/>
  <c r="O317" i="2"/>
  <c r="O319" i="2"/>
  <c r="M317" i="2"/>
  <c r="M319" i="2"/>
  <c r="K319" i="2"/>
  <c r="K317" i="2"/>
  <c r="S317" i="2"/>
  <c r="S319" i="2"/>
  <c r="N317" i="2"/>
  <c r="N319" i="2"/>
  <c r="T191" i="2"/>
  <c r="R317" i="2"/>
  <c r="R319" i="2"/>
  <c r="V317" i="2"/>
  <c r="H191" i="2"/>
  <c r="Q317" i="2"/>
  <c r="Q319" i="2"/>
  <c r="T317" i="2"/>
  <c r="T319" i="2"/>
  <c r="P191" i="2"/>
  <c r="L317" i="2"/>
  <c r="L319" i="2"/>
  <c r="J317" i="2"/>
  <c r="I191" i="2"/>
  <c r="R191" i="2"/>
  <c r="N191" i="2"/>
  <c r="L191" i="2"/>
  <c r="V191" i="2"/>
  <c r="K191" i="2"/>
  <c r="M191" i="2"/>
  <c r="U63" i="2"/>
  <c r="O191" i="2"/>
  <c r="K63" i="2"/>
  <c r="S191" i="2"/>
  <c r="U191" i="2"/>
  <c r="Q191" i="2"/>
  <c r="H63" i="2"/>
  <c r="T153" i="2"/>
  <c r="V63" i="2"/>
  <c r="S63" i="2"/>
  <c r="Q63" i="2"/>
  <c r="R63" i="2"/>
  <c r="K68" i="2"/>
  <c r="T63" i="2"/>
  <c r="U68" i="2"/>
  <c r="Q153" i="2"/>
  <c r="L68" i="2"/>
  <c r="J153" i="2"/>
  <c r="V68" i="2"/>
  <c r="U153" i="2"/>
  <c r="I68" i="2"/>
  <c r="I63" i="2"/>
  <c r="N153" i="2"/>
  <c r="M153" i="2"/>
  <c r="L63" i="2"/>
  <c r="J68" i="2"/>
  <c r="L153" i="2"/>
  <c r="O68" i="2"/>
  <c r="R153" i="2"/>
  <c r="R68" i="2"/>
  <c r="H68" i="2"/>
  <c r="M63" i="2"/>
  <c r="J63" i="2"/>
  <c r="H153" i="2"/>
  <c r="M68" i="2"/>
  <c r="I153" i="2"/>
  <c r="N63" i="2"/>
  <c r="V153" i="2"/>
  <c r="S68" i="2"/>
  <c r="N68" i="2"/>
  <c r="O63" i="2"/>
  <c r="O153" i="2"/>
  <c r="P153" i="2"/>
  <c r="P63" i="2"/>
  <c r="K153" i="2"/>
  <c r="P68" i="2"/>
  <c r="S153" i="2"/>
  <c r="O104" i="2"/>
  <c r="O105" i="2" s="1"/>
  <c r="O107" i="2" s="1"/>
  <c r="R104" i="2"/>
  <c r="R105" i="2" s="1"/>
  <c r="L104" i="2"/>
  <c r="L105" i="2" s="1"/>
  <c r="L107" i="2" s="1"/>
  <c r="H104" i="2"/>
  <c r="H105" i="2" s="1"/>
  <c r="K410" i="2"/>
  <c r="W402" i="1"/>
  <c r="Q410" i="2"/>
  <c r="S402" i="1"/>
  <c r="M410" i="2"/>
  <c r="Y402" i="1"/>
  <c r="S410" i="2"/>
  <c r="Z402" i="1"/>
  <c r="T410" i="2"/>
  <c r="P402" i="1"/>
  <c r="J410" i="2"/>
  <c r="X402" i="1"/>
  <c r="R410" i="2"/>
  <c r="H410" i="2"/>
  <c r="N402" i="1"/>
  <c r="AA402" i="1"/>
  <c r="U410" i="2"/>
  <c r="O402" i="1"/>
  <c r="I410" i="2"/>
  <c r="AB402" i="1"/>
  <c r="V410" i="2"/>
  <c r="U402" i="1"/>
  <c r="O410" i="2"/>
  <c r="R402" i="1"/>
  <c r="L410" i="2"/>
  <c r="V402" i="1"/>
  <c r="P410" i="2"/>
  <c r="T402" i="1"/>
  <c r="N410" i="2"/>
  <c r="O25" i="17" l="1"/>
  <c r="O42" i="18"/>
  <c r="P42" i="18"/>
  <c r="N46" i="18"/>
  <c r="I42" i="18"/>
  <c r="Q42" i="18"/>
  <c r="G42" i="18"/>
  <c r="J104" i="2"/>
  <c r="J105" i="2" s="1"/>
  <c r="J107" i="2" s="1"/>
  <c r="T104" i="2"/>
  <c r="T105" i="2" s="1"/>
  <c r="T107" i="2" s="1"/>
  <c r="Q104" i="2"/>
  <c r="Q105" i="2" s="1"/>
  <c r="Q185" i="2" s="1"/>
  <c r="Q187" i="2" s="1"/>
  <c r="Q193" i="2" s="1"/>
  <c r="P104" i="2"/>
  <c r="P105" i="2" s="1"/>
  <c r="P107" i="2" s="1"/>
  <c r="U104" i="2"/>
  <c r="U105" i="2" s="1"/>
  <c r="U107" i="2" s="1"/>
  <c r="N104" i="2"/>
  <c r="N105" i="2" s="1"/>
  <c r="N107" i="2" s="1"/>
  <c r="S104" i="2"/>
  <c r="S105" i="2" s="1"/>
  <c r="S107" i="2" s="1"/>
  <c r="V104" i="2"/>
  <c r="V105" i="2" s="1"/>
  <c r="V185" i="2" s="1"/>
  <c r="V187" i="2" s="1"/>
  <c r="V193" i="2" s="1"/>
  <c r="K104" i="2"/>
  <c r="K105" i="2" s="1"/>
  <c r="K107" i="2" s="1"/>
  <c r="M104" i="2"/>
  <c r="M105" i="2" s="1"/>
  <c r="M107" i="2" s="1"/>
  <c r="J42" i="18"/>
  <c r="K42" i="18"/>
  <c r="I104" i="2"/>
  <c r="I105" i="2" s="1"/>
  <c r="I107" i="2" s="1"/>
  <c r="L42" i="18"/>
  <c r="M25" i="17"/>
  <c r="L28" i="14"/>
  <c r="J9" i="18" s="1"/>
  <c r="V28" i="14"/>
  <c r="T9" i="18" s="1"/>
  <c r="N28" i="14"/>
  <c r="Q46" i="18"/>
  <c r="I46" i="18"/>
  <c r="O46" i="18"/>
  <c r="M46" i="18"/>
  <c r="L46" i="18"/>
  <c r="J46" i="18"/>
  <c r="H46" i="18"/>
  <c r="U46" i="18"/>
  <c r="T46" i="18"/>
  <c r="S46" i="18"/>
  <c r="R46" i="18"/>
  <c r="P46" i="18"/>
  <c r="P28" i="14"/>
  <c r="N82" i="18"/>
  <c r="N81" i="18"/>
  <c r="Q28" i="14"/>
  <c r="J82" i="18"/>
  <c r="J81" i="18"/>
  <c r="O82" i="18"/>
  <c r="O81" i="18"/>
  <c r="L81" i="18"/>
  <c r="L82" i="18"/>
  <c r="T82" i="18"/>
  <c r="T81" i="18"/>
  <c r="R28" i="14"/>
  <c r="P81" i="18"/>
  <c r="P82" i="18"/>
  <c r="U82" i="18"/>
  <c r="U81" i="18"/>
  <c r="U28" i="14"/>
  <c r="S9" i="18" s="1"/>
  <c r="S82" i="18"/>
  <c r="S81" i="18"/>
  <c r="M82" i="18"/>
  <c r="M81" i="18"/>
  <c r="K81" i="18"/>
  <c r="K82" i="18"/>
  <c r="Q81" i="18"/>
  <c r="Q82" i="18"/>
  <c r="O28" i="14"/>
  <c r="M28" i="14"/>
  <c r="W28" i="14"/>
  <c r="T28" i="14"/>
  <c r="S28" i="14"/>
  <c r="R81" i="18"/>
  <c r="R82" i="18"/>
  <c r="M7" i="2"/>
  <c r="P7" i="2"/>
  <c r="V7" i="2"/>
  <c r="U406" i="2"/>
  <c r="J406" i="2"/>
  <c r="Q7" i="2"/>
  <c r="O406" i="2"/>
  <c r="T7" i="2"/>
  <c r="Q406" i="2"/>
  <c r="Q412" i="2"/>
  <c r="Q8" i="2"/>
  <c r="I7" i="2"/>
  <c r="I412" i="2"/>
  <c r="I8" i="2"/>
  <c r="H406" i="2"/>
  <c r="U412" i="2"/>
  <c r="U8" i="2"/>
  <c r="K412" i="2"/>
  <c r="K8" i="2"/>
  <c r="V412" i="2"/>
  <c r="V8" i="2"/>
  <c r="H412" i="2"/>
  <c r="H8" i="2"/>
  <c r="R7" i="2"/>
  <c r="N412" i="2"/>
  <c r="N8" i="2"/>
  <c r="P8" i="2"/>
  <c r="P412" i="2"/>
  <c r="J412" i="2"/>
  <c r="J8" i="2"/>
  <c r="L412" i="2"/>
  <c r="L8" i="2"/>
  <c r="T412" i="2"/>
  <c r="T8" i="2"/>
  <c r="M412" i="2"/>
  <c r="M8" i="2"/>
  <c r="R412" i="2"/>
  <c r="R8" i="2"/>
  <c r="S412" i="2"/>
  <c r="S8" i="2"/>
  <c r="O412" i="2"/>
  <c r="O8" i="2"/>
  <c r="J25" i="17"/>
  <c r="I25" i="17"/>
  <c r="N25" i="17"/>
  <c r="M86" i="14"/>
  <c r="M89" i="14" s="1"/>
  <c r="K31" i="18" s="1"/>
  <c r="L86" i="14"/>
  <c r="L89" i="14" s="1"/>
  <c r="J31" i="18" s="1"/>
  <c r="L57" i="14"/>
  <c r="L59" i="14" s="1"/>
  <c r="I102" i="4"/>
  <c r="B87" i="6"/>
  <c r="U7" i="2"/>
  <c r="O7" i="2"/>
  <c r="J7" i="2"/>
  <c r="I406" i="2"/>
  <c r="H7" i="2"/>
  <c r="V406" i="2"/>
  <c r="P406" i="2"/>
  <c r="T406" i="2"/>
  <c r="L363" i="2"/>
  <c r="L404" i="2"/>
  <c r="L406" i="2" s="1"/>
  <c r="K363" i="2"/>
  <c r="K404" i="2"/>
  <c r="K406" i="2" s="1"/>
  <c r="N363" i="2"/>
  <c r="N404" i="2"/>
  <c r="M406" i="2"/>
  <c r="S363" i="2"/>
  <c r="S404" i="2"/>
  <c r="R406" i="2"/>
  <c r="J13" i="3"/>
  <c r="R13" i="3"/>
  <c r="M13" i="3"/>
  <c r="T13" i="3"/>
  <c r="Q13" i="3"/>
  <c r="L13" i="3"/>
  <c r="S13" i="3"/>
  <c r="P13" i="3"/>
  <c r="R185" i="2"/>
  <c r="R187" i="2" s="1"/>
  <c r="R193" i="2" s="1"/>
  <c r="R107" i="2"/>
  <c r="H107" i="2"/>
  <c r="H185" i="2"/>
  <c r="H187" i="2" s="1"/>
  <c r="H193" i="2" s="1"/>
  <c r="L185" i="2"/>
  <c r="L187" i="2" s="1"/>
  <c r="L193" i="2" s="1"/>
  <c r="O185" i="2"/>
  <c r="O187" i="2" s="1"/>
  <c r="O193" i="2" s="1"/>
  <c r="J185" i="2" l="1"/>
  <c r="J187" i="2" s="1"/>
  <c r="J193" i="2" s="1"/>
  <c r="K185" i="2"/>
  <c r="K187" i="2" s="1"/>
  <c r="K193" i="2" s="1"/>
  <c r="N185" i="2"/>
  <c r="N187" i="2" s="1"/>
  <c r="N193" i="2" s="1"/>
  <c r="U11" i="14"/>
  <c r="M185" i="2"/>
  <c r="M187" i="2" s="1"/>
  <c r="M193" i="2" s="1"/>
  <c r="P185" i="2"/>
  <c r="P187" i="2" s="1"/>
  <c r="P193" i="2" s="1"/>
  <c r="S185" i="2"/>
  <c r="S187" i="2" s="1"/>
  <c r="S193" i="2" s="1"/>
  <c r="I185" i="2"/>
  <c r="I187" i="2" s="1"/>
  <c r="I193" i="2" s="1"/>
  <c r="V107" i="2"/>
  <c r="U185" i="2"/>
  <c r="U187" i="2" s="1"/>
  <c r="U193" i="2" s="1"/>
  <c r="T185" i="2"/>
  <c r="T187" i="2" s="1"/>
  <c r="T193" i="2" s="1"/>
  <c r="Q107" i="2"/>
  <c r="U67" i="18"/>
  <c r="Q11" i="14"/>
  <c r="L67" i="18"/>
  <c r="P67" i="18"/>
  <c r="S67" i="18"/>
  <c r="K9" i="18"/>
  <c r="L29" i="14"/>
  <c r="U9" i="18"/>
  <c r="L64" i="14"/>
  <c r="L69" i="14" s="1"/>
  <c r="J63" i="18" s="1"/>
  <c r="J23" i="18"/>
  <c r="P9" i="18"/>
  <c r="M9" i="18"/>
  <c r="O9" i="18"/>
  <c r="N9" i="18"/>
  <c r="Q9" i="18"/>
  <c r="L9" i="18"/>
  <c r="R9" i="18"/>
  <c r="I13" i="3"/>
  <c r="O67" i="18"/>
  <c r="N11" i="14"/>
  <c r="R11" i="14"/>
  <c r="W11" i="14"/>
  <c r="S68" i="18"/>
  <c r="U12" i="14"/>
  <c r="N67" i="4"/>
  <c r="Q29" i="14"/>
  <c r="N50" i="4"/>
  <c r="T68" i="18"/>
  <c r="V12" i="14"/>
  <c r="O67" i="4"/>
  <c r="O50" i="4"/>
  <c r="K67" i="4"/>
  <c r="K50" i="4"/>
  <c r="N13" i="3"/>
  <c r="N68" i="18"/>
  <c r="P12" i="14"/>
  <c r="H67" i="18"/>
  <c r="J11" i="14"/>
  <c r="G67" i="4"/>
  <c r="G13" i="3"/>
  <c r="G68" i="18"/>
  <c r="I12" i="14"/>
  <c r="S50" i="4"/>
  <c r="S67" i="4"/>
  <c r="I50" i="4"/>
  <c r="I67" i="4"/>
  <c r="L67" i="4"/>
  <c r="L50" i="4"/>
  <c r="U68" i="18"/>
  <c r="W12" i="14"/>
  <c r="M68" i="18"/>
  <c r="O12" i="14"/>
  <c r="P68" i="18"/>
  <c r="R12" i="14"/>
  <c r="O13" i="3"/>
  <c r="T50" i="4"/>
  <c r="T67" i="4"/>
  <c r="O68" i="18"/>
  <c r="Q12" i="14"/>
  <c r="R68" i="18"/>
  <c r="T12" i="14"/>
  <c r="Q67" i="18"/>
  <c r="S11" i="14"/>
  <c r="H67" i="4"/>
  <c r="H13" i="3"/>
  <c r="Q67" i="4"/>
  <c r="T29" i="14"/>
  <c r="Q50" i="4"/>
  <c r="M67" i="4"/>
  <c r="M50" i="4"/>
  <c r="R67" i="4"/>
  <c r="R50" i="4"/>
  <c r="G67" i="18"/>
  <c r="I11" i="14"/>
  <c r="L68" i="18"/>
  <c r="N12" i="14"/>
  <c r="K13" i="3"/>
  <c r="P67" i="4"/>
  <c r="S29" i="14"/>
  <c r="P50" i="4"/>
  <c r="F67" i="4"/>
  <c r="F13" i="3"/>
  <c r="I67" i="18"/>
  <c r="K11" i="14"/>
  <c r="N67" i="18"/>
  <c r="P11" i="14"/>
  <c r="H68" i="18"/>
  <c r="J12" i="14"/>
  <c r="T67" i="18"/>
  <c r="V11" i="14"/>
  <c r="K68" i="18"/>
  <c r="M12" i="14"/>
  <c r="I68" i="18"/>
  <c r="K12" i="14"/>
  <c r="Q68" i="18"/>
  <c r="S12" i="14"/>
  <c r="V6" i="2"/>
  <c r="J50" i="4"/>
  <c r="M9" i="14"/>
  <c r="J67" i="4"/>
  <c r="O6" i="2"/>
  <c r="J68" i="18"/>
  <c r="L12" i="14"/>
  <c r="D87" i="6"/>
  <c r="E87" i="6" s="1"/>
  <c r="F87" i="6" s="1"/>
  <c r="J102" i="4" s="1"/>
  <c r="K7" i="2"/>
  <c r="S406" i="2"/>
  <c r="S7" i="2"/>
  <c r="N406" i="2"/>
  <c r="N7" i="2"/>
  <c r="L7" i="2"/>
  <c r="Q6" i="2"/>
  <c r="R6" i="2"/>
  <c r="K6" i="2"/>
  <c r="L6" i="2"/>
  <c r="M6" i="2"/>
  <c r="N6" i="2"/>
  <c r="H6" i="2"/>
  <c r="J6" i="2" l="1"/>
  <c r="P6" i="2"/>
  <c r="S6" i="2"/>
  <c r="T6" i="2"/>
  <c r="I6" i="2"/>
  <c r="R9" i="14"/>
  <c r="U6" i="2"/>
  <c r="O9" i="14"/>
  <c r="T9" i="14"/>
  <c r="I14" i="2"/>
  <c r="I66" i="18"/>
  <c r="O29" i="14"/>
  <c r="R29" i="14"/>
  <c r="N9" i="14"/>
  <c r="U9" i="14"/>
  <c r="V9" i="14"/>
  <c r="N29" i="14"/>
  <c r="W9" i="14"/>
  <c r="U29" i="14"/>
  <c r="Q9" i="14"/>
  <c r="W29" i="14"/>
  <c r="I9" i="14"/>
  <c r="I29" i="14"/>
  <c r="J9" i="14"/>
  <c r="J29" i="14"/>
  <c r="M29" i="14"/>
  <c r="K9" i="14"/>
  <c r="K29" i="14"/>
  <c r="V29" i="14"/>
  <c r="P9" i="14"/>
  <c r="L9" i="14"/>
  <c r="S9" i="14"/>
  <c r="P29" i="14"/>
  <c r="K10" i="14"/>
  <c r="K18" i="14" s="1"/>
  <c r="J14" i="2"/>
  <c r="T22" i="17"/>
  <c r="T83" i="14"/>
  <c r="T84" i="14" s="1"/>
  <c r="R30" i="18" s="1"/>
  <c r="W6" i="17"/>
  <c r="U36" i="18"/>
  <c r="L6" i="17"/>
  <c r="J6" i="18" s="1"/>
  <c r="J36" i="18"/>
  <c r="R36" i="18"/>
  <c r="T6" i="17"/>
  <c r="R67" i="18"/>
  <c r="T11" i="14"/>
  <c r="R22" i="17"/>
  <c r="R83" i="14"/>
  <c r="R84" i="14" s="1"/>
  <c r="P30" i="18" s="1"/>
  <c r="L22" i="17"/>
  <c r="L83" i="14"/>
  <c r="L84" i="14" s="1"/>
  <c r="J30" i="18" s="1"/>
  <c r="N6" i="17"/>
  <c r="L36" i="18"/>
  <c r="R6" i="17"/>
  <c r="P36" i="18"/>
  <c r="Q14" i="2"/>
  <c r="P66" i="18"/>
  <c r="R10" i="14"/>
  <c r="R18" i="14" s="1"/>
  <c r="H14" i="2"/>
  <c r="G66" i="18"/>
  <c r="I10" i="14"/>
  <c r="I18" i="14" s="1"/>
  <c r="M22" i="17"/>
  <c r="M83" i="14"/>
  <c r="M84" i="14" s="1"/>
  <c r="K30" i="18" s="1"/>
  <c r="V14" i="2"/>
  <c r="U66" i="18"/>
  <c r="W10" i="14"/>
  <c r="W18" i="14" s="1"/>
  <c r="W19" i="14" s="1"/>
  <c r="I6" i="17"/>
  <c r="G36" i="18"/>
  <c r="W22" i="17"/>
  <c r="W83" i="14"/>
  <c r="W84" i="14" s="1"/>
  <c r="U30" i="18" s="1"/>
  <c r="J6" i="17"/>
  <c r="H36" i="18"/>
  <c r="K67" i="18"/>
  <c r="M11" i="14"/>
  <c r="M67" i="18"/>
  <c r="O11" i="14"/>
  <c r="S6" i="17"/>
  <c r="Q36" i="18"/>
  <c r="M14" i="2"/>
  <c r="L66" i="18"/>
  <c r="N10" i="14"/>
  <c r="N18" i="14" s="1"/>
  <c r="U83" i="14"/>
  <c r="U84" i="14" s="1"/>
  <c r="S30" i="18" s="1"/>
  <c r="U22" i="17"/>
  <c r="Q22" i="17"/>
  <c r="Q83" i="14"/>
  <c r="Q84" i="14" s="1"/>
  <c r="O30" i="18" s="1"/>
  <c r="S22" i="17"/>
  <c r="S83" i="14"/>
  <c r="S84" i="14" s="1"/>
  <c r="Q30" i="18" s="1"/>
  <c r="V83" i="14"/>
  <c r="V84" i="14" s="1"/>
  <c r="T30" i="18" s="1"/>
  <c r="V22" i="17"/>
  <c r="K6" i="17"/>
  <c r="I36" i="18"/>
  <c r="J67" i="18"/>
  <c r="L11" i="14"/>
  <c r="S36" i="18"/>
  <c r="U6" i="17"/>
  <c r="O22" i="17"/>
  <c r="O83" i="14"/>
  <c r="O84" i="14" s="1"/>
  <c r="M30" i="18" s="1"/>
  <c r="Q6" i="17"/>
  <c r="O36" i="18"/>
  <c r="N22" i="17"/>
  <c r="N83" i="14"/>
  <c r="N84" i="14" s="1"/>
  <c r="L30" i="18" s="1"/>
  <c r="L14" i="2"/>
  <c r="K66" i="18"/>
  <c r="M10" i="14"/>
  <c r="T14" i="2"/>
  <c r="S66" i="18"/>
  <c r="U10" i="14"/>
  <c r="U18" i="14" s="1"/>
  <c r="U19" i="14" s="1"/>
  <c r="O14" i="2"/>
  <c r="N66" i="18"/>
  <c r="P10" i="14"/>
  <c r="P18" i="14" s="1"/>
  <c r="O6" i="17"/>
  <c r="M36" i="18"/>
  <c r="V6" i="17"/>
  <c r="T36" i="18"/>
  <c r="R66" i="18"/>
  <c r="T10" i="14"/>
  <c r="N14" i="2"/>
  <c r="M66" i="18"/>
  <c r="O10" i="14"/>
  <c r="K14" i="2"/>
  <c r="J66" i="18"/>
  <c r="L10" i="14"/>
  <c r="P22" i="17"/>
  <c r="P83" i="14"/>
  <c r="P84" i="14" s="1"/>
  <c r="N30" i="18" s="1"/>
  <c r="P14" i="2"/>
  <c r="O66" i="18"/>
  <c r="Q10" i="14"/>
  <c r="Q18" i="14" s="1"/>
  <c r="R14" i="2"/>
  <c r="Q66" i="18"/>
  <c r="S10" i="14"/>
  <c r="S18" i="14" s="1"/>
  <c r="M6" i="17"/>
  <c r="K36" i="18"/>
  <c r="P6" i="17"/>
  <c r="N36" i="18"/>
  <c r="M57" i="14"/>
  <c r="M59" i="14" s="1"/>
  <c r="B88" i="6"/>
  <c r="D88" i="6" s="1"/>
  <c r="E88" i="6" s="1"/>
  <c r="S14" i="2"/>
  <c r="H74" i="18" l="1"/>
  <c r="G96" i="4"/>
  <c r="H66" i="18"/>
  <c r="U14" i="2"/>
  <c r="V10" i="14"/>
  <c r="V18" i="14" s="1"/>
  <c r="V19" i="14" s="1"/>
  <c r="J10" i="14"/>
  <c r="J18" i="14" s="1"/>
  <c r="T66" i="18"/>
  <c r="J15" i="2"/>
  <c r="L15" i="2"/>
  <c r="N15" i="2"/>
  <c r="M15" i="2"/>
  <c r="U15" i="2"/>
  <c r="O15" i="2"/>
  <c r="V15" i="2"/>
  <c r="P15" i="2"/>
  <c r="S15" i="2"/>
  <c r="H15" i="2"/>
  <c r="T15" i="2"/>
  <c r="R15" i="2"/>
  <c r="K15" i="2"/>
  <c r="Q15" i="2"/>
  <c r="I15" i="2"/>
  <c r="M64" i="14"/>
  <c r="M69" i="14" s="1"/>
  <c r="K63" i="18" s="1"/>
  <c r="K23" i="18"/>
  <c r="I20" i="14"/>
  <c r="I21" i="14" s="1"/>
  <c r="G59" i="18" s="1"/>
  <c r="I19" i="14"/>
  <c r="P20" i="14"/>
  <c r="P21" i="14" s="1"/>
  <c r="N59" i="18" s="1"/>
  <c r="P19" i="14"/>
  <c r="J20" i="14"/>
  <c r="J21" i="14" s="1"/>
  <c r="H59" i="18" s="1"/>
  <c r="J19" i="14"/>
  <c r="S20" i="14"/>
  <c r="S21" i="14" s="1"/>
  <c r="Q59" i="18" s="1"/>
  <c r="S19" i="14"/>
  <c r="R20" i="14"/>
  <c r="R21" i="14" s="1"/>
  <c r="P59" i="18" s="1"/>
  <c r="R19" i="14"/>
  <c r="K20" i="14"/>
  <c r="K21" i="14" s="1"/>
  <c r="I59" i="18" s="1"/>
  <c r="K19" i="14"/>
  <c r="Q20" i="14"/>
  <c r="Q21" i="14" s="1"/>
  <c r="O59" i="18" s="1"/>
  <c r="Q19" i="14"/>
  <c r="N20" i="14"/>
  <c r="N21" i="14" s="1"/>
  <c r="L59" i="18" s="1"/>
  <c r="N19" i="14"/>
  <c r="N23" i="17"/>
  <c r="H96" i="4"/>
  <c r="I74" i="18"/>
  <c r="P23" i="17"/>
  <c r="U23" i="17"/>
  <c r="T18" i="14"/>
  <c r="L18" i="14"/>
  <c r="O18" i="14"/>
  <c r="I7" i="18"/>
  <c r="R6" i="18"/>
  <c r="T20" i="17"/>
  <c r="P6" i="18"/>
  <c r="R20" i="17"/>
  <c r="U7" i="18"/>
  <c r="K6" i="18"/>
  <c r="K34" i="18"/>
  <c r="M20" i="17"/>
  <c r="M26" i="17"/>
  <c r="I6" i="18"/>
  <c r="I34" i="18"/>
  <c r="K23" i="17"/>
  <c r="K26" i="17"/>
  <c r="K20" i="17"/>
  <c r="Q6" i="18"/>
  <c r="S20" i="17"/>
  <c r="Q7" i="18"/>
  <c r="V23" i="17"/>
  <c r="G6" i="18"/>
  <c r="G34" i="18"/>
  <c r="I23" i="17"/>
  <c r="I20" i="17"/>
  <c r="I26" i="17"/>
  <c r="O23" i="17"/>
  <c r="S23" i="17"/>
  <c r="M23" i="17"/>
  <c r="L6" i="18"/>
  <c r="L34" i="18"/>
  <c r="N20" i="17"/>
  <c r="N26" i="17"/>
  <c r="J34" i="18"/>
  <c r="L20" i="17"/>
  <c r="L26" i="17"/>
  <c r="U74" i="18"/>
  <c r="T81" i="4"/>
  <c r="T96" i="4"/>
  <c r="M74" i="18"/>
  <c r="L81" i="4"/>
  <c r="M80" i="4"/>
  <c r="L96" i="4"/>
  <c r="N74" i="18"/>
  <c r="M96" i="4"/>
  <c r="M81" i="4"/>
  <c r="N80" i="4"/>
  <c r="G7" i="18"/>
  <c r="J74" i="18"/>
  <c r="I96" i="4"/>
  <c r="J80" i="4"/>
  <c r="I81" i="4"/>
  <c r="I82" i="4" s="1"/>
  <c r="Q23" i="17"/>
  <c r="L23" i="17"/>
  <c r="W20" i="14"/>
  <c r="W21" i="14" s="1"/>
  <c r="G74" i="18"/>
  <c r="F96" i="4"/>
  <c r="O6" i="18"/>
  <c r="Q20" i="17"/>
  <c r="O7" i="18"/>
  <c r="S74" i="18"/>
  <c r="S80" i="4"/>
  <c r="R96" i="4"/>
  <c r="R81" i="4"/>
  <c r="S6" i="18"/>
  <c r="U20" i="17"/>
  <c r="P7" i="18"/>
  <c r="R23" i="17"/>
  <c r="M6" i="18"/>
  <c r="M34" i="18"/>
  <c r="O20" i="17"/>
  <c r="O26" i="17"/>
  <c r="Q74" i="18"/>
  <c r="P96" i="4"/>
  <c r="P81" i="4"/>
  <c r="Q80" i="4"/>
  <c r="N7" i="18"/>
  <c r="H7" i="18"/>
  <c r="M18" i="14"/>
  <c r="M19" i="14" s="1"/>
  <c r="L7" i="18"/>
  <c r="H6" i="18"/>
  <c r="H34" i="18"/>
  <c r="J23" i="17"/>
  <c r="J20" i="17"/>
  <c r="J26" i="17"/>
  <c r="U6" i="18"/>
  <c r="W20" i="17"/>
  <c r="T74" i="18"/>
  <c r="S96" i="4"/>
  <c r="T80" i="4"/>
  <c r="S81" i="4"/>
  <c r="V20" i="14"/>
  <c r="V21" i="14" s="1"/>
  <c r="P74" i="18"/>
  <c r="O81" i="4"/>
  <c r="O96" i="4"/>
  <c r="P80" i="4"/>
  <c r="T6" i="18"/>
  <c r="V20" i="17"/>
  <c r="R74" i="18"/>
  <c r="Q96" i="4"/>
  <c r="R80" i="4"/>
  <c r="Q81" i="4"/>
  <c r="S7" i="18"/>
  <c r="U20" i="14"/>
  <c r="U21" i="14" s="1"/>
  <c r="O74" i="18"/>
  <c r="N81" i="4"/>
  <c r="N96" i="4"/>
  <c r="O80" i="4"/>
  <c r="N6" i="18"/>
  <c r="P20" i="17"/>
  <c r="K74" i="18"/>
  <c r="K80" i="4"/>
  <c r="J81" i="4"/>
  <c r="J96" i="4"/>
  <c r="L74" i="18"/>
  <c r="K81" i="4"/>
  <c r="L80" i="4"/>
  <c r="K96" i="4"/>
  <c r="W23" i="17"/>
  <c r="T23" i="17"/>
  <c r="F88" i="6"/>
  <c r="T7" i="18" l="1"/>
  <c r="J30" i="14"/>
  <c r="J31" i="14" s="1"/>
  <c r="P30" i="14"/>
  <c r="P31" i="14" s="1"/>
  <c r="I30" i="14"/>
  <c r="I31" i="14" s="1"/>
  <c r="N30" i="14"/>
  <c r="N31" i="14" s="1"/>
  <c r="R30" i="14"/>
  <c r="R31" i="14" s="1"/>
  <c r="K30" i="14"/>
  <c r="K31" i="14" s="1"/>
  <c r="S30" i="14"/>
  <c r="S31" i="14" s="1"/>
  <c r="L20" i="14"/>
  <c r="L30" i="14" s="1"/>
  <c r="L10" i="17" s="1"/>
  <c r="J10" i="18" s="1"/>
  <c r="J12" i="18" s="1"/>
  <c r="L19" i="14"/>
  <c r="T20" i="14"/>
  <c r="T19" i="14"/>
  <c r="R7" i="18"/>
  <c r="R8" i="18" s="1"/>
  <c r="O20" i="14"/>
  <c r="O30" i="14" s="1"/>
  <c r="O31" i="14" s="1"/>
  <c r="O19" i="14"/>
  <c r="Q30" i="14"/>
  <c r="Q31" i="14" s="1"/>
  <c r="O8" i="18"/>
  <c r="G8" i="18"/>
  <c r="L8" i="18"/>
  <c r="P8" i="18"/>
  <c r="I8" i="18"/>
  <c r="S8" i="18"/>
  <c r="L82" i="4"/>
  <c r="M7" i="18"/>
  <c r="M8" i="18" s="1"/>
  <c r="J7" i="18"/>
  <c r="J8" i="18" s="1"/>
  <c r="R82" i="4"/>
  <c r="O82" i="4"/>
  <c r="J82" i="4"/>
  <c r="P82" i="4"/>
  <c r="S59" i="18"/>
  <c r="U30" i="14"/>
  <c r="U31" i="14" s="1"/>
  <c r="S10" i="17"/>
  <c r="Q10" i="18" s="1"/>
  <c r="Q12" i="18" s="1"/>
  <c r="N82" i="4"/>
  <c r="T8" i="18"/>
  <c r="J10" i="17"/>
  <c r="H10" i="18" s="1"/>
  <c r="H12" i="18" s="1"/>
  <c r="J33" i="14"/>
  <c r="J34" i="14" s="1"/>
  <c r="H8" i="18"/>
  <c r="N8" i="18"/>
  <c r="U59" i="18"/>
  <c r="W30" i="14"/>
  <c r="W31" i="14" s="1"/>
  <c r="M82" i="4"/>
  <c r="U8" i="18"/>
  <c r="T59" i="18"/>
  <c r="V30" i="14"/>
  <c r="V31" i="14" s="1"/>
  <c r="N10" i="17"/>
  <c r="L10" i="18" s="1"/>
  <c r="L12" i="18" s="1"/>
  <c r="N33" i="14"/>
  <c r="N34" i="14" s="1"/>
  <c r="P10" i="17"/>
  <c r="N10" i="18" s="1"/>
  <c r="N12" i="18" s="1"/>
  <c r="T82" i="4"/>
  <c r="K7" i="18"/>
  <c r="K8" i="18" s="1"/>
  <c r="M20" i="14"/>
  <c r="M21" i="14" s="1"/>
  <c r="K82" i="4"/>
  <c r="Q82" i="4"/>
  <c r="S82" i="4"/>
  <c r="Q8" i="18"/>
  <c r="K102" i="4"/>
  <c r="N57" i="14"/>
  <c r="N59" i="14" s="1"/>
  <c r="B89" i="6"/>
  <c r="I10" i="17" l="1"/>
  <c r="G10" i="18" s="1"/>
  <c r="G12" i="18" s="1"/>
  <c r="I33" i="14"/>
  <c r="I34" i="14" s="1"/>
  <c r="P33" i="14"/>
  <c r="P34" i="14" s="1"/>
  <c r="K33" i="14"/>
  <c r="K34" i="14" s="1"/>
  <c r="K10" i="17"/>
  <c r="I10" i="18" s="1"/>
  <c r="I12" i="18" s="1"/>
  <c r="R10" i="17"/>
  <c r="P10" i="18" s="1"/>
  <c r="P12" i="18" s="1"/>
  <c r="R33" i="14"/>
  <c r="R34" i="14" s="1"/>
  <c r="Q10" i="17"/>
  <c r="O10" i="18" s="1"/>
  <c r="O12" i="18" s="1"/>
  <c r="Q33" i="14"/>
  <c r="Q34" i="14" s="1"/>
  <c r="O33" i="14"/>
  <c r="O34" i="14" s="1"/>
  <c r="N64" i="14"/>
  <c r="N69" i="14" s="1"/>
  <c r="L63" i="18" s="1"/>
  <c r="L23" i="18"/>
  <c r="T21" i="14"/>
  <c r="R59" i="18" s="1"/>
  <c r="T30" i="14"/>
  <c r="L33" i="14"/>
  <c r="L34" i="14" s="1"/>
  <c r="L31" i="14"/>
  <c r="L11" i="17" s="1"/>
  <c r="L21" i="14"/>
  <c r="J59" i="18" s="1"/>
  <c r="O10" i="17"/>
  <c r="M10" i="18" s="1"/>
  <c r="M12" i="18" s="1"/>
  <c r="O21" i="14"/>
  <c r="M59" i="18" s="1"/>
  <c r="S33" i="14"/>
  <c r="S34" i="14" s="1"/>
  <c r="K11" i="17"/>
  <c r="I60" i="18"/>
  <c r="O11" i="17"/>
  <c r="M60" i="18"/>
  <c r="J11" i="17"/>
  <c r="H60" i="18"/>
  <c r="Q11" i="17"/>
  <c r="O60" i="18"/>
  <c r="S11" i="17"/>
  <c r="Q60" i="18"/>
  <c r="R11" i="17"/>
  <c r="P60" i="18"/>
  <c r="N11" i="17"/>
  <c r="L60" i="18"/>
  <c r="P11" i="17"/>
  <c r="N60" i="18"/>
  <c r="I11" i="17"/>
  <c r="G60" i="18"/>
  <c r="U33" i="14"/>
  <c r="U34" i="14" s="1"/>
  <c r="U10" i="17"/>
  <c r="S10" i="18" s="1"/>
  <c r="S12" i="18" s="1"/>
  <c r="W10" i="17"/>
  <c r="U10" i="18" s="1"/>
  <c r="U12" i="18" s="1"/>
  <c r="W33" i="14"/>
  <c r="W34" i="14" s="1"/>
  <c r="J38" i="14"/>
  <c r="J39" i="14" s="1"/>
  <c r="J13" i="17"/>
  <c r="J16" i="17" s="1"/>
  <c r="J75" i="14"/>
  <c r="J78" i="14" s="1"/>
  <c r="R38" i="14"/>
  <c r="R39" i="14" s="1"/>
  <c r="R75" i="14"/>
  <c r="R13" i="17"/>
  <c r="R16" i="17" s="1"/>
  <c r="R17" i="17" s="1"/>
  <c r="V33" i="14"/>
  <c r="V34" i="14" s="1"/>
  <c r="V10" i="17"/>
  <c r="T10" i="18" s="1"/>
  <c r="T12" i="18" s="1"/>
  <c r="I38" i="14"/>
  <c r="I39" i="14" s="1"/>
  <c r="I75" i="14"/>
  <c r="I78" i="14" s="1"/>
  <c r="I13" i="17"/>
  <c r="I16" i="17" s="1"/>
  <c r="N75" i="14"/>
  <c r="N78" i="14" s="1"/>
  <c r="N38" i="14"/>
  <c r="N39" i="14" s="1"/>
  <c r="N13" i="17"/>
  <c r="N16" i="17" s="1"/>
  <c r="K75" i="14"/>
  <c r="K78" i="14" s="1"/>
  <c r="K13" i="17"/>
  <c r="K16" i="17" s="1"/>
  <c r="K38" i="14"/>
  <c r="K39" i="14" s="1"/>
  <c r="O13" i="17"/>
  <c r="O16" i="17" s="1"/>
  <c r="O38" i="14"/>
  <c r="O39" i="14" s="1"/>
  <c r="O75" i="14"/>
  <c r="O78" i="14" s="1"/>
  <c r="M30" i="14"/>
  <c r="M31" i="14" s="1"/>
  <c r="K59" i="18"/>
  <c r="D89" i="6"/>
  <c r="E89" i="6" s="1"/>
  <c r="F89" i="6" s="1"/>
  <c r="P13" i="17" l="1"/>
  <c r="P16" i="17" s="1"/>
  <c r="P17" i="17" s="1"/>
  <c r="P75" i="14"/>
  <c r="P38" i="14"/>
  <c r="P39" i="14" s="1"/>
  <c r="Q13" i="17"/>
  <c r="Q16" i="17" s="1"/>
  <c r="Q17" i="17" s="1"/>
  <c r="Q38" i="14"/>
  <c r="Q39" i="14" s="1"/>
  <c r="Q75" i="14"/>
  <c r="S75" i="14"/>
  <c r="L75" i="14"/>
  <c r="L78" i="14" s="1"/>
  <c r="L82" i="14" s="1"/>
  <c r="L38" i="14"/>
  <c r="L39" i="14" s="1"/>
  <c r="S38" i="14"/>
  <c r="S39" i="14" s="1"/>
  <c r="S13" i="17"/>
  <c r="S16" i="17" s="1"/>
  <c r="S17" i="17" s="1"/>
  <c r="L13" i="17"/>
  <c r="L16" i="17" s="1"/>
  <c r="L17" i="17" s="1"/>
  <c r="T31" i="14"/>
  <c r="T10" i="17"/>
  <c r="R10" i="18" s="1"/>
  <c r="R12" i="18" s="1"/>
  <c r="T33" i="14"/>
  <c r="J60" i="18"/>
  <c r="V11" i="17"/>
  <c r="T60" i="18"/>
  <c r="P14" i="17"/>
  <c r="N61" i="18"/>
  <c r="W11" i="17"/>
  <c r="U60" i="18"/>
  <c r="K14" i="17"/>
  <c r="I61" i="18"/>
  <c r="J14" i="17"/>
  <c r="H61" i="18"/>
  <c r="U11" i="17"/>
  <c r="S60" i="18"/>
  <c r="N14" i="17"/>
  <c r="L61" i="18"/>
  <c r="S14" i="17"/>
  <c r="Q61" i="18"/>
  <c r="O14" i="17"/>
  <c r="M61" i="18"/>
  <c r="I14" i="17"/>
  <c r="G61" i="18"/>
  <c r="Q14" i="17"/>
  <c r="O61" i="18"/>
  <c r="R14" i="17"/>
  <c r="P61" i="18"/>
  <c r="L14" i="17"/>
  <c r="J61" i="18"/>
  <c r="I28" i="17"/>
  <c r="I17" i="17"/>
  <c r="I41" i="14"/>
  <c r="I42" i="14" s="1"/>
  <c r="O17" i="17"/>
  <c r="O28" i="17"/>
  <c r="J28" i="17"/>
  <c r="J17" i="17"/>
  <c r="W38" i="14"/>
  <c r="W39" i="14" s="1"/>
  <c r="W75" i="14"/>
  <c r="W13" i="17"/>
  <c r="W16" i="17" s="1"/>
  <c r="P40" i="14"/>
  <c r="P41" i="14" s="1"/>
  <c r="P42" i="14" s="1"/>
  <c r="N90" i="14"/>
  <c r="L32" i="18" s="1"/>
  <c r="N82" i="14"/>
  <c r="O90" i="14"/>
  <c r="M32" i="18" s="1"/>
  <c r="O82" i="14"/>
  <c r="J82" i="14"/>
  <c r="J90" i="14"/>
  <c r="H32" i="18" s="1"/>
  <c r="V38" i="14"/>
  <c r="V39" i="14" s="1"/>
  <c r="V75" i="14"/>
  <c r="V13" i="17"/>
  <c r="V16" i="17" s="1"/>
  <c r="K17" i="17"/>
  <c r="K28" i="17"/>
  <c r="M10" i="17"/>
  <c r="K10" i="18" s="1"/>
  <c r="K12" i="18" s="1"/>
  <c r="M33" i="14"/>
  <c r="M34" i="14" s="1"/>
  <c r="R40" i="14"/>
  <c r="R41" i="14" s="1"/>
  <c r="R42" i="14" s="1"/>
  <c r="N41" i="14"/>
  <c r="N42" i="14" s="1"/>
  <c r="I90" i="14"/>
  <c r="G32" i="18" s="1"/>
  <c r="I82" i="14"/>
  <c r="O41" i="14"/>
  <c r="O42" i="14" s="1"/>
  <c r="K41" i="14"/>
  <c r="K42" i="14" s="1"/>
  <c r="U38" i="14"/>
  <c r="U39" i="14" s="1"/>
  <c r="U75" i="14"/>
  <c r="U13" i="17"/>
  <c r="U16" i="17" s="1"/>
  <c r="U17" i="17" s="1"/>
  <c r="J41" i="14"/>
  <c r="J42" i="14" s="1"/>
  <c r="L41" i="14"/>
  <c r="L42" i="14" s="1"/>
  <c r="K90" i="14"/>
  <c r="I32" i="18" s="1"/>
  <c r="K82" i="14"/>
  <c r="N17" i="17"/>
  <c r="N28" i="17"/>
  <c r="B90" i="6"/>
  <c r="O57" i="14"/>
  <c r="O59" i="14" s="1"/>
  <c r="L102" i="4"/>
  <c r="L90" i="14" l="1"/>
  <c r="J32" i="18" s="1"/>
  <c r="S40" i="14"/>
  <c r="S41" i="14" s="1"/>
  <c r="S42" i="14" s="1"/>
  <c r="Q40" i="14"/>
  <c r="Q41" i="14" s="1"/>
  <c r="Q42" i="14" s="1"/>
  <c r="L28" i="17"/>
  <c r="L35" i="17" s="1"/>
  <c r="L47" i="17" s="1"/>
  <c r="L48" i="17" s="1"/>
  <c r="O64" i="14"/>
  <c r="O69" i="14" s="1"/>
  <c r="M63" i="18" s="1"/>
  <c r="M23" i="18"/>
  <c r="T34" i="14"/>
  <c r="T38" i="14"/>
  <c r="T75" i="14"/>
  <c r="T13" i="17"/>
  <c r="T16" i="17" s="1"/>
  <c r="T17" i="17" s="1"/>
  <c r="R60" i="18"/>
  <c r="T11" i="17"/>
  <c r="W14" i="17"/>
  <c r="U61" i="18"/>
  <c r="M11" i="17"/>
  <c r="K60" i="18"/>
  <c r="V14" i="17"/>
  <c r="T61" i="18"/>
  <c r="U14" i="17"/>
  <c r="S61" i="18"/>
  <c r="K8" i="17"/>
  <c r="K42" i="17" s="1"/>
  <c r="K55" i="14"/>
  <c r="I56" i="18" s="1"/>
  <c r="I62" i="18"/>
  <c r="W17" i="17"/>
  <c r="M38" i="14"/>
  <c r="M39" i="14" s="1"/>
  <c r="M13" i="17"/>
  <c r="M16" i="17" s="1"/>
  <c r="M75" i="14"/>
  <c r="M78" i="14" s="1"/>
  <c r="L8" i="17"/>
  <c r="L42" i="17" s="1"/>
  <c r="L55" i="14"/>
  <c r="J56" i="18" s="1"/>
  <c r="J62" i="18"/>
  <c r="N8" i="17"/>
  <c r="N42" i="17" s="1"/>
  <c r="N55" i="14"/>
  <c r="L56" i="18" s="1"/>
  <c r="L62" i="18"/>
  <c r="V40" i="14"/>
  <c r="V41" i="14" s="1"/>
  <c r="V42" i="14" s="1"/>
  <c r="P8" i="17"/>
  <c r="P42" i="17" s="1"/>
  <c r="N62" i="18"/>
  <c r="P55" i="14"/>
  <c r="N56" i="18" s="1"/>
  <c r="U40" i="14"/>
  <c r="U41" i="14" s="1"/>
  <c r="U42" i="14" s="1"/>
  <c r="I8" i="17"/>
  <c r="I42" i="17" s="1"/>
  <c r="I55" i="14"/>
  <c r="G56" i="18" s="1"/>
  <c r="G62" i="18"/>
  <c r="I45" i="14"/>
  <c r="I66" i="14" s="1"/>
  <c r="I67" i="14" s="1"/>
  <c r="I71" i="14" s="1"/>
  <c r="G58" i="18" s="1"/>
  <c r="J43" i="14"/>
  <c r="J45" i="14" s="1"/>
  <c r="W40" i="14"/>
  <c r="W41" i="14" s="1"/>
  <c r="W42" i="14" s="1"/>
  <c r="V17" i="17"/>
  <c r="R8" i="17"/>
  <c r="R42" i="17" s="1"/>
  <c r="R55" i="14"/>
  <c r="P56" i="18" s="1"/>
  <c r="P62" i="18"/>
  <c r="N35" i="17"/>
  <c r="N47" i="17" s="1"/>
  <c r="N48" i="17" s="1"/>
  <c r="L33" i="18"/>
  <c r="S8" i="17"/>
  <c r="S42" i="17" s="1"/>
  <c r="S55" i="14"/>
  <c r="Q56" i="18" s="1"/>
  <c r="Q62" i="18"/>
  <c r="Q8" i="17"/>
  <c r="Q42" i="17" s="1"/>
  <c r="Q55" i="14"/>
  <c r="O56" i="18" s="1"/>
  <c r="O62" i="18"/>
  <c r="M35" i="18"/>
  <c r="M29" i="18"/>
  <c r="J29" i="18"/>
  <c r="J35" i="18"/>
  <c r="N14" i="18"/>
  <c r="P62" i="14"/>
  <c r="P63" i="14" s="1"/>
  <c r="P70" i="14" s="1"/>
  <c r="P76" i="14"/>
  <c r="P78" i="14" s="1"/>
  <c r="J8" i="17"/>
  <c r="J42" i="17" s="1"/>
  <c r="H62" i="18"/>
  <c r="J55" i="14"/>
  <c r="H56" i="18" s="1"/>
  <c r="J35" i="17"/>
  <c r="J47" i="17" s="1"/>
  <c r="J48" i="17" s="1"/>
  <c r="H33" i="18"/>
  <c r="P14" i="18"/>
  <c r="R76" i="14"/>
  <c r="R78" i="14" s="1"/>
  <c r="R62" i="14"/>
  <c r="R63" i="14" s="1"/>
  <c r="R70" i="14" s="1"/>
  <c r="Q14" i="18"/>
  <c r="S76" i="14"/>
  <c r="S78" i="14" s="1"/>
  <c r="S62" i="14"/>
  <c r="S63" i="14" s="1"/>
  <c r="S70" i="14" s="1"/>
  <c r="I29" i="18"/>
  <c r="I35" i="18"/>
  <c r="O8" i="17"/>
  <c r="O42" i="17" s="1"/>
  <c r="M62" i="18"/>
  <c r="O55" i="14"/>
  <c r="M56" i="18" s="1"/>
  <c r="G29" i="18"/>
  <c r="G35" i="18"/>
  <c r="K35" i="17"/>
  <c r="K47" i="17" s="1"/>
  <c r="K48" i="17" s="1"/>
  <c r="I33" i="18"/>
  <c r="O35" i="17"/>
  <c r="O47" i="17" s="1"/>
  <c r="O48" i="17" s="1"/>
  <c r="M33" i="18"/>
  <c r="H29" i="18"/>
  <c r="H35" i="18"/>
  <c r="O14" i="18"/>
  <c r="Q62" i="14"/>
  <c r="Q63" i="14" s="1"/>
  <c r="Q70" i="14" s="1"/>
  <c r="Q76" i="14"/>
  <c r="Q78" i="14" s="1"/>
  <c r="L29" i="18"/>
  <c r="L35" i="18"/>
  <c r="I35" i="17"/>
  <c r="G33" i="18"/>
  <c r="D90" i="6"/>
  <c r="E90" i="6" s="1"/>
  <c r="F90" i="6" s="1"/>
  <c r="J33" i="18" l="1"/>
  <c r="T39" i="14"/>
  <c r="T40" i="14"/>
  <c r="T14" i="17"/>
  <c r="R61" i="18"/>
  <c r="I47" i="17"/>
  <c r="I48" i="17" s="1"/>
  <c r="M14" i="17"/>
  <c r="K61" i="18"/>
  <c r="W8" i="17"/>
  <c r="W42" i="17" s="1"/>
  <c r="W55" i="14"/>
  <c r="U56" i="18" s="1"/>
  <c r="U62" i="18"/>
  <c r="U8" i="17"/>
  <c r="U42" i="17" s="1"/>
  <c r="S62" i="18"/>
  <c r="U55" i="14"/>
  <c r="S56" i="18" s="1"/>
  <c r="S7" i="17"/>
  <c r="Q24" i="18"/>
  <c r="Q64" i="18"/>
  <c r="V8" i="17"/>
  <c r="V42" i="17" s="1"/>
  <c r="T62" i="18"/>
  <c r="V55" i="14"/>
  <c r="T56" i="18" s="1"/>
  <c r="M90" i="14"/>
  <c r="K32" i="18" s="1"/>
  <c r="M82" i="14"/>
  <c r="Q90" i="14"/>
  <c r="O32" i="18" s="1"/>
  <c r="Q82" i="14"/>
  <c r="K43" i="14"/>
  <c r="K45" i="14" s="1"/>
  <c r="J66" i="14"/>
  <c r="J67" i="14" s="1"/>
  <c r="Q7" i="17"/>
  <c r="O24" i="18"/>
  <c r="O64" i="18"/>
  <c r="S14" i="18"/>
  <c r="U62" i="14"/>
  <c r="U63" i="14" s="1"/>
  <c r="U70" i="14" s="1"/>
  <c r="U76" i="14"/>
  <c r="U78" i="14" s="1"/>
  <c r="M17" i="17"/>
  <c r="M28" i="17"/>
  <c r="M41" i="14"/>
  <c r="M42" i="14" s="1"/>
  <c r="U14" i="18"/>
  <c r="W76" i="14"/>
  <c r="W78" i="14" s="1"/>
  <c r="W62" i="14"/>
  <c r="W63" i="14" s="1"/>
  <c r="W70" i="14" s="1"/>
  <c r="T14" i="18"/>
  <c r="V62" i="14"/>
  <c r="V63" i="14" s="1"/>
  <c r="V70" i="14" s="1"/>
  <c r="V76" i="14"/>
  <c r="V78" i="14" s="1"/>
  <c r="R7" i="17"/>
  <c r="P24" i="18"/>
  <c r="P64" i="18"/>
  <c r="P90" i="14"/>
  <c r="N32" i="18" s="1"/>
  <c r="P82" i="14"/>
  <c r="P7" i="17"/>
  <c r="N24" i="18"/>
  <c r="N64" i="18"/>
  <c r="S90" i="14"/>
  <c r="Q32" i="18" s="1"/>
  <c r="S82" i="14"/>
  <c r="R82" i="14"/>
  <c r="R90" i="14"/>
  <c r="P32" i="18" s="1"/>
  <c r="I43" i="17"/>
  <c r="G25" i="18"/>
  <c r="I68" i="14"/>
  <c r="G26" i="18" s="1"/>
  <c r="B91" i="6"/>
  <c r="P57" i="14"/>
  <c r="P59" i="14" s="1"/>
  <c r="M102" i="4"/>
  <c r="T76" i="14" l="1"/>
  <c r="T78" i="14" s="1"/>
  <c r="T41" i="14"/>
  <c r="T62" i="14"/>
  <c r="T63" i="14" s="1"/>
  <c r="R14" i="18"/>
  <c r="P64" i="14"/>
  <c r="P69" i="14" s="1"/>
  <c r="N63" i="18" s="1"/>
  <c r="N23" i="18"/>
  <c r="I44" i="17"/>
  <c r="G98" i="18"/>
  <c r="H25" i="18"/>
  <c r="J68" i="14"/>
  <c r="H26" i="18" s="1"/>
  <c r="J43" i="17"/>
  <c r="J71" i="14"/>
  <c r="H58" i="18" s="1"/>
  <c r="N35" i="18"/>
  <c r="N29" i="18"/>
  <c r="U90" i="14"/>
  <c r="S32" i="18" s="1"/>
  <c r="U82" i="14"/>
  <c r="O34" i="18"/>
  <c r="Q25" i="17"/>
  <c r="V90" i="14"/>
  <c r="T32" i="18" s="1"/>
  <c r="V82" i="14"/>
  <c r="V7" i="17"/>
  <c r="T24" i="18"/>
  <c r="T64" i="18"/>
  <c r="L43" i="14"/>
  <c r="L45" i="14" s="1"/>
  <c r="K66" i="14"/>
  <c r="K67" i="14" s="1"/>
  <c r="O35" i="18"/>
  <c r="O29" i="18"/>
  <c r="W7" i="17"/>
  <c r="U24" i="18"/>
  <c r="U64" i="18"/>
  <c r="W82" i="14"/>
  <c r="W90" i="14"/>
  <c r="U32" i="18" s="1"/>
  <c r="M8" i="17"/>
  <c r="M42" i="17" s="1"/>
  <c r="K62" i="18"/>
  <c r="M55" i="14"/>
  <c r="K56" i="18" s="1"/>
  <c r="K29" i="18"/>
  <c r="K35" i="18"/>
  <c r="U7" i="17"/>
  <c r="S24" i="18"/>
  <c r="S64" i="18"/>
  <c r="R25" i="17"/>
  <c r="P34" i="18"/>
  <c r="Q34" i="18"/>
  <c r="S25" i="17"/>
  <c r="P35" i="18"/>
  <c r="P29" i="18"/>
  <c r="M35" i="17"/>
  <c r="K33" i="18"/>
  <c r="P25" i="17"/>
  <c r="N34" i="18"/>
  <c r="Q35" i="18"/>
  <c r="Q29" i="18"/>
  <c r="D91" i="6"/>
  <c r="E91" i="6" s="1"/>
  <c r="F91" i="6" s="1"/>
  <c r="T42" i="14" l="1"/>
  <c r="R62" i="18" s="1"/>
  <c r="T55" i="14"/>
  <c r="R56" i="18" s="1"/>
  <c r="T8" i="17"/>
  <c r="T42" i="17" s="1"/>
  <c r="T70" i="14"/>
  <c r="R64" i="18" s="1"/>
  <c r="T7" i="17"/>
  <c r="U25" i="17" s="1"/>
  <c r="R24" i="18"/>
  <c r="T90" i="14"/>
  <c r="R32" i="18" s="1"/>
  <c r="T82" i="14"/>
  <c r="J44" i="17"/>
  <c r="H98" i="18"/>
  <c r="S34" i="18"/>
  <c r="T29" i="18"/>
  <c r="T35" i="18"/>
  <c r="S29" i="18"/>
  <c r="S35" i="18"/>
  <c r="P26" i="17"/>
  <c r="P28" i="17"/>
  <c r="V25" i="17"/>
  <c r="T34" i="18"/>
  <c r="Q26" i="17"/>
  <c r="Q28" i="17"/>
  <c r="R28" i="17"/>
  <c r="R26" i="17"/>
  <c r="M47" i="17"/>
  <c r="M48" i="17" s="1"/>
  <c r="U29" i="18"/>
  <c r="U35" i="18"/>
  <c r="S26" i="17"/>
  <c r="S28" i="17"/>
  <c r="W25" i="17"/>
  <c r="U34" i="18"/>
  <c r="K43" i="17"/>
  <c r="I25" i="18"/>
  <c r="K68" i="14"/>
  <c r="I26" i="18" s="1"/>
  <c r="K71" i="14"/>
  <c r="I58" i="18" s="1"/>
  <c r="M43" i="14"/>
  <c r="M45" i="14" s="1"/>
  <c r="L66" i="14"/>
  <c r="L67" i="14" s="1"/>
  <c r="B92" i="6"/>
  <c r="Q57" i="14"/>
  <c r="Q59" i="14" s="1"/>
  <c r="N102" i="4"/>
  <c r="R35" i="18" l="1"/>
  <c r="R29" i="18"/>
  <c r="Q64" i="14"/>
  <c r="Q69" i="14" s="1"/>
  <c r="O63" i="18" s="1"/>
  <c r="O23" i="18"/>
  <c r="R34" i="18"/>
  <c r="T25" i="17"/>
  <c r="K44" i="17"/>
  <c r="I98" i="18"/>
  <c r="W26" i="17"/>
  <c r="W28" i="17"/>
  <c r="L43" i="17"/>
  <c r="J25" i="18"/>
  <c r="L71" i="14"/>
  <c r="J58" i="18" s="1"/>
  <c r="L68" i="14"/>
  <c r="J26" i="18" s="1"/>
  <c r="R35" i="17"/>
  <c r="R47" i="17" s="1"/>
  <c r="R48" i="17" s="1"/>
  <c r="P33" i="18"/>
  <c r="M66" i="14"/>
  <c r="M67" i="14" s="1"/>
  <c r="N43" i="14"/>
  <c r="N45" i="14" s="1"/>
  <c r="Q35" i="17"/>
  <c r="Q47" i="17" s="1"/>
  <c r="Q48" i="17" s="1"/>
  <c r="O33" i="18"/>
  <c r="U26" i="17"/>
  <c r="U28" i="17"/>
  <c r="V26" i="17"/>
  <c r="V28" i="17"/>
  <c r="P35" i="17"/>
  <c r="N33" i="18"/>
  <c r="S35" i="17"/>
  <c r="S47" i="17" s="1"/>
  <c r="S48" i="17" s="1"/>
  <c r="Q33" i="18"/>
  <c r="D92" i="6"/>
  <c r="E92" i="6" s="1"/>
  <c r="F92" i="6" s="1"/>
  <c r="T28" i="17" l="1"/>
  <c r="T26" i="17"/>
  <c r="L44" i="17"/>
  <c r="J98" i="18"/>
  <c r="U35" i="17"/>
  <c r="U47" i="17" s="1"/>
  <c r="U48" i="17" s="1"/>
  <c r="S33" i="18"/>
  <c r="M43" i="17"/>
  <c r="K25" i="18"/>
  <c r="M68" i="14"/>
  <c r="K26" i="18" s="1"/>
  <c r="M71" i="14"/>
  <c r="K58" i="18" s="1"/>
  <c r="O43" i="14"/>
  <c r="O45" i="14" s="1"/>
  <c r="N66" i="14"/>
  <c r="N67" i="14" s="1"/>
  <c r="U33" i="18"/>
  <c r="B32" i="17"/>
  <c r="B33" i="17" s="1"/>
  <c r="B34" i="17" s="1"/>
  <c r="W35" i="17"/>
  <c r="W47" i="17" s="1"/>
  <c r="P47" i="17"/>
  <c r="P48" i="17" s="1"/>
  <c r="V35" i="17"/>
  <c r="V47" i="17" s="1"/>
  <c r="V48" i="17" s="1"/>
  <c r="T33" i="18"/>
  <c r="R57" i="14"/>
  <c r="R59" i="14" s="1"/>
  <c r="B93" i="6"/>
  <c r="O102" i="4"/>
  <c r="B90" i="18" l="1"/>
  <c r="R64" i="14"/>
  <c r="R69" i="14" s="1"/>
  <c r="P63" i="18" s="1"/>
  <c r="P23" i="18"/>
  <c r="T35" i="17"/>
  <c r="T47" i="17" s="1"/>
  <c r="T48" i="17" s="1"/>
  <c r="R33" i="18"/>
  <c r="W48" i="17"/>
  <c r="B50" i="17" s="1"/>
  <c r="M44" i="17"/>
  <c r="K98" i="18"/>
  <c r="N43" i="17"/>
  <c r="L25" i="18"/>
  <c r="N68" i="14"/>
  <c r="L26" i="18" s="1"/>
  <c r="N71" i="14"/>
  <c r="L58" i="18" s="1"/>
  <c r="P43" i="14"/>
  <c r="P45" i="14" s="1"/>
  <c r="O66" i="14"/>
  <c r="O67" i="14" s="1"/>
  <c r="D93" i="6"/>
  <c r="E93" i="6" s="1"/>
  <c r="F93" i="6" s="1"/>
  <c r="B37" i="17" l="1"/>
  <c r="B49" i="17"/>
  <c r="N44" i="17"/>
  <c r="L98" i="18"/>
  <c r="O43" i="17"/>
  <c r="M25" i="18"/>
  <c r="O68" i="14"/>
  <c r="M26" i="18" s="1"/>
  <c r="O71" i="14"/>
  <c r="M58" i="18" s="1"/>
  <c r="Q43" i="14"/>
  <c r="Q45" i="14" s="1"/>
  <c r="P66" i="14"/>
  <c r="P67" i="14" s="1"/>
  <c r="B94" i="6"/>
  <c r="S57" i="14"/>
  <c r="S59" i="14" s="1"/>
  <c r="P102" i="4"/>
  <c r="B89" i="18" l="1"/>
  <c r="B51" i="17"/>
  <c r="S64" i="14"/>
  <c r="S69" i="14" s="1"/>
  <c r="Q63" i="18" s="1"/>
  <c r="Q23" i="18"/>
  <c r="O44" i="17"/>
  <c r="M98" i="18"/>
  <c r="P43" i="17"/>
  <c r="N25" i="18"/>
  <c r="P68" i="14"/>
  <c r="N26" i="18" s="1"/>
  <c r="P71" i="14"/>
  <c r="N58" i="18" s="1"/>
  <c r="R43" i="14"/>
  <c r="R45" i="14" s="1"/>
  <c r="Q66" i="14"/>
  <c r="Q67" i="14" s="1"/>
  <c r="D94" i="6"/>
  <c r="E94" i="6" s="1"/>
  <c r="F94" i="6" s="1"/>
  <c r="P44" i="17" l="1"/>
  <c r="N98" i="18"/>
  <c r="Q43" i="17"/>
  <c r="O25" i="18"/>
  <c r="Q71" i="14"/>
  <c r="O58" i="18" s="1"/>
  <c r="Q68" i="14"/>
  <c r="O26" i="18" s="1"/>
  <c r="S43" i="14"/>
  <c r="S45" i="14" s="1"/>
  <c r="R66" i="14"/>
  <c r="R67" i="14" s="1"/>
  <c r="T57" i="14"/>
  <c r="T59" i="14" s="1"/>
  <c r="B95" i="6"/>
  <c r="Q102" i="4"/>
  <c r="T64" i="14" l="1"/>
  <c r="T69" i="14" s="1"/>
  <c r="R63" i="18" s="1"/>
  <c r="R23" i="18"/>
  <c r="Q44" i="17"/>
  <c r="O98" i="18"/>
  <c r="R43" i="17"/>
  <c r="P25" i="18"/>
  <c r="R68" i="14"/>
  <c r="P26" i="18" s="1"/>
  <c r="R71" i="14"/>
  <c r="P58" i="18" s="1"/>
  <c r="T43" i="14"/>
  <c r="T45" i="14" s="1"/>
  <c r="S66" i="14"/>
  <c r="S67" i="14" s="1"/>
  <c r="D95" i="6"/>
  <c r="E95" i="6" s="1"/>
  <c r="F95" i="6" s="1"/>
  <c r="R44" i="17" l="1"/>
  <c r="P98" i="18"/>
  <c r="T66" i="14"/>
  <c r="T67" i="14" s="1"/>
  <c r="U43" i="14"/>
  <c r="U45" i="14" s="1"/>
  <c r="S43" i="17"/>
  <c r="Q25" i="18"/>
  <c r="S68" i="14"/>
  <c r="Q26" i="18" s="1"/>
  <c r="S71" i="14"/>
  <c r="Q58" i="18" s="1"/>
  <c r="B96" i="6"/>
  <c r="R102" i="4"/>
  <c r="U57" i="14"/>
  <c r="U59" i="14" s="1"/>
  <c r="U64" i="14" l="1"/>
  <c r="S23" i="18"/>
  <c r="S44" i="17"/>
  <c r="Q98" i="18"/>
  <c r="V43" i="14"/>
  <c r="V45" i="14" s="1"/>
  <c r="U66" i="14"/>
  <c r="U67" i="14" s="1"/>
  <c r="U68" i="14" s="1"/>
  <c r="S26" i="18" s="1"/>
  <c r="T43" i="17"/>
  <c r="R25" i="18"/>
  <c r="T68" i="14"/>
  <c r="R26" i="18" s="1"/>
  <c r="T71" i="14"/>
  <c r="R58" i="18" s="1"/>
  <c r="U69" i="14"/>
  <c r="S63" i="18" s="1"/>
  <c r="D96" i="6"/>
  <c r="E96" i="6" s="1"/>
  <c r="F96" i="6" s="1"/>
  <c r="T44" i="17" l="1"/>
  <c r="R98" i="18"/>
  <c r="U43" i="17"/>
  <c r="S25" i="18"/>
  <c r="U71" i="14"/>
  <c r="S58" i="18" s="1"/>
  <c r="V66" i="14"/>
  <c r="V67" i="14" s="1"/>
  <c r="W43" i="14"/>
  <c r="W45" i="14" s="1"/>
  <c r="W66" i="14" s="1"/>
  <c r="W67" i="14" s="1"/>
  <c r="V57" i="14"/>
  <c r="V59" i="14" s="1"/>
  <c r="B97" i="6"/>
  <c r="S102" i="4"/>
  <c r="V64" i="14" l="1"/>
  <c r="T23" i="18"/>
  <c r="U44" i="17"/>
  <c r="S98" i="18"/>
  <c r="V43" i="17"/>
  <c r="T25" i="18"/>
  <c r="V71" i="14"/>
  <c r="T58" i="18" s="1"/>
  <c r="W43" i="17"/>
  <c r="U25" i="18"/>
  <c r="W71" i="14"/>
  <c r="U58" i="18" s="1"/>
  <c r="V69" i="14"/>
  <c r="T63" i="18" s="1"/>
  <c r="V68" i="14"/>
  <c r="T26" i="18" s="1"/>
  <c r="D97" i="6"/>
  <c r="E97" i="6" s="1"/>
  <c r="F97" i="6" s="1"/>
  <c r="W44" i="17" l="1"/>
  <c r="U98" i="18"/>
  <c r="V44" i="17"/>
  <c r="T98" i="18"/>
  <c r="W57" i="14"/>
  <c r="W59" i="14" s="1"/>
  <c r="T102" i="4"/>
  <c r="W64" i="14" l="1"/>
  <c r="W69" i="14" s="1"/>
  <c r="U63" i="18" s="1"/>
  <c r="U23" i="18"/>
  <c r="W68" i="14"/>
  <c r="U26" i="18" s="1"/>
  <c r="B91" i="18"/>
  <c r="U96" i="18" s="1"/>
  <c r="B38" i="17"/>
  <c r="T99" i="18"/>
  <c r="N99" i="18"/>
  <c r="R99" i="18"/>
  <c r="I99" i="18"/>
  <c r="L99" i="18"/>
  <c r="O99" i="18"/>
  <c r="Q99" i="18"/>
  <c r="G99" i="18"/>
  <c r="H99" i="18"/>
  <c r="M99" i="18"/>
  <c r="P99" i="18"/>
  <c r="S99" i="18"/>
  <c r="U99" i="18"/>
  <c r="J99" i="18"/>
  <c r="K99" i="18"/>
  <c r="B92" i="18" l="1"/>
  <c r="P96" i="18"/>
  <c r="Q96" i="18"/>
  <c r="M97" i="18"/>
  <c r="I96" i="18"/>
  <c r="H96" i="18"/>
  <c r="L97" i="18"/>
  <c r="K96" i="18"/>
  <c r="R97" i="18"/>
  <c r="Q97" i="18"/>
  <c r="I97" i="18"/>
  <c r="T96" i="18"/>
  <c r="M96" i="18"/>
  <c r="O96" i="18"/>
  <c r="U97" i="18"/>
  <c r="S97" i="18"/>
  <c r="G96" i="18"/>
  <c r="N96" i="18"/>
  <c r="B93" i="18"/>
  <c r="L96" i="18"/>
  <c r="H97" i="18"/>
  <c r="G97" i="18"/>
  <c r="S96" i="18"/>
  <c r="J97" i="18"/>
  <c r="T97" i="18"/>
  <c r="P97" i="18"/>
  <c r="J96" i="18"/>
  <c r="O97" i="18"/>
  <c r="K97" i="18"/>
  <c r="R96" i="18"/>
  <c r="N97" i="18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<sst xmlns="http://schemas.openxmlformats.org/spreadsheetml/2006/main" count="1838" uniqueCount="897">
  <si>
    <t>INPUTS</t>
  </si>
  <si>
    <t>ROOMS</t>
  </si>
  <si>
    <t>Double</t>
  </si>
  <si>
    <t>Single</t>
  </si>
  <si>
    <t>Deluxe</t>
  </si>
  <si>
    <t>Suite</t>
  </si>
  <si>
    <t>Intensive Care</t>
  </si>
  <si>
    <t>TOTAL</t>
  </si>
  <si>
    <t># of Rooms</t>
  </si>
  <si>
    <t># of Beds</t>
  </si>
  <si>
    <t>Licensed Beds</t>
  </si>
  <si>
    <t>FY 2026-27</t>
  </si>
  <si>
    <t>FY 2027-28</t>
  </si>
  <si>
    <t>FY 2028-29</t>
  </si>
  <si>
    <t>FY 2029-30</t>
  </si>
  <si>
    <t>FY 2030-31</t>
  </si>
  <si>
    <t>FY 2031-32</t>
  </si>
  <si>
    <t>FY 2032-33</t>
  </si>
  <si>
    <t>PERIOD TYPE</t>
  </si>
  <si>
    <t>Forecast</t>
  </si>
  <si>
    <t>FY 2033-34</t>
  </si>
  <si>
    <t>FY 2034-35</t>
  </si>
  <si>
    <t>FY 2035-36</t>
  </si>
  <si>
    <t>Period Start - End</t>
  </si>
  <si>
    <t>Period Number</t>
  </si>
  <si>
    <r>
      <t>%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ACTIVE BEDS</t>
    </r>
  </si>
  <si>
    <t>ROOM PRICING %  Increase (YoY)</t>
  </si>
  <si>
    <t>Emergency</t>
  </si>
  <si>
    <t>Appointment</t>
  </si>
  <si>
    <t>Emergency Split Into :</t>
  </si>
  <si>
    <t>Diagnostic Exams</t>
  </si>
  <si>
    <t>Emergency =&gt; Inpatients :</t>
  </si>
  <si>
    <t>Appointment Split Into:</t>
  </si>
  <si>
    <t>2.1] Outpatient Admissions =&gt;</t>
  </si>
  <si>
    <t>2.2] Pricing =&gt;</t>
  </si>
  <si>
    <t>Consultation Split Into</t>
  </si>
  <si>
    <t xml:space="preserve">Other 3  </t>
  </si>
  <si>
    <t xml:space="preserve">Other 4  </t>
  </si>
  <si>
    <t>Other 5</t>
  </si>
  <si>
    <r>
      <rPr>
        <b/>
        <sz val="11"/>
        <color theme="1"/>
        <rFont val="Aptos Narrow"/>
        <family val="2"/>
        <scheme val="minor"/>
      </rPr>
      <t>Emergency</t>
    </r>
    <r>
      <rPr>
        <sz val="11"/>
        <color theme="1"/>
        <rFont val="Aptos Narrow"/>
        <family val="2"/>
        <scheme val="minor"/>
      </rPr>
      <t xml:space="preserve"> revenue ₹/consultation/patient</t>
    </r>
  </si>
  <si>
    <t>Diagnostic Split Into</t>
  </si>
  <si>
    <t xml:space="preserve">CT Scan  </t>
  </si>
  <si>
    <t xml:space="preserve">PET scan  </t>
  </si>
  <si>
    <t xml:space="preserve">MRI  </t>
  </si>
  <si>
    <t xml:space="preserve">Xray  </t>
  </si>
  <si>
    <t xml:space="preserve">Mammogram  </t>
  </si>
  <si>
    <t xml:space="preserve">Ultrasound  </t>
  </si>
  <si>
    <t xml:space="preserve">ECG  </t>
  </si>
  <si>
    <t xml:space="preserve">Echo  </t>
  </si>
  <si>
    <t xml:space="preserve">TMT (Treadmill test)  </t>
  </si>
  <si>
    <t xml:space="preserve">Bio Chemistry  </t>
  </si>
  <si>
    <t xml:space="preserve">Bacteriology  </t>
  </si>
  <si>
    <t xml:space="preserve">Histopathology  </t>
  </si>
  <si>
    <t xml:space="preserve">Hematolgy  </t>
  </si>
  <si>
    <t>Inflation per year</t>
  </si>
  <si>
    <t>Infaltion factor</t>
  </si>
  <si>
    <t>Inflation factor</t>
  </si>
  <si>
    <t>%</t>
  </si>
  <si>
    <t>CRITICAL OPERATION MULTIPLIER</t>
  </si>
  <si>
    <t>Minor</t>
  </si>
  <si>
    <t>Major</t>
  </si>
  <si>
    <t>Critical</t>
  </si>
  <si>
    <t>2.4} PHARMACY</t>
  </si>
  <si>
    <t>2.3} INTPATIENTS</t>
  </si>
  <si>
    <t>Total Outpatient</t>
  </si>
  <si>
    <t>Total Inpatients</t>
  </si>
  <si>
    <t>% Outpatient using pharmacy</t>
  </si>
  <si>
    <t>% Inpatient using pharmacy</t>
  </si>
  <si>
    <t>Pharmacy Revenues - Oupatient</t>
  </si>
  <si>
    <t>Pharmacy Revenues - Inpatient</t>
  </si>
  <si>
    <t>Total Pharmacy Revenues</t>
  </si>
  <si>
    <t>% using Ambulatory Services</t>
  </si>
  <si>
    <t>Charge per Ambulance Usage</t>
  </si>
  <si>
    <t>Ambulatory Services Revenues</t>
  </si>
  <si>
    <t>AMBULATORY SERVICE REVENUES</t>
  </si>
  <si>
    <t>Total Outpatients</t>
  </si>
  <si>
    <t xml:space="preserve">Total Patients </t>
  </si>
  <si>
    <t>Avg. visitor per Outpatient</t>
  </si>
  <si>
    <t>Avg. visitor per Inpatient</t>
  </si>
  <si>
    <t>Total potential cafeteria users</t>
  </si>
  <si>
    <t>% using Cafeteria</t>
  </si>
  <si>
    <t>Avg. Purchase from Cafeteria</t>
  </si>
  <si>
    <t>Food &amp; Beverage Revenues</t>
  </si>
  <si>
    <t>2.5} AMBULATORY SERVICES</t>
  </si>
  <si>
    <t>2.6} FOOD AND BEVERAGE</t>
  </si>
  <si>
    <t>2.7} PARKING</t>
  </si>
  <si>
    <t>% using Parking</t>
  </si>
  <si>
    <t>Avg. Parking Fee</t>
  </si>
  <si>
    <t>PARKING REVENUES</t>
  </si>
  <si>
    <t>Cafeterias</t>
  </si>
  <si>
    <t>Pharmacies</t>
  </si>
  <si>
    <t>Diagnostic centers</t>
  </si>
  <si>
    <t>Medical equipment shops</t>
  </si>
  <si>
    <t>Optical or lab franchises</t>
  </si>
  <si>
    <t>ATM kiosks</t>
  </si>
  <si>
    <t>Gift shops</t>
  </si>
  <si>
    <t>2.7} OTHER RENTALS</t>
  </si>
  <si>
    <t>Total Outpatient Revenues</t>
  </si>
  <si>
    <t>Total Inpatient Revenues</t>
  </si>
  <si>
    <t>Parking Revenues</t>
  </si>
  <si>
    <t>Total Rentals</t>
  </si>
  <si>
    <t>2.2} OUTPATIENTS</t>
  </si>
  <si>
    <t>2.1} ROOMS/BEDS</t>
  </si>
  <si>
    <t>Total FTEs Doctors</t>
  </si>
  <si>
    <t>Part Time / On Call Doctors Headcount</t>
  </si>
  <si>
    <t>Nurses &amp; Paramedics</t>
  </si>
  <si>
    <t>Total Admins</t>
  </si>
  <si>
    <t>Number of FTEs</t>
  </si>
  <si>
    <t>Operations (Surgeries)</t>
  </si>
  <si>
    <t>Number of Surgeons</t>
  </si>
  <si>
    <t>Consultant Surgeons</t>
  </si>
  <si>
    <t>Associate Specialist Surgeons</t>
  </si>
  <si>
    <t>Specialty Surgeons</t>
  </si>
  <si>
    <t>Core Training Doctors</t>
  </si>
  <si>
    <t>Foundation Doctors</t>
  </si>
  <si>
    <t>Total Surgeons Salaries</t>
  </si>
  <si>
    <t>% Cut from Operations</t>
  </si>
  <si>
    <t>Operations' Revenues</t>
  </si>
  <si>
    <t>Surgeons Bonuses</t>
  </si>
  <si>
    <t xml:space="preserve">TOTAL SURGEON COMPENSATION </t>
  </si>
  <si>
    <t>Total Active Beds (Act. Beds / Year)</t>
  </si>
  <si>
    <t>Doctors per Bed</t>
  </si>
  <si>
    <t xml:space="preserve">DOCTORS </t>
  </si>
  <si>
    <t>Medical Director</t>
  </si>
  <si>
    <t xml:space="preserve">Head of Department </t>
  </si>
  <si>
    <t>Attending Physician</t>
  </si>
  <si>
    <t>Fellow</t>
  </si>
  <si>
    <t xml:space="preserve">Chief Resident </t>
  </si>
  <si>
    <t>Senior Resident</t>
  </si>
  <si>
    <t>Junior Resident</t>
  </si>
  <si>
    <t>Intern</t>
  </si>
  <si>
    <t>TOTAL DOCTOR'S SALARIES</t>
  </si>
  <si>
    <t>% Bonus</t>
  </si>
  <si>
    <t>Total Inpatient &amp; Outpatient Revenues (ex Surgeons)</t>
  </si>
  <si>
    <t>Doctor Bonuses</t>
  </si>
  <si>
    <t>Total Doctors' Compensation</t>
  </si>
  <si>
    <t>TOTAL DOCTOR'S COMPENSATION</t>
  </si>
  <si>
    <t>2.2] DOCTORS (NON SURGEONS)</t>
  </si>
  <si>
    <t>2.2]  PART TIME/ ON CALL DOCTORS</t>
  </si>
  <si>
    <t>Part Time / On Call Doctors Cost per Year (Based on Hours)</t>
  </si>
  <si>
    <t>Part Time / On Call Doctors Compensation</t>
  </si>
  <si>
    <t>Total Active Beds</t>
  </si>
  <si>
    <t>Nurses &amp; Paramedics per Bed</t>
  </si>
  <si>
    <t>Chief Nursing Officer</t>
  </si>
  <si>
    <t>Directors</t>
  </si>
  <si>
    <t>Nurse Manager</t>
  </si>
  <si>
    <t>Advanced Nurse Practitioner</t>
  </si>
  <si>
    <t>Nurse Practitioner</t>
  </si>
  <si>
    <t>Staff Nurse</t>
  </si>
  <si>
    <t>Practical Nurse</t>
  </si>
  <si>
    <t>Avg. Nurses &amp; Paramedics' Salaries</t>
  </si>
  <si>
    <t>TOTAL NURSES AND PARAMEDICS SALARIES</t>
  </si>
  <si>
    <t>2.3}  NURSES AND PARAMEDICS</t>
  </si>
  <si>
    <t>2.4]  ADMIN (FRONT OFFICE AND CUSTOMER SERVICE)</t>
  </si>
  <si>
    <t>Admins per Bed</t>
  </si>
  <si>
    <t>Operations Director</t>
  </si>
  <si>
    <t>Operations Manager</t>
  </si>
  <si>
    <t>Office Manager</t>
  </si>
  <si>
    <t>Office Administrator</t>
  </si>
  <si>
    <t>Data Entry Clerk</t>
  </si>
  <si>
    <t>Office Assistan</t>
  </si>
  <si>
    <t>Receptionist</t>
  </si>
  <si>
    <t>Avg. Admins' Salaries</t>
  </si>
  <si>
    <t>ESTIMATTED ADMIN SALARIES</t>
  </si>
  <si>
    <t>SUM</t>
  </si>
  <si>
    <t>Total Surgeons Compensation</t>
  </si>
  <si>
    <t>Total Doctors</t>
  </si>
  <si>
    <t>Nurses &amp; Paramedics' Salaries</t>
  </si>
  <si>
    <t>Admins' Salaries</t>
  </si>
  <si>
    <t>Salary Costs</t>
  </si>
  <si>
    <t>Inflation Factor</t>
  </si>
  <si>
    <t>Medical Material Expenses</t>
  </si>
  <si>
    <t>Medical Material Expenses (Operations)</t>
  </si>
  <si>
    <t>Medical Material Expenses (Hospitalizations)</t>
  </si>
  <si>
    <t>Medical Material Expenses (Consultation)</t>
  </si>
  <si>
    <t>Medical Material Expenses (Diagnostics)</t>
  </si>
  <si>
    <t>% Cost Margin</t>
  </si>
  <si>
    <t>Pharmacy Costs</t>
  </si>
  <si>
    <t>Ambulatory Services Costs</t>
  </si>
  <si>
    <t>Food &amp; Beverage Costs</t>
  </si>
  <si>
    <t>Parking Costs</t>
  </si>
  <si>
    <t>Other Rentals Costs</t>
  </si>
  <si>
    <t>Other material (non-medical) expenses</t>
  </si>
  <si>
    <t>Total Direct Expenses</t>
  </si>
  <si>
    <t>2.1} SALARIES</t>
  </si>
  <si>
    <t>2.5} PHARMACY</t>
  </si>
  <si>
    <t>2.6} AMBULATORY SERVICES</t>
  </si>
  <si>
    <t>2.7} FOOD AND BEVERAGES</t>
  </si>
  <si>
    <t>2.8} PARKING</t>
  </si>
  <si>
    <t>2.9} OTHER RENTALS</t>
  </si>
  <si>
    <t>2.10} OTHER MATERIAL (NON - MEDICAL) EXPENSES</t>
  </si>
  <si>
    <t>Department</t>
  </si>
  <si>
    <t>CEO</t>
  </si>
  <si>
    <t>Sales</t>
  </si>
  <si>
    <t>Finance Dept &amp; Accounting</t>
  </si>
  <si>
    <t>Marketing</t>
  </si>
  <si>
    <t>Operations</t>
  </si>
  <si>
    <t>Quality</t>
  </si>
  <si>
    <t>Human Resources</t>
  </si>
  <si>
    <t>Legal</t>
  </si>
  <si>
    <t>Project Development</t>
  </si>
  <si>
    <t>Technical Department</t>
  </si>
  <si>
    <t>Business Development</t>
  </si>
  <si>
    <t>IT</t>
  </si>
  <si>
    <t>STAFF HEADCOUNT</t>
  </si>
  <si>
    <t>3.2} STAFF COSTS</t>
  </si>
  <si>
    <t xml:space="preserve">3.1} ADMIN AND OVERHEAD EXPENSES </t>
  </si>
  <si>
    <t>ADMINISTRATIVE COSTS</t>
  </si>
  <si>
    <t>3.3} OTHER NON - SALARY COSTS</t>
  </si>
  <si>
    <t>Gifts to staff &amp; Training Expenses</t>
  </si>
  <si>
    <t>HR Expenses (events &amp; others)</t>
  </si>
  <si>
    <t>Housing Employees</t>
  </si>
  <si>
    <t>Other Non Salary Costs</t>
  </si>
  <si>
    <t>OTHER NON SALARY  COSTS</t>
  </si>
  <si>
    <t>3.4} OTHER ADMIN AND OVERHEAD EXPENSES</t>
  </si>
  <si>
    <t>General Maintenance (Gardening, Lamps, etc…)</t>
  </si>
  <si>
    <t>Other General Facility Management (Cleaning, Security)</t>
  </si>
  <si>
    <t>Insurance</t>
  </si>
  <si>
    <t>Facility Related Costs</t>
  </si>
  <si>
    <t>Electricity</t>
  </si>
  <si>
    <t>Water</t>
  </si>
  <si>
    <t>Phone &amp; Internet</t>
  </si>
  <si>
    <t>Utilities</t>
  </si>
  <si>
    <t>Travelling Costs</t>
  </si>
  <si>
    <t>Advertising Costs</t>
  </si>
  <si>
    <t>Travel &amp; PR Costs</t>
  </si>
  <si>
    <t>Rent</t>
  </si>
  <si>
    <t>Rent Costs</t>
  </si>
  <si>
    <t>Legal Outsourcing</t>
  </si>
  <si>
    <t>Auditing</t>
  </si>
  <si>
    <t>Tax compliance &amp; Tax planning</t>
  </si>
  <si>
    <t>Payroll Service &amp; Labor Representative &amp; Civil resp.</t>
  </si>
  <si>
    <t>IT Expenses &amp; Licenses</t>
  </si>
  <si>
    <t>Recruitment agency</t>
  </si>
  <si>
    <t>Marketing Services</t>
  </si>
  <si>
    <t>Other Third Parties Provisions</t>
  </si>
  <si>
    <t>Outsourced Costs</t>
  </si>
  <si>
    <t>3.4} SUMMARY</t>
  </si>
  <si>
    <t>Aministrative Costs</t>
  </si>
  <si>
    <t>Total Indirect Expenses</t>
  </si>
  <si>
    <t>4.1} TAX ASSUMPTIONS</t>
  </si>
  <si>
    <t>Tax Rate</t>
  </si>
  <si>
    <t>Tax Loss Carry Forward Balance</t>
  </si>
  <si>
    <t>Tax Loss Carry Forward Validity</t>
  </si>
  <si>
    <t>Inflation on Revenues</t>
  </si>
  <si>
    <t>Inflation on Costs</t>
  </si>
  <si>
    <t>4.2} INFLATION ASSUMPTIONS</t>
  </si>
  <si>
    <t>4.3} REVENUE</t>
  </si>
  <si>
    <t>4.4} DIRECT EXPENSES / COSS (COST OF SERVICES SOLD)</t>
  </si>
  <si>
    <t>4.5} INDIRECT EXPENSES (ADMIN EXPENSES)</t>
  </si>
  <si>
    <t>4.6} NON - CURRENT ASSETS</t>
  </si>
  <si>
    <t xml:space="preserve">4.6.1]  EXISTING ASSETS </t>
  </si>
  <si>
    <t>4.6.1.1]  INVESTMENT COSTS</t>
  </si>
  <si>
    <t>Cardiology</t>
  </si>
  <si>
    <t>High-margin procedures (angioplasty, echo, cath lab), massive chronic disease base</t>
  </si>
  <si>
    <t>Diabetes</t>
  </si>
  <si>
    <t>Long-term outpatient base, lab-dependent (drives pathology), low infra cost</t>
  </si>
  <si>
    <t>ENT (Ear, Nose, Throat)</t>
  </si>
  <si>
    <t>Medium setup cost, high volume, supports outpatient/daycare revenue</t>
  </si>
  <si>
    <t>Gastroenterology</t>
  </si>
  <si>
    <t>Endoscopy/colonoscopy services are profitable, often leads to IPD referrals</t>
  </si>
  <si>
    <t>Orthopaedics</t>
  </si>
  <si>
    <t>Joint replacements, trauma care—high volume and insurance coverage</t>
  </si>
  <si>
    <t>Pulmonary</t>
  </si>
  <si>
    <t>Post-COVID respiratory care still in demand, low setup cost, outpatient-driven</t>
  </si>
  <si>
    <t>Pathology</t>
  </si>
  <si>
    <t>Mandatory core service that supports all other departments</t>
  </si>
  <si>
    <t>Neurology</t>
  </si>
  <si>
    <t>Common issue in urban India; supports stroke care and expands later into neuro-ICU</t>
  </si>
  <si>
    <t>First point of contact; helps triage to specialties</t>
  </si>
  <si>
    <t xml:space="preserve">General/Internal Medicine </t>
  </si>
  <si>
    <t>Specialty</t>
  </si>
  <si>
    <t>Start By (Year)</t>
  </si>
  <si>
    <t>- ₹60–₹100 Cr upfront cost (LINAC, bunkers, chemo wards) - Oncology ROI is strong but only if hospital has enough referral base (from General Med, Pathology, Neuro, Ortho, ENT) - You’ll need 2–3 years of stable cash flow before investing.</t>
  </si>
  <si>
    <t>- Requires setup of OBGYN infra, maternity ward, OT backup - Ideal to add once Oncology and women’s health OPD volumes are growing - Offers synergy with fertility/IVF services, which can be Year 3–4 targets.</t>
  </si>
  <si>
    <t>Urology</t>
  </si>
  <si>
    <t>- Needs endoscopy suites, lasers, stents &amp; dialysis support - Good margin but requires strong nephrology referrals &amp; surgical staff - Not priority in first two years as volumes start slow unless driven by specific patient clusters.</t>
  </si>
  <si>
    <t>Infectious Disease</t>
  </si>
  <si>
    <t>- May be necessary from public health standpoint but low direct profitability - Useful for NABH/NABL alignment and academic affiliations - Adds resilience but not a cash generator early on.</t>
  </si>
  <si>
    <t>Ophthalmology</t>
  </si>
  <si>
    <t>- Requires specialized surgical gear (Phaco, Lasik, etc.) - Highly volume-driven; hard to be competitive unless standalone or via partnerships - Launch after good outpatient footfall is built.</t>
  </si>
  <si>
    <t>Hematology</t>
  </si>
  <si>
    <t>- Technically advanced (bone marrow biopsies, clotting disorders, transfusion-dependent care) - Often integrated with oncology; needs high consultant availability - Complex lab + clinical integration = late-phase specialty.</t>
  </si>
  <si>
    <t>Head and Neck Surgery</t>
  </si>
  <si>
    <t>- Often overlaps with oncology or ENT cancers (laryngeal, thyroid) - Surgical heavy and specialist-dependent - Add once surgical oncology volumes justify a sub-specialty.</t>
  </si>
  <si>
    <t>Oncology (Medical + Radiation)</t>
  </si>
  <si>
    <t>Department immediately in Operation from Y1</t>
  </si>
  <si>
    <t>Why?</t>
  </si>
  <si>
    <t>1} HOSPITAL FEATURES</t>
  </si>
  <si>
    <t>Location &amp; Facility</t>
  </si>
  <si>
    <t>Situated on a ~2-acre campus in Bangalore’s health-care corridor (e.g., Whitefield/Hebbal)</t>
  </si>
  <si>
    <t>~3 lakh sq ft built-up area over 5–7 floors, including basement parking</t>
  </si>
  <si>
    <t>Bed Capacity &amp; Layout</t>
  </si>
  <si>
    <t>200–250 licensed beds (mix of general ward, semi-private, private rooms)</t>
  </si>
  <si>
    <t>Modular Intensive Care Units (ICU, CCU, NICU) and High-Dependency Units (HDUs)</t>
  </si>
  <si>
    <t>Dedicated Emergency Department with triage, trauma bay, and 24×7 observation beds</t>
  </si>
  <si>
    <t>Core Year 1 Specialties (“Core 9”)</t>
  </si>
  <si>
    <r>
      <t>Cardiology</t>
    </r>
    <r>
      <rPr>
        <sz val="11"/>
        <color theme="1"/>
        <rFont val="Aptos Narrow"/>
        <family val="2"/>
        <scheme val="minor"/>
      </rPr>
      <t>: Cath lab, echocardiography, stress test lab, cardiac ICU</t>
    </r>
  </si>
  <si>
    <r>
      <t>Diabetes &amp; Endocrinology</t>
    </r>
    <r>
      <rPr>
        <sz val="11"/>
        <color theme="1"/>
        <rFont val="Aptos Narrow"/>
        <family val="2"/>
        <scheme val="minor"/>
      </rPr>
      <t>: OPD, diabetic foot clinic, insulin pump services</t>
    </r>
  </si>
  <si>
    <r>
      <t>ENT (Ear, Nose &amp; Throat)</t>
    </r>
    <r>
      <rPr>
        <sz val="11"/>
        <color theme="1"/>
        <rFont val="Aptos Narrow"/>
        <family val="2"/>
        <scheme val="minor"/>
      </rPr>
      <t>: Outpatient clinic, daycare surgeries, audiometry</t>
    </r>
  </si>
  <si>
    <r>
      <t>Gastroenterology</t>
    </r>
    <r>
      <rPr>
        <sz val="11"/>
        <color theme="1"/>
        <rFont val="Aptos Narrow"/>
        <family val="2"/>
        <scheme val="minor"/>
      </rPr>
      <t>: Endoscopy, colonoscopy suites, therapeutic procedures</t>
    </r>
  </si>
  <si>
    <r>
      <t>Orthopaedics</t>
    </r>
    <r>
      <rPr>
        <sz val="11"/>
        <color theme="1"/>
        <rFont val="Aptos Narrow"/>
        <family val="2"/>
        <scheme val="minor"/>
      </rPr>
      <t>: Joint replacement ORs, trauma care, physiotherapy unit</t>
    </r>
  </si>
  <si>
    <r>
      <t>Pulmonology</t>
    </r>
    <r>
      <rPr>
        <sz val="11"/>
        <color theme="1"/>
        <rFont val="Aptos Narrow"/>
        <family val="2"/>
        <scheme val="minor"/>
      </rPr>
      <t>: Pulmonary function lab, bronchoscopy, post-COVID rehabilitation</t>
    </r>
  </si>
  <si>
    <r>
      <t>Neurology</t>
    </r>
    <r>
      <rPr>
        <sz val="11"/>
        <color theme="1"/>
        <rFont val="Aptos Narrow"/>
        <family val="2"/>
        <scheme val="minor"/>
      </rPr>
      <t>: Stroke unit, EEG/EMG diagnostics, neuro-rehabilitation</t>
    </r>
  </si>
  <si>
    <r>
      <t>Pathology &amp; Lab Medicine</t>
    </r>
    <r>
      <rPr>
        <sz val="11"/>
        <color theme="1"/>
        <rFont val="Aptos Narrow"/>
        <family val="2"/>
        <scheme val="minor"/>
      </rPr>
      <t>: Central lab with biochemistry, hematology, microbiology</t>
    </r>
  </si>
  <si>
    <r>
      <t>General/Internal Medicine</t>
    </r>
    <r>
      <rPr>
        <sz val="11"/>
        <color theme="1"/>
        <rFont val="Aptos Narrow"/>
        <family val="2"/>
        <scheme val="minor"/>
      </rPr>
      <t>: OPD consultation, referrals, basic inpatient care</t>
    </r>
  </si>
  <si>
    <t>Deferred Specialties (Y3–Y5 Launch)</t>
  </si>
  <si>
    <r>
      <t>Oncology</t>
    </r>
    <r>
      <rPr>
        <sz val="11"/>
        <color theme="1"/>
        <rFont val="Aptos Narrow"/>
        <family val="2"/>
        <scheme val="minor"/>
      </rPr>
      <t>: LINAC bunker, chemo day-ward, PET-CT, radiation oncology planning</t>
    </r>
  </si>
  <si>
    <r>
      <t>Urology</t>
    </r>
    <r>
      <rPr>
        <sz val="11"/>
        <color theme="1"/>
        <rFont val="Aptos Narrow"/>
        <family val="2"/>
        <scheme val="minor"/>
      </rPr>
      <t>: Lithotripsy suite, endourology, renal transplant workup</t>
    </r>
  </si>
  <si>
    <r>
      <t>Ophthalmology</t>
    </r>
    <r>
      <rPr>
        <sz val="11"/>
        <color theme="1"/>
        <rFont val="Aptos Narrow"/>
        <family val="2"/>
        <scheme val="minor"/>
      </rPr>
      <t>: Phacoemulsification OR, LASIK/laser suite, OCT imaging</t>
    </r>
  </si>
  <si>
    <r>
      <t>Gynecology-Oncology</t>
    </r>
    <r>
      <rPr>
        <sz val="11"/>
        <color theme="1"/>
        <rFont val="Aptos Narrow"/>
        <family val="2"/>
        <scheme val="minor"/>
      </rPr>
      <t>: Radical OTs, colposcopy, fertility/IVF linkage</t>
    </r>
  </si>
  <si>
    <r>
      <t>Infectious Disease</t>
    </r>
    <r>
      <rPr>
        <sz val="11"/>
        <color theme="1"/>
        <rFont val="Aptos Narrow"/>
        <family val="2"/>
        <scheme val="minor"/>
      </rPr>
      <t>: Negative-pressure isolation rooms, TB and tropical disease clinic</t>
    </r>
  </si>
  <si>
    <r>
      <t>Hematology</t>
    </r>
    <r>
      <rPr>
        <sz val="11"/>
        <color theme="1"/>
        <rFont val="Aptos Narrow"/>
        <family val="2"/>
        <scheme val="minor"/>
      </rPr>
      <t>: Transfusion center, bone-marrow biopsy suite, flow cytometry lab</t>
    </r>
  </si>
  <si>
    <r>
      <t>Head &amp; Neck Surgery</t>
    </r>
    <r>
      <rPr>
        <sz val="11"/>
        <color theme="1"/>
        <rFont val="Aptos Narrow"/>
        <family val="2"/>
        <scheme val="minor"/>
      </rPr>
      <t>: Micro-laryngoscopy, thyroid surgery, reconstructive services</t>
    </r>
  </si>
  <si>
    <t>Infrastructure &amp; Support Services</t>
  </si>
  <si>
    <t>Central sterile services department (CSSD) and biomedical waste management</t>
  </si>
  <si>
    <t>Advanced HVAC with zonal air-filtration and HEPA systems in all ORs/ICUs</t>
  </si>
  <si>
    <t>Backup power generation (DG sets + UPS) for full-hospital resilience</t>
  </si>
  <si>
    <t>IT &amp; Automation</t>
  </si>
  <si>
    <t>Fully integrated Hospital Information System (HIS) with EMR/EHR</t>
  </si>
  <si>
    <t>Picture Archiving &amp; Communication System (PACS) and lab-automation</t>
  </si>
  <si>
    <t>Building Management System (BMS) for HVAC, lighting, security, and energy monitoring</t>
  </si>
  <si>
    <t>Telemedicine and remote ICU monitoring capabilities</t>
  </si>
  <si>
    <t>Quality &amp; Accreditation</t>
  </si>
  <si>
    <t>Designed for NABH (National Accreditation Board for Hospitals) compliance</t>
  </si>
  <si>
    <t>Plans for ISO 9001 and NABL (lab) accreditation in Year 2</t>
  </si>
  <si>
    <t>Patient Amenities &amp; Experience</t>
  </si>
  <si>
    <t>Spacious, well-appointed patient rooms with Wi-Fi, infotainment, and valet service</t>
  </si>
  <si>
    <t>Patient-family lounges, cafeteria, pharmacy, and retail corridors</t>
  </si>
  <si>
    <t>Concierge desk, interpreter services, and patient-navigation kiosks</t>
  </si>
  <si>
    <t>Market Positioning &amp; Business Model</t>
  </si>
  <si>
    <t>Target mix: 60% domestic insured/self-pay, 20% government referrals, 20% medical tourism</t>
  </si>
  <si>
    <t>Focus on high-margin tertiary procedures (cardiac, ortho, oncology) balanced by strong OPD volume</t>
  </si>
  <si>
    <t>Emphasis on clinical partnerships with leading specialists and referral networks</t>
  </si>
  <si>
    <t>Sustainability &amp; Future Expansion</t>
  </si>
  <si>
    <t>Rainwater harvesting, solar-PV on rooftop, waste-to-energy pilot</t>
  </si>
  <si>
    <t>Land reserved for vertical expansion or a dedicated outpatient block in Years 6–10</t>
  </si>
  <si>
    <t>2} DEPARTMENT EXPANSION</t>
  </si>
  <si>
    <t>3} INVESTMENT SCENARIO</t>
  </si>
  <si>
    <t>Total Investment Cost</t>
  </si>
  <si>
    <t>Base (₹ Cr)</t>
  </si>
  <si>
    <t>High (₹ Cr)</t>
  </si>
  <si>
    <t>Land Acquisition</t>
  </si>
  <si>
    <t>Construction &amp; Civil Work</t>
  </si>
  <si>
    <t>Medical Equipment</t>
  </si>
  <si>
    <t>Furniture &amp; Fixtures</t>
  </si>
  <si>
    <t>IT &amp; Automation Systems</t>
  </si>
  <si>
    <t>Licensing &amp; Legal Fees</t>
  </si>
  <si>
    <t>Low (₹ Cr)</t>
  </si>
  <si>
    <t>Contingency (5% of subtotal)</t>
  </si>
  <si>
    <t>Total Deferred CapEx</t>
  </si>
  <si>
    <t>Oncology</t>
  </si>
  <si>
    <t>Head &amp; Neck Surgery</t>
  </si>
  <si>
    <t>4.6.1.2]  DEPRICIATION RATE</t>
  </si>
  <si>
    <t>IT/Automation</t>
  </si>
  <si>
    <t>Electrical &amp; Fit-outs</t>
  </si>
  <si>
    <t>Ambulances/Vehicles</t>
  </si>
  <si>
    <t>Buildings</t>
  </si>
  <si>
    <t xml:space="preserve">Furniture and Fixtures </t>
  </si>
  <si>
    <t>Dep. Rate/yr</t>
  </si>
  <si>
    <t>ASSET</t>
  </si>
  <si>
    <t>DEPRICIATION EXPENSE</t>
  </si>
  <si>
    <t xml:space="preserve">Estimated Requirement </t>
  </si>
  <si>
    <t>As a % of sales</t>
  </si>
  <si>
    <t>4.6.2]  CAPITAL EXPENDITURE (CAPEX)</t>
  </si>
  <si>
    <t>4.7} LIABILITIES AND CURRENT ASSETS</t>
  </si>
  <si>
    <t>4.7.1]  CURRENT ASSETS</t>
  </si>
  <si>
    <t>4.7.1.1]  INVENTORY</t>
  </si>
  <si>
    <t>Inventory Days</t>
  </si>
  <si>
    <t>Opening Inventory</t>
  </si>
  <si>
    <t>4.7.1.2]  RECEIVABLES</t>
  </si>
  <si>
    <t>Receivables Days</t>
  </si>
  <si>
    <t>4.7.2]  CASH ASSUMPTIONS</t>
  </si>
  <si>
    <t>Average Interest on Cash</t>
  </si>
  <si>
    <t>Cash</t>
  </si>
  <si>
    <t>Minimum Cash Balance</t>
  </si>
  <si>
    <t>4.8} CURRENT LIABLITIES</t>
  </si>
  <si>
    <t>4.8.1]  PAYABLES</t>
  </si>
  <si>
    <t>Payables Days</t>
  </si>
  <si>
    <t>Time  taken to build Hopital - 3 years</t>
  </si>
  <si>
    <t>Phases Involved:</t>
  </si>
  <si>
    <r>
      <t>1. Months 1–12</t>
    </r>
    <r>
      <rPr>
        <sz val="11"/>
        <color theme="1"/>
        <rFont val="Aptos Narrow"/>
        <family val="2"/>
        <scheme val="minor"/>
      </rPr>
      <t xml:space="preserve">: </t>
    </r>
    <r>
      <rPr>
        <b/>
        <sz val="11"/>
        <color theme="1"/>
        <rFont val="Aptos Narrow"/>
        <family val="2"/>
        <scheme val="minor"/>
      </rPr>
      <t>Planning and Design</t>
    </r>
    <r>
      <rPr>
        <sz val="11"/>
        <color theme="1"/>
        <rFont val="Aptos Narrow"/>
        <family val="2"/>
        <scheme val="minor"/>
      </rPr>
      <t xml:space="preserve"> phase (includes land acquisition, design, approvals).</t>
    </r>
  </si>
  <si>
    <r>
      <t>2. Months 13–24</t>
    </r>
    <r>
      <rPr>
        <sz val="11"/>
        <color theme="1"/>
        <rFont val="Aptos Narrow"/>
        <family val="2"/>
        <scheme val="minor"/>
      </rPr>
      <t xml:space="preserve">: </t>
    </r>
    <r>
      <rPr>
        <b/>
        <sz val="11"/>
        <color theme="1"/>
        <rFont val="Aptos Narrow"/>
        <family val="2"/>
        <scheme val="minor"/>
      </rPr>
      <t>Construction &amp; MEP</t>
    </r>
    <r>
      <rPr>
        <sz val="11"/>
        <color theme="1"/>
        <rFont val="Aptos Narrow"/>
        <family val="2"/>
        <scheme val="minor"/>
      </rPr>
      <t xml:space="preserve"> (civil work, interior fit-outs, equipment setup).</t>
    </r>
  </si>
  <si>
    <r>
      <t>3. Months 25–36</t>
    </r>
    <r>
      <rPr>
        <sz val="11"/>
        <color theme="1"/>
        <rFont val="Aptos Narrow"/>
        <family val="2"/>
        <scheme val="minor"/>
      </rPr>
      <t xml:space="preserve">: </t>
    </r>
    <r>
      <rPr>
        <b/>
        <sz val="11"/>
        <color theme="1"/>
        <rFont val="Aptos Narrow"/>
        <family val="2"/>
        <scheme val="minor"/>
      </rPr>
      <t>Installation, Testing, Training</t>
    </r>
    <r>
      <rPr>
        <sz val="11"/>
        <color theme="1"/>
        <rFont val="Aptos Narrow"/>
        <family val="2"/>
        <scheme val="minor"/>
      </rPr>
      <t>, and final ramp-up.</t>
    </r>
  </si>
  <si>
    <t>TOTAL REVENUES</t>
  </si>
  <si>
    <t>4.8.1]  OTHER CURRENT LIABILITIES</t>
  </si>
  <si>
    <t>252cr</t>
  </si>
  <si>
    <t>3. Total Debt</t>
  </si>
  <si>
    <t>4. Total Equity</t>
  </si>
  <si>
    <r>
      <t xml:space="preserve">0.3*252 Cr. = </t>
    </r>
    <r>
      <rPr>
        <b/>
        <sz val="11"/>
        <color theme="0"/>
        <rFont val="Aptos Narrow"/>
        <family val="2"/>
        <scheme val="minor"/>
      </rPr>
      <t>75.6 Cr.</t>
    </r>
  </si>
  <si>
    <r>
      <rPr>
        <b/>
        <sz val="11"/>
        <color theme="0"/>
        <rFont val="Aptos Narrow"/>
        <family val="2"/>
        <scheme val="minor"/>
      </rPr>
      <t>70/30</t>
    </r>
    <r>
      <rPr>
        <sz val="11"/>
        <color theme="0"/>
        <rFont val="Aptos Narrow"/>
        <family val="2"/>
        <scheme val="minor"/>
      </rPr>
      <t xml:space="preserve"> ratio</t>
    </r>
  </si>
  <si>
    <t>LOAN TERMS</t>
  </si>
  <si>
    <t xml:space="preserve">Debt/Equity ratio </t>
  </si>
  <si>
    <t>LOAN AMORTIZATION</t>
  </si>
  <si>
    <t>Year</t>
  </si>
  <si>
    <t>KEY CALCULATIONS</t>
  </si>
  <si>
    <t>Interest Rate</t>
  </si>
  <si>
    <t>Loan Amount</t>
  </si>
  <si>
    <t>Grace Period</t>
  </si>
  <si>
    <t>Loan Tenure</t>
  </si>
  <si>
    <t>Interest Rate per annum</t>
  </si>
  <si>
    <t>Yearly Payment (Cr.)</t>
  </si>
  <si>
    <t>Beginning Balance (Cr.)</t>
  </si>
  <si>
    <t>Interest Paid (Cr.)</t>
  </si>
  <si>
    <t>Principal Paid (Cr.)</t>
  </si>
  <si>
    <t>Ending Balance (Cr.)</t>
  </si>
  <si>
    <t>EMI (Exact)</t>
  </si>
  <si>
    <t>EMI (Approx. in Cr.)</t>
  </si>
  <si>
    <t>&lt;&lt; Grace period till here</t>
  </si>
  <si>
    <t>3} FINANCING STRATEGY</t>
  </si>
  <si>
    <r>
      <rPr>
        <b/>
        <sz val="11"/>
        <color theme="0"/>
        <rFont val="Aptos Narrow"/>
        <family val="2"/>
        <scheme val="minor"/>
      </rPr>
      <t>3 years</t>
    </r>
    <r>
      <rPr>
        <sz val="11"/>
        <color theme="0"/>
        <rFont val="Aptos Narrow"/>
        <family val="2"/>
        <scheme val="minor"/>
      </rPr>
      <t xml:space="preserve"> (interest-only payments during this period, no principal repay.)</t>
    </r>
  </si>
  <si>
    <t>Total Investment (Base scenario)</t>
  </si>
  <si>
    <t>4.9} FINANCIAL LIABLITIES</t>
  </si>
  <si>
    <t>Debt Financing Over Total Investment</t>
  </si>
  <si>
    <t>Loan Duration</t>
  </si>
  <si>
    <t>Loan Balance</t>
  </si>
  <si>
    <r>
      <rPr>
        <b/>
        <sz val="11"/>
        <color theme="0"/>
        <rFont val="Aptos Narrow"/>
        <family val="2"/>
        <scheme val="minor"/>
      </rPr>
      <t>15 years</t>
    </r>
    <r>
      <rPr>
        <sz val="11"/>
        <color theme="0"/>
        <rFont val="Aptos Narrow"/>
        <family val="2"/>
        <scheme val="minor"/>
      </rPr>
      <t xml:space="preserve"> (including a 3-year grace period)</t>
    </r>
  </si>
  <si>
    <t>FY 2036-37</t>
  </si>
  <si>
    <t>FY 2037-38</t>
  </si>
  <si>
    <t>FY 2038-39</t>
  </si>
  <si>
    <t>FY 2039-40</t>
  </si>
  <si>
    <t>FY 2045-41</t>
  </si>
  <si>
    <t>4.10} EQUITY</t>
  </si>
  <si>
    <t>Initial Share Capital</t>
  </si>
  <si>
    <t>Share Capital</t>
  </si>
  <si>
    <t>Decrease in Share Capital</t>
  </si>
  <si>
    <t>Check Revenue for a comprehensive breakdown</t>
  </si>
  <si>
    <t>Check Direct Expenses for a comprehensive breakdown</t>
  </si>
  <si>
    <t>Check Indirect Expenses for a comprehensive breakdown</t>
  </si>
  <si>
    <t>Check Assumptions tab  for a comprehensive breakdown</t>
  </si>
  <si>
    <t>&lt;&lt; shows -ve value because cash outflow</t>
  </si>
  <si>
    <t>Beta</t>
  </si>
  <si>
    <t>Equity Market Risk Premium</t>
  </si>
  <si>
    <t xml:space="preserve">Company specific Risk Premium </t>
  </si>
  <si>
    <t>Country Specific Risk Premium</t>
  </si>
  <si>
    <t>Size Premium</t>
  </si>
  <si>
    <t>Risk Free Rate ( 10-year Indian government bond yield)</t>
  </si>
  <si>
    <t>#</t>
  </si>
  <si>
    <t>&lt;&lt; hospital in Bangalore, relatively stable and low risk sector</t>
  </si>
  <si>
    <t>&lt;&lt; Damodaran, Morningstar and McKinsey &amp; Company often use 6% as a reasonable equity market risk premium for India</t>
  </si>
  <si>
    <t>&lt;&lt; New hospital by a startup</t>
  </si>
  <si>
    <t>&lt;&lt; Considering India’s growing healthcare market and economic stability</t>
  </si>
  <si>
    <t>&lt;&lt; For new ventures, especially in the healthcare sector, negligible</t>
  </si>
  <si>
    <t>&lt;&lt; Typically in the rangle of 6.1 to 7.0</t>
  </si>
  <si>
    <t>COST OF EQUITY CAPITAL</t>
  </si>
  <si>
    <t xml:space="preserve">WEIGHT OF EQUITY </t>
  </si>
  <si>
    <t>Rf</t>
  </si>
  <si>
    <t>β</t>
  </si>
  <si>
    <t>RM</t>
  </si>
  <si>
    <t>Re</t>
  </si>
  <si>
    <t>We</t>
  </si>
  <si>
    <t>5.1} COST OF EQUITY</t>
  </si>
  <si>
    <t>5.2} COST OF DEBT</t>
  </si>
  <si>
    <t>Debt borrowing rate</t>
  </si>
  <si>
    <t>Country-specific adjustment</t>
  </si>
  <si>
    <t>Expected income tax rate</t>
  </si>
  <si>
    <t>AFTER TAX COST OF DEBT</t>
  </si>
  <si>
    <t>WEIGHT OF DEBT</t>
  </si>
  <si>
    <t>Wd</t>
  </si>
  <si>
    <t>T</t>
  </si>
  <si>
    <t>Rd</t>
  </si>
  <si>
    <t>&lt;&lt; As per financing strategy</t>
  </si>
  <si>
    <t>&lt;&lt; Typical in India</t>
  </si>
  <si>
    <t>5.3} WACC</t>
  </si>
  <si>
    <t>WACC</t>
  </si>
  <si>
    <t>&lt;&lt; Re=Rf+β×(Rm−Rf)+Company-Specific Risk Premium+Country-Specific Risk Premium+Size Premium</t>
  </si>
  <si>
    <t>RD</t>
  </si>
  <si>
    <t>&lt;&lt; Rd= RD* (1-T)</t>
  </si>
  <si>
    <t>&lt;&lt; WACC = Rd*Wd + Re*We</t>
  </si>
  <si>
    <t>*All are rounded off to approx. values</t>
  </si>
  <si>
    <t>Total CapEx Y1 To Y3</t>
  </si>
  <si>
    <t>Year 6</t>
  </si>
  <si>
    <t>Year 7</t>
  </si>
  <si>
    <t>Year 7 or Later (Post-COVID model)</t>
  </si>
  <si>
    <t>Year 8</t>
  </si>
  <si>
    <t>General ward</t>
  </si>
  <si>
    <t>4} PRICING</t>
  </si>
  <si>
    <t>usually range between ₹1,500 and ₹4,000 per day.</t>
  </si>
  <si>
    <t>generally range from ₹3,000 to ₹7,000 per day.</t>
  </si>
  <si>
    <t>usually around ₹5,000 to ₹10,000 per day.</t>
  </si>
  <si>
    <t xml:space="preserve"> typically range from ₹8,000 to ₹15,000 per day.</t>
  </si>
  <si>
    <t>prices range between ₹15,000 to ₹25,000 per day.</t>
  </si>
  <si>
    <t xml:space="preserve">can range from ₹20,000 to ₹40,000 per day. </t>
  </si>
  <si>
    <t>TYPE OF ROOM</t>
  </si>
  <si>
    <t>RANGE</t>
  </si>
  <si>
    <t>AVERAGE PRICE USED</t>
  </si>
  <si>
    <t>&lt;&lt; Range parameters being place - banglore, tertiary care, high quality.</t>
  </si>
  <si>
    <t xml:space="preserve"> (₹/day/Bed)</t>
  </si>
  <si>
    <t>ROOM REVENUE</t>
  </si>
  <si>
    <t>TOTAL OUTPATIENT ADMISSIONS</t>
  </si>
  <si>
    <r>
      <rPr>
        <b/>
        <sz val="11"/>
        <color theme="1"/>
        <rFont val="Aptos Narrow"/>
        <family val="2"/>
        <scheme val="minor"/>
      </rPr>
      <t>Appointment</t>
    </r>
    <r>
      <rPr>
        <sz val="11"/>
        <color theme="1"/>
        <rFont val="Aptos Narrow"/>
        <family val="2"/>
        <scheme val="minor"/>
      </rPr>
      <t xml:space="preserve">            revenue  ₹/consultation/    patient</t>
    </r>
  </si>
  <si>
    <r>
      <rPr>
        <b/>
        <sz val="11"/>
        <color theme="1"/>
        <rFont val="Aptos Narrow"/>
        <family val="2"/>
        <scheme val="minor"/>
      </rPr>
      <t>Appointment</t>
    </r>
    <r>
      <rPr>
        <sz val="11"/>
        <color theme="1"/>
        <rFont val="Aptos Narrow"/>
        <family val="2"/>
        <scheme val="minor"/>
      </rPr>
      <t xml:space="preserve">       revenue    ₹/consultation/    patient</t>
    </r>
  </si>
  <si>
    <t>Outpatient Split into :</t>
  </si>
  <si>
    <t xml:space="preserve">Consultation </t>
  </si>
  <si>
    <t xml:space="preserve">Diagnostic Exams </t>
  </si>
  <si>
    <t>ROOM REVENUE/YEAR (IN CR.)</t>
  </si>
  <si>
    <t>TOTAL REVENUE FROM BEDS(ROOMS)/YEAR   [In Cr.]                   =</t>
  </si>
  <si>
    <t xml:space="preserve">Appointment =&gt; Inpatients : </t>
  </si>
  <si>
    <t>Gynecology</t>
  </si>
  <si>
    <t>₹1,500 – ₹3,000</t>
  </si>
  <si>
    <t>₹800 – ₹1,500</t>
  </si>
  <si>
    <t>₹500 – ₹1,000</t>
  </si>
  <si>
    <t>₹600 – ₹1,200</t>
  </si>
  <si>
    <t>₹1,200 – ₹2,500</t>
  </si>
  <si>
    <t>₹1,000 – ₹2,000</t>
  </si>
  <si>
    <t>₹2,500 – ₹4,000</t>
  </si>
  <si>
    <t>₹1,500 – ₹2,500</t>
  </si>
  <si>
    <t>₹2,000 – ₹3,500</t>
  </si>
  <si>
    <t>₹1,000 – ₹2,500</t>
  </si>
  <si>
    <t>₹800 – ₹1,200</t>
  </si>
  <si>
    <t>AVERAGE ASSUMPTION</t>
  </si>
  <si>
    <t>% SPLIT FROM OUTPATIENTS FOR EACH CONSULTATION</t>
  </si>
  <si>
    <t>ENT</t>
  </si>
  <si>
    <t>4} INFLATION RATES</t>
  </si>
  <si>
    <t>Department/Service</t>
  </si>
  <si>
    <t>Typical Annual Inflation Rate</t>
  </si>
  <si>
    <t>Consultations</t>
  </si>
  <si>
    <t>12–13%</t>
  </si>
  <si>
    <t>Diagnostics</t>
  </si>
  <si>
    <t>10–12%</t>
  </si>
  <si>
    <t>Surgeries/Operations</t>
  </si>
  <si>
    <t>13–15% (sometimes higher)</t>
  </si>
  <si>
    <t>COMBINED</t>
  </si>
  <si>
    <t>TOTAL REVENUE</t>
  </si>
  <si>
    <r>
      <t>%</t>
    </r>
    <r>
      <rPr>
        <b/>
        <sz val="11"/>
        <color theme="1"/>
        <rFont val="Aptos Narrow"/>
        <family val="2"/>
        <scheme val="minor"/>
      </rPr>
      <t>SPLIT FROM OUTPATIENTS FOR EACH DIAGNOSIS EXAM</t>
    </r>
  </si>
  <si>
    <r>
      <rPr>
        <b/>
        <sz val="11"/>
        <color theme="1"/>
        <rFont val="Aptos Narrow"/>
        <family val="2"/>
        <scheme val="minor"/>
      </rPr>
      <t>Emergency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%SPLIT </t>
    </r>
  </si>
  <si>
    <r>
      <rPr>
        <b/>
        <sz val="11"/>
        <color theme="1"/>
        <rFont val="Aptos Narrow"/>
        <family val="2"/>
        <scheme val="minor"/>
      </rPr>
      <t>Appointment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%SPLIT </t>
    </r>
  </si>
  <si>
    <t>Drugs per Outpatient (with avg. price/unit = 30)</t>
  </si>
  <si>
    <t>Drugs per Inpatient (with avg. price/unit = 60)</t>
  </si>
  <si>
    <t>Inflation rate</t>
  </si>
  <si>
    <t>TOTAL REVENUES FROM PHARMACY</t>
  </si>
  <si>
    <t>FOOD AND BEVERAGE SERVICE REVENUES</t>
  </si>
  <si>
    <t>TOTAL OTHER REMTALS REVENUES</t>
  </si>
  <si>
    <t>Total Other Rentals</t>
  </si>
  <si>
    <t>Inpatient Admissions from Appointments</t>
  </si>
  <si>
    <t xml:space="preserve">Inpatient Admissions from Emergency </t>
  </si>
  <si>
    <t>TOTAL Inpatients</t>
  </si>
  <si>
    <r>
      <t>1. Evolving Splits</t>
    </r>
    <r>
      <rPr>
        <sz val="10"/>
        <color theme="1"/>
        <rFont val="Segoe UI"/>
        <family val="2"/>
      </rPr>
      <t>:</t>
    </r>
  </si>
  <si>
    <r>
      <t>Year 4-5</t>
    </r>
    <r>
      <rPr>
        <sz val="10"/>
        <color theme="1"/>
        <rFont val="Segoe UI"/>
        <family val="2"/>
      </rPr>
      <t>: 60.1% Emergency (core departments only)</t>
    </r>
  </si>
  <si>
    <r>
      <t>Year 6</t>
    </r>
    <r>
      <rPr>
        <sz val="10"/>
        <color theme="1"/>
        <rFont val="Segoe UI"/>
        <family val="2"/>
      </rPr>
      <t>: Drops to 59.3% Emergency with Oncology/Urology addition (lower emergency ratio in new departments)</t>
    </r>
  </si>
  <si>
    <r>
      <t>Year 7-15</t>
    </r>
    <r>
      <rPr>
        <sz val="10"/>
        <color theme="1"/>
        <rFont val="Segoe UI"/>
        <family val="2"/>
      </rPr>
      <t>: Stabilizes at 59.4% Emergency after Ophthalmology/Gynecology/Hematology additions</t>
    </r>
  </si>
  <si>
    <r>
      <t>2. Department Impact</t>
    </r>
    <r>
      <rPr>
        <sz val="10"/>
        <color theme="1"/>
        <rFont val="Segoe UI"/>
        <family val="2"/>
      </rPr>
      <t>:</t>
    </r>
  </si>
  <si>
    <t>Oncology (Year 6): 57.9% Emergency split lowered overall average</t>
  </si>
  <si>
    <t>Hematology (Year 8): 60% Emergency split slightly raised average</t>
  </si>
  <si>
    <t>Ophthalmology/Gynecology (Year 7): ~59% Emergency split maintained balance</t>
  </si>
  <si>
    <t>4} INPATIENTS</t>
  </si>
  <si>
    <t>INPATIENT ADMISSIONS</t>
  </si>
  <si>
    <t>DEPARTMENT</t>
  </si>
  <si>
    <t>Emergency%</t>
  </si>
  <si>
    <t>Appointment%</t>
  </si>
  <si>
    <t>%SPLIT BY DEPARTMENT</t>
  </si>
  <si>
    <r>
      <t>Cardiology, Ortho, Infectious Disease:</t>
    </r>
    <r>
      <rPr>
        <sz val="10"/>
        <color theme="1"/>
        <rFont val="Segoe UI"/>
        <family val="2"/>
      </rPr>
      <t> Emergency dominates due to acute cases (MI, trauma, sepsis) </t>
    </r>
    <r>
      <rPr>
        <sz val="10"/>
        <color theme="1"/>
        <rFont val="Courier New"/>
        <family val="3"/>
      </rPr>
      <t>23</t>
    </r>
    <r>
      <rPr>
        <sz val="10"/>
        <color theme="1"/>
        <rFont val="Segoe UI"/>
        <family val="2"/>
      </rPr>
      <t>.</t>
    </r>
  </si>
  <si>
    <r>
      <t>Diabetes, Oncology, Hematology, Ophthalmology:</t>
    </r>
    <r>
      <rPr>
        <sz val="10"/>
        <color theme="1"/>
        <rFont val="Segoe UI"/>
        <family val="2"/>
      </rPr>
      <t> Mostly planned admissions for chronic management, chemo, or surgery </t>
    </r>
    <r>
      <rPr>
        <sz val="10"/>
        <color theme="1"/>
        <rFont val="Courier New"/>
        <family val="3"/>
      </rPr>
      <t>24</t>
    </r>
    <r>
      <rPr>
        <sz val="10"/>
        <color theme="1"/>
        <rFont val="Segoe UI"/>
        <family val="2"/>
      </rPr>
      <t>.</t>
    </r>
  </si>
  <si>
    <r>
      <t>ENT, Urology, Gynecology, Head &amp; Neck:</t>
    </r>
    <r>
      <rPr>
        <sz val="10"/>
        <color theme="1"/>
        <rFont val="Segoe UI"/>
        <family val="2"/>
      </rPr>
      <t> Majority are elective but with a significant emergency share (airway obstruction, stones, obstetric emergencies).</t>
    </r>
  </si>
  <si>
    <r>
      <t>General Medicine, Pulmonary, Gastro, Neurology:</t>
    </r>
    <r>
      <rPr>
        <sz val="10"/>
        <color theme="1"/>
        <rFont val="Segoe UI"/>
        <family val="2"/>
      </rPr>
      <t> Balanced mix of acute and planned care, reflecting real-world hospital admission patterns in India </t>
    </r>
    <r>
      <rPr>
        <sz val="10"/>
        <color theme="1"/>
        <rFont val="Courier New"/>
        <family val="3"/>
      </rPr>
      <t>24</t>
    </r>
    <r>
      <rPr>
        <sz val="10"/>
        <color theme="1"/>
        <rFont val="Segoe UI"/>
        <family val="2"/>
      </rPr>
      <t>.</t>
    </r>
  </si>
  <si>
    <r>
      <t>Pathology:</t>
    </r>
    <r>
      <rPr>
        <sz val="10"/>
        <color theme="1"/>
        <rFont val="Segoe UI"/>
        <family val="2"/>
      </rPr>
      <t> Nearly all inpatient work is planned, except for urgent diagnostic workups.</t>
    </r>
  </si>
  <si>
    <t>Phased Rollout</t>
  </si>
  <si>
    <r>
      <t>Years 1–3:</t>
    </r>
    <r>
      <rPr>
        <sz val="10"/>
        <color theme="1"/>
        <rFont val="Segoe UI"/>
        <family val="2"/>
      </rPr>
      <t> No clinical operations.</t>
    </r>
  </si>
  <si>
    <r>
      <t>Years 4–5:</t>
    </r>
    <r>
      <rPr>
        <sz val="10"/>
        <color theme="1"/>
        <rFont val="Segoe UI"/>
        <family val="2"/>
      </rPr>
      <t> Core 9 departments only.</t>
    </r>
  </si>
  <si>
    <r>
      <t>Year 6:</t>
    </r>
    <r>
      <rPr>
        <sz val="10"/>
        <color theme="1"/>
        <rFont val="Segoe UI"/>
        <family val="2"/>
      </rPr>
      <t> Oncology and Urology added.</t>
    </r>
  </si>
  <si>
    <r>
      <t>Year 7:</t>
    </r>
    <r>
      <rPr>
        <sz val="10"/>
        <color theme="1"/>
        <rFont val="Segoe UI"/>
        <family val="2"/>
      </rPr>
      <t> Ophthalmology, Gynecology, Head &amp; Neck Surgery added.</t>
    </r>
  </si>
  <si>
    <r>
      <t>Year 8:</t>
    </r>
    <r>
      <rPr>
        <sz val="10"/>
        <color theme="1"/>
        <rFont val="Segoe UI"/>
        <family val="2"/>
      </rPr>
      <t> Hematology added.</t>
    </r>
  </si>
  <si>
    <r>
      <t>Year 9 onward:</t>
    </r>
    <r>
      <rPr>
        <sz val="10"/>
        <color theme="1"/>
        <rFont val="Segoe UI"/>
        <family val="2"/>
      </rPr>
      <t> All major departments operational.</t>
    </r>
  </si>
  <si>
    <t>Diabetes/Endocrine</t>
  </si>
  <si>
    <r>
      <t>Cardiology:</t>
    </r>
    <r>
      <rPr>
        <sz val="10"/>
        <color theme="1"/>
        <rFont val="Segoe UI"/>
        <family val="2"/>
      </rPr>
      <t> Most admissions are for medical management; only 10% undergo interventions like angioplasty or device implantation.</t>
    </r>
  </si>
  <si>
    <r>
      <t>Diabetes/Endocrine:</t>
    </r>
    <r>
      <rPr>
        <sz val="10"/>
        <color theme="1"/>
        <rFont val="Segoe UI"/>
        <family val="2"/>
      </rPr>
      <t> Surgery is rare; &lt;5% (amputations, thyroidectomy).</t>
    </r>
  </si>
  <si>
    <r>
      <t>ENT:</t>
    </r>
    <r>
      <rPr>
        <sz val="10"/>
        <color theme="1"/>
        <rFont val="Segoe UI"/>
        <family val="2"/>
      </rPr>
      <t> 30% require surgery (tonsillectomy, sinus, airway procedures)</t>
    </r>
    <r>
      <rPr>
        <sz val="10"/>
        <color theme="1"/>
        <rFont val="Courier New"/>
        <family val="3"/>
      </rPr>
      <t>34</t>
    </r>
    <r>
      <rPr>
        <sz val="10"/>
        <color theme="1"/>
        <rFont val="Segoe UI"/>
        <family val="2"/>
      </rPr>
      <t>.</t>
    </r>
  </si>
  <si>
    <r>
      <t>Gastroenterology:</t>
    </r>
    <r>
      <rPr>
        <sz val="10"/>
        <color theme="1"/>
        <rFont val="Segoe UI"/>
        <family val="2"/>
      </rPr>
      <t> 15% (endoscopic or surgical interventions).</t>
    </r>
  </si>
  <si>
    <r>
      <t>Orthopaedics:</t>
    </r>
    <r>
      <rPr>
        <sz val="10"/>
        <color theme="1"/>
        <rFont val="Segoe UI"/>
        <family val="2"/>
      </rPr>
      <t> High surgical rate, typically 50% (fractures, joint replacements)</t>
    </r>
    <r>
      <rPr>
        <sz val="10"/>
        <color theme="1"/>
        <rFont val="Courier New"/>
        <family val="3"/>
      </rPr>
      <t>34</t>
    </r>
    <r>
      <rPr>
        <sz val="10"/>
        <color theme="1"/>
        <rFont val="Segoe UI"/>
        <family val="2"/>
      </rPr>
      <t>.</t>
    </r>
  </si>
  <si>
    <r>
      <t>Pulmonary:</t>
    </r>
    <r>
      <rPr>
        <sz val="10"/>
        <color theme="1"/>
        <rFont val="Segoe UI"/>
        <family val="2"/>
      </rPr>
      <t> Surgery is rare, mainly for lung biopsies or thoracic procedures.</t>
    </r>
  </si>
  <si>
    <r>
      <t>Pathology:</t>
    </r>
    <r>
      <rPr>
        <sz val="10"/>
        <color theme="1"/>
        <rFont val="Segoe UI"/>
        <family val="2"/>
      </rPr>
      <t> No surgeries.</t>
    </r>
  </si>
  <si>
    <r>
      <t>Neurology:</t>
    </r>
    <r>
      <rPr>
        <sz val="10"/>
        <color theme="1"/>
        <rFont val="Segoe UI"/>
        <family val="2"/>
      </rPr>
      <t> Mostly medical; ~8% for neuro-interventions.</t>
    </r>
  </si>
  <si>
    <r>
      <t>General/Internal Medicine:</t>
    </r>
    <r>
      <rPr>
        <sz val="10"/>
        <color theme="1"/>
        <rFont val="Segoe UI"/>
        <family val="2"/>
      </rPr>
      <t> Few surgical cases, e.g., abscess drainage (~3%).</t>
    </r>
  </si>
  <si>
    <t>Oncology: 40% require surgery (tumor resection) once department opens4.</t>
  </si>
  <si>
    <r>
      <t>Urology:</t>
    </r>
    <r>
      <rPr>
        <sz val="10"/>
        <color theme="1"/>
        <rFont val="Segoe UI"/>
        <family val="2"/>
      </rPr>
      <t> Very high surgical rate (stone removal, prostate, etc.)</t>
    </r>
    <r>
      <rPr>
        <sz val="10"/>
        <color theme="1"/>
        <rFont val="Courier New"/>
        <family val="3"/>
      </rPr>
      <t>34</t>
    </r>
    <r>
      <rPr>
        <sz val="10"/>
        <color theme="1"/>
        <rFont val="Segoe UI"/>
        <family val="2"/>
      </rPr>
      <t>.</t>
    </r>
  </si>
  <si>
    <t>Ophthalmology: Surgery-dominant (cataracts, glaucoma); 80% once started4.</t>
  </si>
  <si>
    <r>
      <t>Gynecology:</t>
    </r>
    <r>
      <rPr>
        <sz val="10"/>
        <color theme="1"/>
        <rFont val="Segoe UI"/>
        <family val="2"/>
      </rPr>
      <t> 60% (hysterectomy, caesarean, etc.)</t>
    </r>
    <r>
      <rPr>
        <sz val="10"/>
        <color theme="1"/>
        <rFont val="Courier New"/>
        <family val="3"/>
      </rPr>
      <t>45</t>
    </r>
    <r>
      <rPr>
        <sz val="10"/>
        <color theme="1"/>
        <rFont val="Segoe UI"/>
        <family val="2"/>
      </rPr>
      <t>.</t>
    </r>
  </si>
  <si>
    <r>
      <t>Head &amp; Neck Surgery:</t>
    </r>
    <r>
      <rPr>
        <sz val="10"/>
        <color theme="1"/>
        <rFont val="Segoe UI"/>
        <family val="2"/>
      </rPr>
      <t> 70% (tumor, airway, trauma)</t>
    </r>
    <r>
      <rPr>
        <sz val="10"/>
        <color theme="1"/>
        <rFont val="Courier New"/>
        <family val="3"/>
      </rPr>
      <t>34</t>
    </r>
    <r>
      <rPr>
        <sz val="10"/>
        <color theme="1"/>
        <rFont val="Segoe UI"/>
        <family val="2"/>
      </rPr>
      <t>.</t>
    </r>
  </si>
  <si>
    <r>
      <t>Hematology:</t>
    </r>
    <r>
      <rPr>
        <sz val="10"/>
        <color theme="1"/>
        <rFont val="Segoe UI"/>
        <family val="2"/>
      </rPr>
      <t> Rarely surgical; 10% for biopsies or splenectomy.</t>
    </r>
  </si>
  <si>
    <r>
      <t>Infectious Disease:</t>
    </r>
    <r>
      <rPr>
        <sz val="10"/>
        <color theme="1"/>
        <rFont val="Segoe UI"/>
        <family val="2"/>
      </rPr>
      <t> Very few require surgery (e.g., abscess drainage).</t>
    </r>
  </si>
  <si>
    <t>surgical split % department wise</t>
  </si>
  <si>
    <t>General/Internal Medicine</t>
  </si>
  <si>
    <t>Forecasted Prices (₹) for Base/Minor Surgeries</t>
  </si>
  <si>
    <r>
      <t>1. Base Year</t>
    </r>
    <r>
      <rPr>
        <sz val="10"/>
        <color theme="1"/>
        <rFont val="Segoe UI"/>
        <family val="2"/>
      </rPr>
      <t>: Year 4 (first operational year) uses 2025 benchmark prices from Policybazaar and Aon’s report.</t>
    </r>
  </si>
  <si>
    <r>
      <t>2. Annual Inflation</t>
    </r>
    <r>
      <rPr>
        <sz val="10"/>
        <color theme="1"/>
        <rFont val="Segoe UI"/>
        <family val="2"/>
      </rPr>
      <t>: 13% (aligned with India’s projected healthcare cost rise).</t>
    </r>
  </si>
  <si>
    <r>
      <t>3. Departments</t>
    </r>
    <r>
      <rPr>
        <sz val="10"/>
        <color theme="1"/>
        <rFont val="Segoe UI"/>
        <family val="2"/>
      </rPr>
      <t>:</t>
    </r>
  </si>
  <si>
    <t>Prices start from their rollout year (e.g., Oncology in Year 6).</t>
  </si>
  <si>
    <t>"Base/minor" surgeries defined as non-critical procedures (e.g., appendectomy, diagnostic scopes, minor fractures).</t>
  </si>
  <si>
    <r>
      <t>1. Base Prices</t>
    </r>
    <r>
      <rPr>
        <sz val="10"/>
        <color theme="1"/>
        <rFont val="Segoe UI"/>
        <family val="2"/>
      </rPr>
      <t>:</t>
    </r>
  </si>
  <si>
    <t>Cardiology (angiogram), Orthopaedics (minor fracture repair), ENT (tonsillectomy), etc., aligned with Policybazaar’s 2024–2025 surgery costs.</t>
  </si>
  <si>
    <t>Ophthalmology (cataract) starts at ₹45k in Y7, reflecting 2025 estimates.</t>
  </si>
  <si>
    <r>
      <t>2. Inflation</t>
    </r>
    <r>
      <rPr>
        <sz val="10"/>
        <color theme="1"/>
        <rFont val="Segoe UI"/>
        <family val="2"/>
      </rPr>
      <t>:</t>
    </r>
  </si>
  <si>
    <t>13% annual rise, per Aon’s projection for India (Financial Express).</t>
  </si>
  <si>
    <r>
      <t>3. Phased Rollout</t>
    </r>
    <r>
      <rPr>
        <sz val="10"/>
        <color theme="1"/>
        <rFont val="Segoe UI"/>
        <family val="2"/>
      </rPr>
      <t>:</t>
    </r>
  </si>
  <si>
    <t>Departments like Oncology (Y6) and Hematology (Y8) begin pricing from their launch year.</t>
  </si>
  <si>
    <r>
      <t>4. Adjustments</t>
    </r>
    <r>
      <rPr>
        <sz val="10"/>
        <color theme="1"/>
        <rFont val="Segoe UI"/>
        <family val="2"/>
      </rPr>
      <t>:</t>
    </r>
  </si>
  <si>
    <t>Prices for later departments (e.g., Hematology) include a 10–15% premium for newer technologies.</t>
  </si>
  <si>
    <t>Angiograms (minor), angioplasty (moderate), CABG (major/critical)</t>
  </si>
  <si>
    <t>Wound debridement (minor), thyroidectomy (major)</t>
  </si>
  <si>
    <t>Tonsillectomy (minor), sinus surgery (moderate), head/neck tumor (major)</t>
  </si>
  <si>
    <t>Endoscopy (minor), polypectomy (moderate), GI cancer resection (major)</t>
  </si>
  <si>
    <t>Closed fracture (minor), open reduction (moderate), joint replacement (major), polytrauma (critical)</t>
  </si>
  <si>
    <t>Bronchoscopy (minor), thoracostomy (moderate), lung resection (major)</t>
  </si>
  <si>
    <t>Biopsies (minor), bone marrow (moderate)</t>
  </si>
  <si>
    <t>Nerve biopsy (minor), craniotomy (major/critical)</t>
  </si>
  <si>
    <t>Abscess drainage (minor), laparotomy (major)</t>
  </si>
  <si>
    <t>Biopsies (minor), tumor resection (major/critical)</t>
  </si>
  <si>
    <t>D&amp;C (minor), hysterectomy (major), C-section (moderate)</t>
  </si>
  <si>
    <t>Cystoscopy (minor), TURP (moderate), nephrectomy (major)</t>
  </si>
  <si>
    <t>Abscess drainage (minor), debridement (moderate)</t>
  </si>
  <si>
    <t>Cataract (minor), glaucoma (moderate), rare major</t>
  </si>
  <si>
    <t>Bone marrow (minor), splenectomy (major)</t>
  </si>
  <si>
    <t>Biopsy (minor), laryngectomy (major/critical)</t>
  </si>
  <si>
    <t xml:space="preserve">DEPARTMENT </t>
  </si>
  <si>
    <t>Moderate</t>
  </si>
  <si>
    <t>Notes</t>
  </si>
  <si>
    <t>Minor %</t>
  </si>
  <si>
    <t>Moderate %</t>
  </si>
  <si>
    <t>Major %</t>
  </si>
  <si>
    <t>Critical %</t>
  </si>
  <si>
    <t>2.3.1] EMERGENCY SURGICAL SPLIT (the proportion of all EMERGENCY surgeries performed by each department each year )</t>
  </si>
  <si>
    <t>2.3.2] APPOINTMENT SURGICAL SPLIT (the proportion of all APPOINTMENT surgeries performed by each department each year )</t>
  </si>
  <si>
    <t>2.3.4] APPOINTMENT (BASE~MINOR) OPERATION PRICE</t>
  </si>
  <si>
    <t>2.3.3] EMERGENCY (BASE~MINOR) OPERATION PRICE</t>
  </si>
  <si>
    <t>2.3.4] TOTAL INPATIENT % SPLIT FOR EMERGENCY</t>
  </si>
  <si>
    <t>2.3.4] TOTAL INPATIENT % SPLIT FOR APPOINTMENT</t>
  </si>
  <si>
    <t>2.3.5] OP. MULTIPLIER</t>
  </si>
  <si>
    <t>2.3.6] OPERATION TYPE SPLIT %</t>
  </si>
  <si>
    <t>TOTAL SURGICAL REVENUE</t>
  </si>
  <si>
    <t xml:space="preserve">(TYPE SPLIT%* MULTIPLIER) COMBINED FACTOR </t>
  </si>
  <si>
    <t>OPERATION TYPE SPLIT</t>
  </si>
  <si>
    <t>OPERATION MULTIPLIER</t>
  </si>
  <si>
    <t>SUM TOTAL</t>
  </si>
  <si>
    <t xml:space="preserve">2.3.7]  EMERGENCY ANCILLIARY COST/PATIENT </t>
  </si>
  <si>
    <t xml:space="preserve">2.3.8]  APPOINTMENT ANCILLIARY COST/PATIENT </t>
  </si>
  <si>
    <t>TOTAL ANCILLIARY REVENUE</t>
  </si>
  <si>
    <t>TOTAL INPATIENT REVENUE</t>
  </si>
  <si>
    <r>
      <t xml:space="preserve">Number of Employed </t>
    </r>
    <r>
      <rPr>
        <sz val="11"/>
        <color theme="0"/>
        <rFont val="Aptos Narrow"/>
        <family val="2"/>
        <scheme val="minor"/>
      </rPr>
      <t>In Total</t>
    </r>
  </si>
  <si>
    <t>2.2.1] SURGEONS</t>
  </si>
  <si>
    <t>As a percent of total (250 beds)</t>
  </si>
  <si>
    <t>AVG. DOCTOR'S SALARIES (14% annual inflation)</t>
  </si>
  <si>
    <t>ESTIMATED TOTAL NURSES AND PARAMEDICS SALARIES</t>
  </si>
  <si>
    <t>2.5]  TOTAL SALARY COSTS</t>
  </si>
  <si>
    <t>Total Room/Bed Revenues</t>
  </si>
  <si>
    <t>DEPARTMENT (14% inflation rate)</t>
  </si>
  <si>
    <t>Average Material Cost per Operation (INR)</t>
  </si>
  <si>
    <t>2.2} MATERIAL EXPENSES AND OTHER DIRECT EXPENSES</t>
  </si>
  <si>
    <t xml:space="preserve">2.2.1]  OPERATIONS </t>
  </si>
  <si>
    <t>2.2.1.1] TOTAL INPATIENT COUNT</t>
  </si>
  <si>
    <t>2.2.1.2] APPOINTMENT SURGICAL SPLIT (the proportion of all APPOINTMENT surgeries performed by each department each year )</t>
  </si>
  <si>
    <t xml:space="preserve">Inflation rate </t>
  </si>
  <si>
    <t>2.2.1.3] EMERGENCYSURGICAL SPLIT (the proportion of all APPOINTMENT surgeries performed by each department each year )</t>
  </si>
  <si>
    <t>2.2.1.4]  AVERAGE MATERIAL COST/OPERATION</t>
  </si>
  <si>
    <t>2.2.1.5] TOTAL MATERIAL COST FOR OPERATIONS</t>
  </si>
  <si>
    <t>ROOM TYPE</t>
  </si>
  <si>
    <t>Estimated Avg. Daily Material Cost per Bed (INR)</t>
  </si>
  <si>
    <t>ADJUSTED TO INFLATION at 10% (IN CR.)</t>
  </si>
  <si>
    <t>ACTIVE BEDS</t>
  </si>
  <si>
    <t xml:space="preserve">Emergency Consultation </t>
  </si>
  <si>
    <t xml:space="preserve">Appointment Consultation </t>
  </si>
  <si>
    <t>Total Consultations</t>
  </si>
  <si>
    <t>Avg. Material Cost per Consultation (INR)</t>
  </si>
  <si>
    <t>–</t>
  </si>
  <si>
    <t>% SPLIT OF CONSULTATIONS DEPARTMENT WISE</t>
  </si>
  <si>
    <t xml:space="preserve">TOTAL </t>
  </si>
  <si>
    <t>2.2.2]  HOSPITALIZATIONS</t>
  </si>
  <si>
    <t>2.2.2]  CONSULTATIONS</t>
  </si>
  <si>
    <t>2.2.2]  DIAGNOSTICS</t>
  </si>
  <si>
    <r>
      <t>%</t>
    </r>
    <r>
      <rPr>
        <b/>
        <sz val="11"/>
        <color theme="1"/>
        <rFont val="Aptos Narrow"/>
        <family val="2"/>
        <scheme val="minor"/>
      </rPr>
      <t>SPLIT FROM INTPATIENTS FOR EACH DIAGNOSIS EXAM</t>
    </r>
  </si>
  <si>
    <t>TOTAL REVENUE FROM INPATIENT TESTS</t>
  </si>
  <si>
    <t>Inflatinon Rate</t>
  </si>
  <si>
    <t xml:space="preserve">Inflation Factor </t>
  </si>
  <si>
    <t xml:space="preserve">TOTAL MATERIALS EXPENSES </t>
  </si>
  <si>
    <t>TOTAL MEDICAL MATERIAL EXPENSES</t>
  </si>
  <si>
    <t>Office supplies (stationery, printing, administrative materials)</t>
  </si>
  <si>
    <t>Housekeeping and cleaning supplies (detergents, mops, cleaning agents)</t>
  </si>
  <si>
    <t>Maintenance materials (tools, minor equipment, hardware)</t>
  </si>
  <si>
    <t>Uniforms and linen (non-clinical staff uniforms, towels, curtains)</t>
  </si>
  <si>
    <t>IT consumables (printer cartridges, cables, batteries)</t>
  </si>
  <si>
    <t>Miscellaneous (decor, signage, non-clinical furniture, etc.)</t>
  </si>
  <si>
    <t xml:space="preserve">Inflatiion Rate </t>
  </si>
  <si>
    <t>TOTAL OTHER MATERIAL(NON MEDICAL) EXPENSES</t>
  </si>
  <si>
    <t>Inflatiion Factor</t>
  </si>
  <si>
    <t>Average Salaries</t>
  </si>
  <si>
    <t>Oncology (Y6)</t>
  </si>
  <si>
    <t>Urology (Y6)</t>
  </si>
  <si>
    <t>Head &amp; Neck Surgery (Y7)</t>
  </si>
  <si>
    <t>Gynecology-Oncology (Y7)</t>
  </si>
  <si>
    <t>Infectious Disease (Y7)</t>
  </si>
  <si>
    <t>Hematology (Y7)</t>
  </si>
  <si>
    <t>Ophthalmology (Y8)</t>
  </si>
  <si>
    <t>Inflation Rate</t>
  </si>
  <si>
    <t>Average Account Payable</t>
  </si>
  <si>
    <t xml:space="preserve">Ending Account Payable </t>
  </si>
  <si>
    <t>Beginning  Account Payable</t>
  </si>
  <si>
    <t>Accrued Expenses</t>
  </si>
  <si>
    <t>Payroll Liabilities</t>
  </si>
  <si>
    <t>Statutory Dues</t>
  </si>
  <si>
    <t>Deferred Revenue</t>
  </si>
  <si>
    <t>Dividends Payable</t>
  </si>
  <si>
    <t>Customer Deposits</t>
  </si>
  <si>
    <t>Interest Payable</t>
  </si>
  <si>
    <t>Lease Liabilities</t>
  </si>
  <si>
    <t>Miscellaneous Payables</t>
  </si>
  <si>
    <t>Unclaimed refunds, insurance adjustments</t>
  </si>
  <si>
    <t>Current portion of lease payments</t>
  </si>
  <si>
    <t>Advance patient payments</t>
  </si>
  <si>
    <t>PF, ESI, professional tax</t>
  </si>
  <si>
    <t>Wages, bonuses, benefits due</t>
  </si>
  <si>
    <t>Unpaid salaries, utilities, taxes</t>
  </si>
  <si>
    <t>Unpaid declared dividends</t>
  </si>
  <si>
    <t>Patient/vendor deposits</t>
  </si>
  <si>
    <t>Loan interest due</t>
  </si>
  <si>
    <t>TOTAL OTHER CL</t>
  </si>
  <si>
    <t>Assumed to be 10% of COGS</t>
  </si>
  <si>
    <t>Yearly Interest Rate (10%)</t>
  </si>
  <si>
    <t>Repayment Period (15(total)-3 (grace) = 12)</t>
  </si>
  <si>
    <r>
      <t xml:space="preserve">0.7*252cr = </t>
    </r>
    <r>
      <rPr>
        <b/>
        <sz val="11"/>
        <color theme="0"/>
        <rFont val="Aptos Narrow"/>
        <family val="2"/>
        <scheme val="minor"/>
      </rPr>
      <t>176.4 Cr.</t>
    </r>
    <r>
      <rPr>
        <sz val="11"/>
        <color theme="0"/>
        <rFont val="Aptos Narrow"/>
        <family val="2"/>
        <scheme val="minor"/>
      </rPr>
      <t xml:space="preserve"> ~</t>
    </r>
  </si>
  <si>
    <t>Grace Period (in years)</t>
  </si>
  <si>
    <t>80cr</t>
  </si>
  <si>
    <t>100cr</t>
  </si>
  <si>
    <t>INCOME STATEMENT</t>
  </si>
  <si>
    <t>Sales Growth %</t>
  </si>
  <si>
    <t>Total Revenue</t>
  </si>
  <si>
    <t>COGS</t>
  </si>
  <si>
    <t>COGS Margin %</t>
  </si>
  <si>
    <t>Gross Profit</t>
  </si>
  <si>
    <t>Gross Profit Margin %</t>
  </si>
  <si>
    <t>TOTAL OPERATING EXPENSES (OPEX.)</t>
  </si>
  <si>
    <t>Opex Margin %</t>
  </si>
  <si>
    <t>EBITDA</t>
  </si>
  <si>
    <t>EBITDA Margin %</t>
  </si>
  <si>
    <t>Total Depriciation</t>
  </si>
  <si>
    <t>EBIT Margin %</t>
  </si>
  <si>
    <t>EBIT</t>
  </si>
  <si>
    <t>Long Term Interest Charge</t>
  </si>
  <si>
    <t>Overdraft Interest Expense</t>
  </si>
  <si>
    <t>Interest Expense</t>
  </si>
  <si>
    <t>Total Interest Expense</t>
  </si>
  <si>
    <t>EBT</t>
  </si>
  <si>
    <t>EBT Margin %</t>
  </si>
  <si>
    <t>NET INCOME</t>
  </si>
  <si>
    <t>RETAINED EARNINGS (CF)</t>
  </si>
  <si>
    <t>Retained Earnings (BF)</t>
  </si>
  <si>
    <t>TAX Expense @ 25%</t>
  </si>
  <si>
    <t>Dividiends Paid</t>
  </si>
  <si>
    <t>BALANCE SHEET</t>
  </si>
  <si>
    <t>Total Non Current Assets</t>
  </si>
  <si>
    <t>Cash Balance</t>
  </si>
  <si>
    <t>Inventory</t>
  </si>
  <si>
    <t>Total Current Assets</t>
  </si>
  <si>
    <t>Closing Receivables</t>
  </si>
  <si>
    <t xml:space="preserve">TOTAL ASSETS </t>
  </si>
  <si>
    <t>Return On Assets</t>
  </si>
  <si>
    <t xml:space="preserve">Overdraft </t>
  </si>
  <si>
    <t>Current Portion of Long Term Debt</t>
  </si>
  <si>
    <t>Long Term Debt</t>
  </si>
  <si>
    <t>TOTAL LOAN LIABILITIES</t>
  </si>
  <si>
    <t>Account Payables</t>
  </si>
  <si>
    <t>Other Current Liabilites</t>
  </si>
  <si>
    <t>Tax Payable</t>
  </si>
  <si>
    <t>TOTAL CURRENT LIABILITIES</t>
  </si>
  <si>
    <t>TOTAL LIABILITIES</t>
  </si>
  <si>
    <t>Net Income Margin %</t>
  </si>
  <si>
    <t xml:space="preserve">Retained Earnings </t>
  </si>
  <si>
    <t>TOTAL EQUITY</t>
  </si>
  <si>
    <t>TOTAL EQUITY AND LIABIILITIES</t>
  </si>
  <si>
    <t>Current Ratio</t>
  </si>
  <si>
    <t>Quick Ratio</t>
  </si>
  <si>
    <t>Return On Equity</t>
  </si>
  <si>
    <t>CASH FLOW STATEMENT</t>
  </si>
  <si>
    <t>Operating Income (EBIT)</t>
  </si>
  <si>
    <t>Minus Tax Paid</t>
  </si>
  <si>
    <t xml:space="preserve">Plus Depriciation </t>
  </si>
  <si>
    <t>GROSS OPERATING CASHFLOW</t>
  </si>
  <si>
    <t>Minus Increase in Receivables</t>
  </si>
  <si>
    <t xml:space="preserve">Minus Increase in Inventory </t>
  </si>
  <si>
    <t>Minus decrease in Payables</t>
  </si>
  <si>
    <t>NET OPERATING CASHFLOW</t>
  </si>
  <si>
    <t>Capex</t>
  </si>
  <si>
    <t>INVESTING CASHFLOW</t>
  </si>
  <si>
    <t>Share Capital Increase</t>
  </si>
  <si>
    <t>Long term Bank Financing</t>
  </si>
  <si>
    <t>Cash Overdraft</t>
  </si>
  <si>
    <t>Minus Net Interest</t>
  </si>
  <si>
    <t>FINANCING CASHFLOW</t>
  </si>
  <si>
    <t>Cash Inflow/ (Outflow)</t>
  </si>
  <si>
    <t>FREE CASH FLOW TO FIRM (FCFF)</t>
  </si>
  <si>
    <t>Working Capital</t>
  </si>
  <si>
    <t xml:space="preserve">PLUS Dep. </t>
  </si>
  <si>
    <t>Dep as % of Revenue</t>
  </si>
  <si>
    <t>Minus CAPEX</t>
  </si>
  <si>
    <t>CAPEX to Revenue %</t>
  </si>
  <si>
    <t>Minus CHANGE IN WC</t>
  </si>
  <si>
    <t>WC % of Revenue</t>
  </si>
  <si>
    <t>Net Income</t>
  </si>
  <si>
    <t>EBIT*(1-T) = NOPAT</t>
  </si>
  <si>
    <t xml:space="preserve">NOPAT as % of Revenue </t>
  </si>
  <si>
    <t>FCFF = NOPAT + DA - CAPEX - CHANGE IN WC</t>
  </si>
  <si>
    <t xml:space="preserve">WACC </t>
  </si>
  <si>
    <t>peretual growth rate = g</t>
  </si>
  <si>
    <t>FCFF in Y16</t>
  </si>
  <si>
    <t>Terminal Value</t>
  </si>
  <si>
    <t>PRESENT VALUE</t>
  </si>
  <si>
    <t xml:space="preserve">ENTERPRISE VALUE </t>
  </si>
  <si>
    <t>EQUITY VALUE</t>
  </si>
  <si>
    <t>METRICS</t>
  </si>
  <si>
    <t>ROI</t>
  </si>
  <si>
    <t xml:space="preserve">Net Income </t>
  </si>
  <si>
    <t xml:space="preserve">Equity </t>
  </si>
  <si>
    <t>RoI</t>
  </si>
  <si>
    <t>NPV and IRR</t>
  </si>
  <si>
    <t>Net Present Value</t>
  </si>
  <si>
    <t>IRR</t>
  </si>
  <si>
    <t>Profitability Index (PI)</t>
  </si>
  <si>
    <t>Terminal Value PV</t>
  </si>
  <si>
    <t>PV INCLUDING TV</t>
  </si>
  <si>
    <t>PAYBACK PERIOD</t>
  </si>
  <si>
    <t>Cumulative Cash Inflow</t>
  </si>
  <si>
    <t>Total Investment</t>
  </si>
  <si>
    <t>8 YEARS</t>
  </si>
  <si>
    <t>INCOME STATEMENT HIGHLIGHTS</t>
  </si>
  <si>
    <t xml:space="preserve">Financial Year Ending </t>
  </si>
  <si>
    <t xml:space="preserve">Revenue </t>
  </si>
  <si>
    <t>GROSS PROFIT</t>
  </si>
  <si>
    <t xml:space="preserve">Depriciation </t>
  </si>
  <si>
    <t xml:space="preserve">EBIT </t>
  </si>
  <si>
    <t xml:space="preserve">Interest Expense </t>
  </si>
  <si>
    <t>TAX Expense</t>
  </si>
  <si>
    <t>BALANCE SHEET HIGHLIGHTS</t>
  </si>
  <si>
    <t xml:space="preserve">Inventory </t>
  </si>
  <si>
    <t>Receivables</t>
  </si>
  <si>
    <t xml:space="preserve">Total Assets </t>
  </si>
  <si>
    <t>Debt</t>
  </si>
  <si>
    <t>Payables</t>
  </si>
  <si>
    <t>Total Equity</t>
  </si>
  <si>
    <t>Total Liabilities and Equity</t>
  </si>
  <si>
    <t>CASH FLOW HIGHLIGHTS</t>
  </si>
  <si>
    <t>Cash Inflow/(Outflow)</t>
  </si>
  <si>
    <t>Free Cashflows to Firm</t>
  </si>
  <si>
    <t>Working Capital/Sales</t>
  </si>
  <si>
    <t>Net Operating CF/Sales</t>
  </si>
  <si>
    <t>Depriciation/Sales</t>
  </si>
  <si>
    <t>BUSIENSS RATIOS</t>
  </si>
  <si>
    <t>Patient Days</t>
  </si>
  <si>
    <t>Active Beds</t>
  </si>
  <si>
    <t>Capacity Used %</t>
  </si>
  <si>
    <t>% Rooms Cpacity</t>
  </si>
  <si>
    <t>Financial Ratios</t>
  </si>
  <si>
    <t>RoA</t>
  </si>
  <si>
    <t>Debt/Equity</t>
  </si>
  <si>
    <t>RoE</t>
  </si>
  <si>
    <t>Gross Margin %</t>
  </si>
  <si>
    <t xml:space="preserve">Costs Breakdown </t>
  </si>
  <si>
    <t>Operating Costs</t>
  </si>
  <si>
    <t>ALOS</t>
  </si>
  <si>
    <t>OPEX.</t>
  </si>
  <si>
    <t>SUMMARY METRICS AND KPIs</t>
  </si>
  <si>
    <t>VALUATION METRICS</t>
  </si>
  <si>
    <t>DCF PARAMETERS</t>
  </si>
  <si>
    <t>Growth Rate to Perpetuity</t>
  </si>
  <si>
    <t>Present Value</t>
  </si>
  <si>
    <t>ENTERPRISE VALUE</t>
  </si>
  <si>
    <t>Net Debt</t>
  </si>
  <si>
    <t>VALUATION MULTIPLES</t>
  </si>
  <si>
    <t>EV/EBITDA</t>
  </si>
  <si>
    <t>EV/SALES</t>
  </si>
  <si>
    <t>P/E</t>
  </si>
  <si>
    <t>FCFF Yield</t>
  </si>
  <si>
    <t>Valuation Date</t>
  </si>
  <si>
    <t>TOTAL ACTIVE BEDS</t>
  </si>
  <si>
    <t>AVERAGE OCCUPANCY RATE</t>
  </si>
  <si>
    <t>ARPOB (In Thousands)</t>
  </si>
  <si>
    <t>2.1} DOCTORS</t>
  </si>
  <si>
    <t xml:space="preserve">Operations per Year per Surgeon (Max) </t>
  </si>
  <si>
    <t xml:space="preserve">Operations (Surgeries) </t>
  </si>
  <si>
    <t>SUMMARY (In Cr.)</t>
  </si>
  <si>
    <t>BREAKDOWN (In Cr.)</t>
  </si>
  <si>
    <t>Avg. Surgeons Salaries (In Thousands)</t>
  </si>
  <si>
    <t>% ACTIVE BEDS</t>
  </si>
  <si>
    <t xml:space="preserve">Emergency %SPLIT </t>
  </si>
  <si>
    <t>Emergency           revenue ₹/consultation/ patient</t>
  </si>
  <si>
    <t xml:space="preserve">Appointment %SPLIT </t>
  </si>
  <si>
    <t>Appointment       revenue    ₹/consultation/    patient</t>
  </si>
  <si>
    <t>%SPLIT FROM OUTPATIENTS FOR EACH DIAGNOSIS EXAM</t>
  </si>
  <si>
    <t>Emergency revenue ₹/consultation/patient</t>
  </si>
  <si>
    <t>%SPLIT FROM INTPATIENTS FOR EACH DIAGNOSIS EXAM</t>
  </si>
  <si>
    <t>TOTAL DEP.</t>
  </si>
  <si>
    <r>
      <t xml:space="preserve">The </t>
    </r>
    <r>
      <rPr>
        <b/>
        <sz val="11"/>
        <color theme="1"/>
        <rFont val="Aptos Narrow"/>
        <family val="2"/>
        <scheme val="minor"/>
      </rPr>
      <t>complete depreciation schedule</t>
    </r>
    <r>
      <rPr>
        <sz val="11"/>
        <color theme="1"/>
        <rFont val="Aptos Narrow"/>
        <family val="2"/>
        <scheme val="minor"/>
      </rPr>
      <t xml:space="preserve"> has been updated based on your request. Here's a summary of the process applied:</t>
    </r>
  </si>
  <si>
    <r>
      <t>Buildings</t>
    </r>
    <r>
      <rPr>
        <sz val="11"/>
        <color theme="1"/>
        <rFont val="Aptos Narrow"/>
        <family val="2"/>
        <scheme val="minor"/>
      </rPr>
      <t>: Depreciated at a constant 2% each year, without new additions.</t>
    </r>
  </si>
  <si>
    <r>
      <t>Other PPE categories</t>
    </r>
    <r>
      <rPr>
        <sz val="11"/>
        <color theme="1"/>
        <rFont val="Aptos Narrow"/>
        <family val="2"/>
        <scheme val="minor"/>
      </rPr>
      <t>: Depreciated based on both original value and new additions each year.</t>
    </r>
  </si>
  <si>
    <r>
      <t xml:space="preserve">The values are now </t>
    </r>
    <r>
      <rPr>
        <b/>
        <sz val="11"/>
        <color theme="1"/>
        <rFont val="Aptos Narrow"/>
        <family val="2"/>
        <scheme val="minor"/>
      </rPr>
      <t>rounded to two decimal places</t>
    </r>
    <r>
      <rPr>
        <sz val="11"/>
        <color theme="1"/>
        <rFont val="Aptos Narrow"/>
        <family val="2"/>
        <scheme val="minor"/>
      </rPr>
      <t>.</t>
    </r>
  </si>
  <si>
    <t>Total Doctors SUM</t>
  </si>
  <si>
    <t>Total non-Doctors SUM</t>
  </si>
  <si>
    <t>SALARY COSTS  TOTAL</t>
  </si>
  <si>
    <t>&lt;&lt; decreasing trend stabilizing at 55%</t>
  </si>
  <si>
    <t>2.1}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</si>
</sst>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₹&quot;\ #,##0;[Red]&quot;₹&quot;\ \-#,##0"/>
    <numFmt numFmtId="7" formatCode="&quot;₹&quot;\ #,##0.00;&quot;₹&quot;\ \-#,##0.00"/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₹&quot;\ #,##0.00"/>
    <numFmt numFmtId="165" formatCode="0.0000"/>
    <numFmt numFmtId="166" formatCode="0.0000%"/>
    <numFmt numFmtId="167" formatCode="0.00000%"/>
    <numFmt numFmtId="168" formatCode="&quot;₹&quot;\ #,##0.0000"/>
    <numFmt numFmtId="169" formatCode="&quot;₹&quot;\ #,##0"/>
    <numFmt numFmtId="170" formatCode="#,##0.00;[Red]#,##0.00"/>
  </numFmts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0"/>
      <color theme="1"/>
      <name val="Segoe UI"/>
      <family val="2"/>
    </font>
    <font>
      <sz val="11"/>
      <color rgb="FF3F3F3F"/>
      <name val="Aptos Narrow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Courier New"/>
      <family val="3"/>
    </font>
    <font>
      <sz val="10"/>
      <color theme="1"/>
      <name val="Segoe UI"/>
      <family val="2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9.6"/>
      <color theme="1"/>
      <name val="Segoe UI"/>
      <family val="2"/>
    </font>
    <font>
      <b/>
      <sz val="11"/>
      <color theme="1"/>
      <name val="Segoe UI"/>
      <family val="2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20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3" fillId="13" borderId="18" applyNumberFormat="0" applyAlignment="0" applyProtection="0"/>
    <xf numFmtId="0" fontId="1" fillId="14" borderId="0" applyNumberFormat="0" applyBorder="0" applyAlignment="0" applyProtection="0"/>
  </cellStyleXfs>
  <cellXfs count="262">
    <xf numFmtId="0" fontId="0" fillId="0" borderId="0" xfId="0"/>
    <xf numFmtId="0" fontId="4" fillId="0" borderId="0" xfId="0" applyFont="1"/>
    <xf numFmtId="0" fontId="2" fillId="2" borderId="1" xfId="1"/>
    <xf numFmtId="0" fontId="5" fillId="3" borderId="0" xfId="2"/>
    <xf numFmtId="0" fontId="3" fillId="3" borderId="0" xfId="2" applyFont="1"/>
    <xf numFmtId="0" fontId="0" fillId="0" borderId="0" xfId="0" applyAlignment="1">
      <alignment horizontal="center" vertical="center"/>
    </xf>
    <xf numFmtId="0" fontId="2" fillId="2" borderId="4" xfId="1" applyBorder="1"/>
    <xf numFmtId="0" fontId="5" fillId="3" borderId="3" xfId="2" applyBorder="1"/>
    <xf numFmtId="0" fontId="4" fillId="5" borderId="0" xfId="0" applyFont="1" applyFill="1"/>
    <xf numFmtId="0" fontId="0" fillId="5" borderId="0" xfId="0" applyFill="1"/>
    <xf numFmtId="0" fontId="2" fillId="2" borderId="1" xfId="1" applyAlignment="1">
      <alignment horizontal="center" vertical="center"/>
    </xf>
    <xf numFmtId="164" fontId="2" fillId="2" borderId="1" xfId="1" applyNumberFormat="1"/>
    <xf numFmtId="10" fontId="2" fillId="2" borderId="1" xfId="1" applyNumberFormat="1"/>
    <xf numFmtId="164" fontId="3" fillId="6" borderId="6" xfId="0" applyNumberFormat="1" applyFont="1" applyFill="1" applyBorder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8" borderId="0" xfId="2" applyFill="1"/>
    <xf numFmtId="0" fontId="5" fillId="8" borderId="0" xfId="0" applyFont="1" applyFill="1"/>
    <xf numFmtId="0" fontId="1" fillId="5" borderId="0" xfId="2" applyFont="1" applyFill="1"/>
    <xf numFmtId="0" fontId="4" fillId="5" borderId="0" xfId="2" applyFont="1" applyFill="1"/>
    <xf numFmtId="0" fontId="3" fillId="8" borderId="0" xfId="0" applyFont="1" applyFill="1"/>
    <xf numFmtId="0" fontId="3" fillId="8" borderId="0" xfId="2" applyFont="1" applyFill="1"/>
    <xf numFmtId="0" fontId="7" fillId="7" borderId="0" xfId="0" applyFont="1" applyFill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0" fontId="5" fillId="3" borderId="3" xfId="2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9" fontId="2" fillId="2" borderId="1" xfId="1" applyNumberFormat="1"/>
    <xf numFmtId="0" fontId="4" fillId="5" borderId="3" xfId="0" applyFont="1" applyFill="1" applyBorder="1"/>
    <xf numFmtId="9" fontId="4" fillId="5" borderId="3" xfId="0" applyNumberFormat="1" applyFont="1" applyFill="1" applyBorder="1"/>
    <xf numFmtId="0" fontId="5" fillId="3" borderId="3" xfId="2" applyBorder="1" applyAlignment="1">
      <alignment horizontal="left" vertical="center" indent="1"/>
    </xf>
    <xf numFmtId="9" fontId="5" fillId="3" borderId="3" xfId="2" applyNumberFormat="1" applyBorder="1"/>
    <xf numFmtId="0" fontId="4" fillId="0" borderId="0" xfId="0" applyFont="1" applyAlignment="1">
      <alignment vertical="center"/>
    </xf>
    <xf numFmtId="0" fontId="5" fillId="3" borderId="8" xfId="2" applyBorder="1" applyAlignment="1">
      <alignment vertical="center" wrapText="1"/>
    </xf>
    <xf numFmtId="0" fontId="10" fillId="8" borderId="6" xfId="2" applyFont="1" applyFill="1" applyBorder="1" applyAlignment="1">
      <alignment vertical="center" wrapText="1"/>
    </xf>
    <xf numFmtId="0" fontId="5" fillId="3" borderId="6" xfId="2" applyBorder="1"/>
    <xf numFmtId="0" fontId="5" fillId="8" borderId="6" xfId="2" applyFill="1" applyBorder="1"/>
    <xf numFmtId="0" fontId="3" fillId="8" borderId="6" xfId="2" applyFont="1" applyFill="1" applyBorder="1"/>
    <xf numFmtId="0" fontId="5" fillId="3" borderId="0" xfId="2" applyBorder="1"/>
    <xf numFmtId="0" fontId="5" fillId="3" borderId="6" xfId="2" applyBorder="1" applyAlignment="1">
      <alignment horizontal="left"/>
    </xf>
    <xf numFmtId="0" fontId="5" fillId="3" borderId="6" xfId="2" applyBorder="1" applyAlignment="1"/>
    <xf numFmtId="0" fontId="5" fillId="3" borderId="6" xfId="2" applyBorder="1" applyAlignment="1">
      <alignment horizontal="center"/>
    </xf>
    <xf numFmtId="8" fontId="0" fillId="0" borderId="0" xfId="0" applyNumberFormat="1"/>
    <xf numFmtId="8" fontId="5" fillId="8" borderId="6" xfId="2" applyNumberFormat="1" applyFill="1" applyBorder="1"/>
    <xf numFmtId="165" fontId="5" fillId="3" borderId="6" xfId="2" applyNumberFormat="1" applyBorder="1"/>
    <xf numFmtId="2" fontId="5" fillId="3" borderId="6" xfId="2" applyNumberForma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9" fillId="6" borderId="0" xfId="2" applyFont="1" applyFill="1" applyBorder="1" applyAlignment="1">
      <alignment horizontal="left"/>
    </xf>
    <xf numFmtId="10" fontId="5" fillId="3" borderId="3" xfId="2" applyNumberFormat="1" applyBorder="1"/>
    <xf numFmtId="0" fontId="3" fillId="3" borderId="3" xfId="2" applyFont="1" applyBorder="1"/>
    <xf numFmtId="166" fontId="5" fillId="3" borderId="3" xfId="2" applyNumberFormat="1" applyBorder="1"/>
    <xf numFmtId="0" fontId="10" fillId="8" borderId="0" xfId="0" applyFont="1" applyFill="1"/>
    <xf numFmtId="167" fontId="10" fillId="8" borderId="3" xfId="0" applyNumberFormat="1" applyFont="1" applyFill="1" applyBorder="1"/>
    <xf numFmtId="0" fontId="13" fillId="2" borderId="1" xfId="1" applyFont="1"/>
    <xf numFmtId="0" fontId="3" fillId="3" borderId="3" xfId="2" applyFont="1" applyBorder="1" applyAlignment="1"/>
    <xf numFmtId="44" fontId="3" fillId="3" borderId="3" xfId="2" applyNumberFormat="1" applyFont="1" applyBorder="1" applyAlignment="1"/>
    <xf numFmtId="0" fontId="4" fillId="5" borderId="3" xfId="0" applyFont="1" applyFill="1" applyBorder="1" applyAlignment="1">
      <alignment horizontal="center" vertical="center"/>
    </xf>
    <xf numFmtId="44" fontId="5" fillId="3" borderId="3" xfId="2" applyNumberFormat="1" applyBorder="1"/>
    <xf numFmtId="0" fontId="0" fillId="0" borderId="0" xfId="0" applyAlignment="1">
      <alignment horizontal="center" vertical="center" wrapText="1"/>
    </xf>
    <xf numFmtId="9" fontId="2" fillId="2" borderId="1" xfId="1" applyNumberFormat="1" applyAlignment="1">
      <alignment vertical="center" wrapText="1"/>
    </xf>
    <xf numFmtId="1" fontId="2" fillId="2" borderId="1" xfId="1" applyNumberFormat="1"/>
    <xf numFmtId="7" fontId="0" fillId="0" borderId="0" xfId="0" applyNumberFormat="1" applyAlignment="1">
      <alignment horizontal="center"/>
    </xf>
    <xf numFmtId="0" fontId="5" fillId="3" borderId="9" xfId="2" applyBorder="1" applyAlignment="1">
      <alignment vertical="center" wrapText="1"/>
    </xf>
    <xf numFmtId="0" fontId="0" fillId="5" borderId="10" xfId="0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top" wrapText="1"/>
    </xf>
    <xf numFmtId="0" fontId="0" fillId="5" borderId="12" xfId="0" applyFill="1" applyBorder="1" applyAlignment="1">
      <alignment horizontal="center" wrapText="1"/>
    </xf>
    <xf numFmtId="8" fontId="2" fillId="2" borderId="1" xfId="1" applyNumberFormat="1"/>
    <xf numFmtId="0" fontId="2" fillId="2" borderId="1" xfId="1" applyAlignment="1">
      <alignment vertical="center" wrapText="1"/>
    </xf>
    <xf numFmtId="0" fontId="3" fillId="11" borderId="0" xfId="0" applyFont="1" applyFill="1"/>
    <xf numFmtId="4" fontId="0" fillId="0" borderId="0" xfId="0" applyNumberFormat="1"/>
    <xf numFmtId="0" fontId="5" fillId="3" borderId="3" xfId="2" applyBorder="1" applyAlignment="1">
      <alignment horizontal="center" vertical="center"/>
    </xf>
    <xf numFmtId="0" fontId="16" fillId="0" borderId="0" xfId="0" applyFont="1" applyAlignment="1">
      <alignment horizontal="left" vertical="center" wrapText="1" indent="1"/>
    </xf>
    <xf numFmtId="0" fontId="0" fillId="5" borderId="0" xfId="0" applyFill="1" applyAlignment="1">
      <alignment horizontal="center"/>
    </xf>
    <xf numFmtId="0" fontId="4" fillId="0" borderId="0" xfId="0" applyFont="1" applyAlignment="1">
      <alignment vertical="center" wrapText="1"/>
    </xf>
    <xf numFmtId="0" fontId="4" fillId="12" borderId="0" xfId="0" applyFont="1" applyFill="1"/>
    <xf numFmtId="0" fontId="0" fillId="12" borderId="0" xfId="0" applyFill="1"/>
    <xf numFmtId="0" fontId="18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3" fillId="8" borderId="0" xfId="2" applyFont="1" applyFill="1" applyBorder="1" applyAlignment="1">
      <alignment vertical="center" wrapText="1"/>
    </xf>
    <xf numFmtId="0" fontId="4" fillId="8" borderId="0" xfId="0" applyFont="1" applyFill="1"/>
    <xf numFmtId="164" fontId="3" fillId="8" borderId="0" xfId="0" applyNumberFormat="1" applyFont="1" applyFill="1"/>
    <xf numFmtId="0" fontId="2" fillId="2" borderId="14" xfId="1" applyBorder="1" applyAlignment="1">
      <alignment vertical="center" wrapText="1"/>
    </xf>
    <xf numFmtId="0" fontId="2" fillId="2" borderId="14" xfId="1" applyBorder="1"/>
    <xf numFmtId="0" fontId="21" fillId="5" borderId="0" xfId="0" applyFont="1" applyFill="1" applyAlignment="1">
      <alignment horizontal="center" vertical="center" wrapText="1"/>
    </xf>
    <xf numFmtId="0" fontId="5" fillId="3" borderId="11" xfId="2" applyBorder="1" applyAlignment="1">
      <alignment vertical="center" wrapText="1"/>
    </xf>
    <xf numFmtId="0" fontId="5" fillId="3" borderId="0" xfId="2" applyAlignment="1">
      <alignment vertical="center" wrapText="1"/>
    </xf>
    <xf numFmtId="164" fontId="0" fillId="0" borderId="0" xfId="0" applyNumberFormat="1"/>
    <xf numFmtId="0" fontId="3" fillId="11" borderId="0" xfId="2" applyFont="1" applyFill="1" applyBorder="1" applyAlignment="1">
      <alignment vertical="center" wrapText="1"/>
    </xf>
    <xf numFmtId="0" fontId="4" fillId="11" borderId="0" xfId="0" applyFont="1" applyFill="1"/>
    <xf numFmtId="0" fontId="5" fillId="11" borderId="0" xfId="0" applyFont="1" applyFill="1"/>
    <xf numFmtId="9" fontId="0" fillId="0" borderId="0" xfId="0" applyNumberFormat="1"/>
    <xf numFmtId="0" fontId="4" fillId="5" borderId="0" xfId="0" applyFont="1" applyFill="1" applyAlignment="1">
      <alignment horizontal="left"/>
    </xf>
    <xf numFmtId="0" fontId="4" fillId="5" borderId="3" xfId="0" applyFont="1" applyFill="1" applyBorder="1" applyAlignment="1">
      <alignment horizontal="left"/>
    </xf>
    <xf numFmtId="6" fontId="2" fillId="2" borderId="1" xfId="1" applyNumberFormat="1"/>
    <xf numFmtId="0" fontId="5" fillId="3" borderId="0" xfId="2" applyBorder="1" applyAlignment="1">
      <alignment vertical="center" wrapText="1"/>
    </xf>
    <xf numFmtId="8" fontId="5" fillId="3" borderId="0" xfId="2" applyNumberFormat="1"/>
    <xf numFmtId="0" fontId="5" fillId="3" borderId="16" xfId="2" applyBorder="1" applyAlignment="1">
      <alignment horizontal="center"/>
    </xf>
    <xf numFmtId="2" fontId="5" fillId="3" borderId="17" xfId="2" applyNumberFormat="1" applyBorder="1" applyAlignment="1">
      <alignment horizontal="center"/>
    </xf>
    <xf numFmtId="0" fontId="5" fillId="3" borderId="17" xfId="2" applyBorder="1" applyAlignment="1">
      <alignment horizontal="center"/>
    </xf>
    <xf numFmtId="164" fontId="5" fillId="3" borderId="3" xfId="2" applyNumberFormat="1" applyBorder="1"/>
    <xf numFmtId="0" fontId="20" fillId="7" borderId="0" xfId="0" applyFont="1" applyFill="1"/>
    <xf numFmtId="0" fontId="23" fillId="10" borderId="0" xfId="0" applyFont="1" applyFill="1"/>
    <xf numFmtId="0" fontId="0" fillId="10" borderId="0" xfId="0" applyFill="1"/>
    <xf numFmtId="0" fontId="3" fillId="8" borderId="3" xfId="0" applyFont="1" applyFill="1" applyBorder="1"/>
    <xf numFmtId="0" fontId="23" fillId="10" borderId="3" xfId="0" applyFont="1" applyFill="1" applyBorder="1"/>
    <xf numFmtId="164" fontId="3" fillId="8" borderId="3" xfId="0" applyNumberFormat="1" applyFont="1" applyFill="1" applyBorder="1"/>
    <xf numFmtId="10" fontId="0" fillId="10" borderId="3" xfId="0" applyNumberFormat="1" applyFill="1" applyBorder="1"/>
    <xf numFmtId="10" fontId="0" fillId="0" borderId="0" xfId="0" applyNumberFormat="1"/>
    <xf numFmtId="0" fontId="23" fillId="15" borderId="0" xfId="0" applyFont="1" applyFill="1"/>
    <xf numFmtId="10" fontId="23" fillId="15" borderId="0" xfId="0" applyNumberFormat="1" applyFont="1" applyFill="1"/>
    <xf numFmtId="10" fontId="3" fillId="3" borderId="3" xfId="2" applyNumberFormat="1" applyFont="1" applyBorder="1"/>
    <xf numFmtId="9" fontId="3" fillId="3" borderId="3" xfId="2" applyNumberFormat="1" applyFont="1" applyBorder="1"/>
    <xf numFmtId="8" fontId="3" fillId="3" borderId="3" xfId="2" applyNumberFormat="1" applyFont="1" applyBorder="1"/>
    <xf numFmtId="8" fontId="3" fillId="8" borderId="0" xfId="0" applyNumberFormat="1" applyFont="1" applyFill="1"/>
    <xf numFmtId="0" fontId="3" fillId="3" borderId="0" xfId="2" applyFont="1" applyBorder="1"/>
    <xf numFmtId="2" fontId="5" fillId="3" borderId="3" xfId="2" applyNumberFormat="1" applyBorder="1"/>
    <xf numFmtId="2" fontId="2" fillId="2" borderId="1" xfId="1" applyNumberFormat="1"/>
    <xf numFmtId="0" fontId="3" fillId="3" borderId="3" xfId="2" applyFont="1" applyBorder="1" applyAlignment="1">
      <alignment horizontal="center" vertical="center"/>
    </xf>
    <xf numFmtId="0" fontId="4" fillId="7" borderId="18" xfId="5" applyFont="1" applyFill="1"/>
    <xf numFmtId="0" fontId="0" fillId="6" borderId="0" xfId="0" applyFill="1"/>
    <xf numFmtId="0" fontId="5" fillId="6" borderId="0" xfId="0" applyFont="1" applyFill="1"/>
    <xf numFmtId="0" fontId="24" fillId="16" borderId="0" xfId="0" applyFont="1" applyFill="1"/>
    <xf numFmtId="0" fontId="25" fillId="10" borderId="0" xfId="0" applyFont="1" applyFill="1"/>
    <xf numFmtId="164" fontId="4" fillId="7" borderId="18" xfId="5" applyNumberFormat="1" applyFont="1" applyFill="1"/>
    <xf numFmtId="0" fontId="24" fillId="14" borderId="0" xfId="6" applyFont="1"/>
    <xf numFmtId="14" fontId="2" fillId="2" borderId="1" xfId="1" applyNumberFormat="1"/>
    <xf numFmtId="164" fontId="3" fillId="3" borderId="3" xfId="2" applyNumberFormat="1" applyFont="1" applyBorder="1"/>
    <xf numFmtId="164" fontId="3" fillId="3" borderId="0" xfId="2" applyNumberFormat="1" applyFont="1"/>
    <xf numFmtId="0" fontId="4" fillId="5" borderId="0" xfId="0" applyFont="1" applyFill="1" applyAlignment="1">
      <alignment horizontal="left" vertical="center"/>
    </xf>
    <xf numFmtId="0" fontId="26" fillId="0" borderId="0" xfId="0" applyFont="1"/>
    <xf numFmtId="0" fontId="4" fillId="11" borderId="3" xfId="0" applyFont="1" applyFill="1" applyBorder="1" applyAlignment="1">
      <alignment horizontal="left" vertical="center"/>
    </xf>
    <xf numFmtId="164" fontId="13" fillId="2" borderId="1" xfId="1" applyNumberFormat="1" applyFont="1"/>
    <xf numFmtId="164" fontId="13" fillId="2" borderId="15" xfId="1" applyNumberFormat="1" applyFont="1" applyBorder="1"/>
    <xf numFmtId="0" fontId="13" fillId="2" borderId="1" xfId="1" applyFont="1" applyAlignment="1">
      <alignment vertical="center" wrapText="1"/>
    </xf>
    <xf numFmtId="169" fontId="13" fillId="2" borderId="1" xfId="1" applyNumberFormat="1" applyFont="1" applyAlignment="1">
      <alignment vertical="center" wrapText="1"/>
    </xf>
    <xf numFmtId="9" fontId="13" fillId="2" borderId="1" xfId="1" applyNumberFormat="1" applyFont="1" applyAlignment="1">
      <alignment vertical="center" wrapText="1"/>
    </xf>
    <xf numFmtId="164" fontId="27" fillId="2" borderId="1" xfId="1" applyNumberFormat="1" applyFont="1"/>
    <xf numFmtId="0" fontId="13" fillId="2" borderId="14" xfId="1" applyFont="1" applyBorder="1" applyAlignment="1">
      <alignment vertical="center" wrapText="1"/>
    </xf>
    <xf numFmtId="10" fontId="13" fillId="2" borderId="1" xfId="1" applyNumberFormat="1" applyFont="1"/>
    <xf numFmtId="164" fontId="13" fillId="2" borderId="1" xfId="1" applyNumberFormat="1" applyFont="1" applyAlignment="1">
      <alignment vertical="center" wrapText="1"/>
    </xf>
    <xf numFmtId="9" fontId="13" fillId="2" borderId="1" xfId="1" applyNumberFormat="1" applyFont="1"/>
    <xf numFmtId="7" fontId="13" fillId="2" borderId="1" xfId="1" applyNumberFormat="1" applyFont="1"/>
    <xf numFmtId="3" fontId="13" fillId="2" borderId="1" xfId="1" applyNumberFormat="1" applyFont="1" applyAlignment="1">
      <alignment vertical="center" wrapText="1"/>
    </xf>
    <xf numFmtId="10" fontId="13" fillId="2" borderId="1" xfId="1" applyNumberFormat="1" applyFont="1" applyAlignment="1">
      <alignment vertical="center" wrapText="1"/>
    </xf>
    <xf numFmtId="6" fontId="13" fillId="2" borderId="1" xfId="1" applyNumberFormat="1" applyFont="1" applyAlignment="1">
      <alignment vertical="center" wrapText="1"/>
    </xf>
    <xf numFmtId="0" fontId="13" fillId="2" borderId="4" xfId="1" applyFont="1" applyBorder="1"/>
    <xf numFmtId="1" fontId="13" fillId="2" borderId="1" xfId="1" applyNumberFormat="1" applyFont="1"/>
    <xf numFmtId="0" fontId="0" fillId="0" borderId="0" xfId="0" applyAlignment="1">
      <alignment vertical="center"/>
    </xf>
    <xf numFmtId="0" fontId="5" fillId="11" borderId="0" xfId="2" applyFill="1" applyAlignment="1">
      <alignment vertical="center" wrapText="1"/>
    </xf>
    <xf numFmtId="0" fontId="0" fillId="5" borderId="10" xfId="0" applyFill="1" applyBorder="1" applyAlignment="1">
      <alignment horizontal="center" wrapText="1"/>
    </xf>
    <xf numFmtId="0" fontId="0" fillId="5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6" fontId="5" fillId="3" borderId="0" xfId="2" applyNumberFormat="1"/>
    <xf numFmtId="6" fontId="13" fillId="2" borderId="1" xfId="1" applyNumberFormat="1" applyFont="1"/>
    <xf numFmtId="0" fontId="22" fillId="5" borderId="3" xfId="0" applyFont="1" applyFill="1" applyBorder="1" applyAlignment="1">
      <alignment horizontal="center" vertical="center" wrapText="1"/>
    </xf>
    <xf numFmtId="0" fontId="5" fillId="3" borderId="22" xfId="2" applyBorder="1" applyAlignment="1">
      <alignment vertical="center" wrapText="1"/>
    </xf>
    <xf numFmtId="0" fontId="5" fillId="3" borderId="22" xfId="2" applyBorder="1"/>
    <xf numFmtId="0" fontId="22" fillId="5" borderId="3" xfId="0" applyFont="1" applyFill="1" applyBorder="1" applyAlignment="1">
      <alignment horizontal="left" vertical="top" wrapText="1"/>
    </xf>
    <xf numFmtId="6" fontId="13" fillId="2" borderId="14" xfId="1" applyNumberFormat="1" applyFont="1" applyBorder="1" applyAlignment="1">
      <alignment vertical="center" wrapText="1"/>
    </xf>
    <xf numFmtId="0" fontId="21" fillId="5" borderId="3" xfId="0" applyFont="1" applyFill="1" applyBorder="1" applyAlignment="1">
      <alignment horizontal="center" vertical="center" wrapText="1"/>
    </xf>
    <xf numFmtId="6" fontId="14" fillId="0" borderId="3" xfId="0" applyNumberFormat="1" applyFont="1" applyBorder="1" applyAlignment="1">
      <alignment vertical="center" wrapText="1"/>
    </xf>
    <xf numFmtId="164" fontId="0" fillId="0" borderId="3" xfId="0" applyNumberFormat="1" applyBorder="1"/>
    <xf numFmtId="164" fontId="13" fillId="2" borderId="14" xfId="1" applyNumberFormat="1" applyFont="1" applyBorder="1"/>
    <xf numFmtId="0" fontId="13" fillId="2" borderId="14" xfId="1" applyFont="1" applyBorder="1"/>
    <xf numFmtId="0" fontId="11" fillId="8" borderId="6" xfId="2" applyFont="1" applyFill="1" applyBorder="1" applyAlignment="1">
      <alignment horizontal="center" vertical="center" wrapText="1"/>
    </xf>
    <xf numFmtId="164" fontId="23" fillId="15" borderId="0" xfId="0" applyNumberFormat="1" applyFont="1" applyFill="1"/>
    <xf numFmtId="0" fontId="4" fillId="17" borderId="0" xfId="0" applyFont="1" applyFill="1"/>
    <xf numFmtId="0" fontId="4" fillId="17" borderId="3" xfId="0" applyFont="1" applyFill="1" applyBorder="1"/>
    <xf numFmtId="164" fontId="4" fillId="17" borderId="3" xfId="0" applyNumberFormat="1" applyFont="1" applyFill="1" applyBorder="1"/>
    <xf numFmtId="6" fontId="2" fillId="2" borderId="1" xfId="1" applyNumberFormat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1" fillId="17" borderId="0" xfId="0" applyFont="1" applyFill="1"/>
    <xf numFmtId="0" fontId="28" fillId="8" borderId="0" xfId="0" applyFont="1" applyFill="1"/>
    <xf numFmtId="164" fontId="28" fillId="8" borderId="0" xfId="0" applyNumberFormat="1" applyFont="1" applyFill="1"/>
    <xf numFmtId="0" fontId="29" fillId="0" borderId="0" xfId="0" applyFont="1"/>
    <xf numFmtId="8" fontId="13" fillId="2" borderId="1" xfId="1" applyNumberFormat="1" applyFont="1"/>
    <xf numFmtId="0" fontId="10" fillId="18" borderId="0" xfId="0" applyFont="1" applyFill="1"/>
    <xf numFmtId="4" fontId="2" fillId="2" borderId="1" xfId="1" applyNumberFormat="1"/>
    <xf numFmtId="44" fontId="13" fillId="2" borderId="1" xfId="1" applyNumberFormat="1" applyFont="1"/>
    <xf numFmtId="44" fontId="13" fillId="2" borderId="1" xfId="1" applyNumberFormat="1" applyFont="1" applyAlignment="1">
      <alignment vertical="center" wrapText="1"/>
    </xf>
    <xf numFmtId="168" fontId="13" fillId="2" borderId="1" xfId="1" applyNumberFormat="1" applyFont="1"/>
    <xf numFmtId="4" fontId="13" fillId="2" borderId="1" xfId="1" applyNumberFormat="1" applyFont="1" applyAlignment="1">
      <alignment vertical="center" wrapText="1"/>
    </xf>
    <xf numFmtId="164" fontId="5" fillId="8" borderId="0" xfId="0" applyNumberFormat="1" applyFont="1" applyFill="1"/>
    <xf numFmtId="164" fontId="3" fillId="8" borderId="1" xfId="1" applyNumberFormat="1" applyFont="1" applyFill="1"/>
    <xf numFmtId="0" fontId="3" fillId="8" borderId="1" xfId="1" applyFont="1" applyFill="1" applyAlignment="1">
      <alignment vertical="center" wrapText="1"/>
    </xf>
    <xf numFmtId="0" fontId="3" fillId="8" borderId="1" xfId="1" applyFont="1" applyFill="1"/>
    <xf numFmtId="6" fontId="5" fillId="8" borderId="0" xfId="2" applyNumberFormat="1" applyFill="1"/>
    <xf numFmtId="0" fontId="1" fillId="0" borderId="0" xfId="0" applyFont="1"/>
    <xf numFmtId="0" fontId="0" fillId="19" borderId="0" xfId="0" applyFill="1"/>
    <xf numFmtId="0" fontId="5" fillId="8" borderId="0" xfId="2" applyFill="1" applyAlignment="1">
      <alignment vertical="center" wrapText="1"/>
    </xf>
    <xf numFmtId="0" fontId="5" fillId="8" borderId="0" xfId="2" applyFill="1" applyBorder="1" applyAlignment="1">
      <alignment vertical="center" wrapText="1"/>
    </xf>
    <xf numFmtId="0" fontId="5" fillId="8" borderId="3" xfId="0" applyFont="1" applyFill="1" applyBorder="1"/>
    <xf numFmtId="164" fontId="5" fillId="8" borderId="1" xfId="1" applyNumberFormat="1" applyFont="1" applyFill="1"/>
    <xf numFmtId="2" fontId="3" fillId="8" borderId="3" xfId="0" applyNumberFormat="1" applyFont="1" applyFill="1" applyBorder="1"/>
    <xf numFmtId="2" fontId="13" fillId="2" borderId="1" xfId="1" applyNumberFormat="1" applyFont="1"/>
    <xf numFmtId="0" fontId="3" fillId="8" borderId="0" xfId="2" applyFont="1" applyFill="1" applyBorder="1" applyAlignment="1">
      <alignment horizontal="left" vertical="center" indent="1"/>
    </xf>
    <xf numFmtId="9" fontId="3" fillId="8" borderId="0" xfId="2" applyNumberFormat="1" applyFont="1" applyFill="1" applyBorder="1"/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20" borderId="0" xfId="2" applyFont="1" applyFill="1"/>
    <xf numFmtId="0" fontId="7" fillId="7" borderId="0" xfId="0" applyFont="1" applyFill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5" borderId="3" xfId="0" applyFont="1" applyFill="1" applyBorder="1" applyAlignment="1">
      <alignment horizontal="center"/>
    </xf>
    <xf numFmtId="0" fontId="4" fillId="5" borderId="16" xfId="2" applyFont="1" applyFill="1" applyBorder="1" applyAlignment="1">
      <alignment horizontal="left"/>
    </xf>
    <xf numFmtId="0" fontId="4" fillId="5" borderId="24" xfId="2" applyFont="1" applyFill="1" applyBorder="1" applyAlignment="1">
      <alignment horizontal="left"/>
    </xf>
    <xf numFmtId="0" fontId="4" fillId="5" borderId="25" xfId="2" applyFont="1" applyFill="1" applyBorder="1" applyAlignment="1">
      <alignment horizontal="left"/>
    </xf>
    <xf numFmtId="0" fontId="4" fillId="5" borderId="23" xfId="2" applyFont="1" applyFill="1" applyBorder="1" applyAlignment="1">
      <alignment horizontal="center"/>
    </xf>
    <xf numFmtId="0" fontId="4" fillId="5" borderId="23" xfId="0" applyFont="1" applyFill="1" applyBorder="1" applyAlignment="1">
      <alignment horizontal="left"/>
    </xf>
    <xf numFmtId="0" fontId="3" fillId="3" borderId="6" xfId="2" applyFont="1" applyBorder="1" applyAlignment="1">
      <alignment horizontal="left"/>
    </xf>
    <xf numFmtId="10" fontId="3" fillId="3" borderId="6" xfId="2" applyNumberFormat="1" applyFont="1" applyBorder="1" applyAlignment="1">
      <alignment horizontal="left"/>
    </xf>
    <xf numFmtId="0" fontId="5" fillId="3" borderId="6" xfId="2" applyBorder="1" applyAlignment="1">
      <alignment horizontal="left"/>
    </xf>
    <xf numFmtId="0" fontId="19" fillId="0" borderId="0" xfId="4" applyAlignment="1">
      <alignment horizontal="left" vertical="center" wrapText="1"/>
    </xf>
    <xf numFmtId="0" fontId="0" fillId="5" borderId="3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3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9" fillId="6" borderId="0" xfId="2" applyFont="1" applyFill="1" applyBorder="1" applyAlignment="1">
      <alignment horizontal="left"/>
    </xf>
    <xf numFmtId="0" fontId="7" fillId="17" borderId="19" xfId="3" applyFont="1" applyFill="1" applyBorder="1" applyAlignment="1">
      <alignment horizontal="left" vertical="center"/>
    </xf>
    <xf numFmtId="0" fontId="7" fillId="17" borderId="0" xfId="3" applyFont="1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8" fillId="5" borderId="0" xfId="0" applyFont="1" applyFill="1" applyAlignment="1">
      <alignment horizontal="left"/>
    </xf>
    <xf numFmtId="0" fontId="0" fillId="5" borderId="2" xfId="0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5" borderId="7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3" borderId="2" xfId="2" applyFont="1" applyBorder="1" applyAlignment="1">
      <alignment horizontal="left"/>
    </xf>
    <xf numFmtId="0" fontId="2" fillId="5" borderId="1" xfId="1" applyFill="1" applyAlignment="1">
      <alignment horizontal="center"/>
    </xf>
    <xf numFmtId="0" fontId="3" fillId="3" borderId="3" xfId="2" applyFont="1" applyBorder="1" applyAlignment="1">
      <alignment horizontal="left"/>
    </xf>
    <xf numFmtId="0" fontId="0" fillId="9" borderId="0" xfId="0" applyFill="1" applyAlignment="1">
      <alignment horizontal="left"/>
    </xf>
    <xf numFmtId="0" fontId="2" fillId="5" borderId="20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4" xfId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2" fillId="5" borderId="1" xfId="1" applyFill="1" applyAlignment="1">
      <alignment horizontal="left"/>
    </xf>
    <xf numFmtId="0" fontId="5" fillId="3" borderId="3" xfId="2" applyBorder="1" applyAlignment="1">
      <alignment horizontal="left"/>
    </xf>
    <xf numFmtId="0" fontId="4" fillId="5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0" fontId="4" fillId="17" borderId="0" xfId="0" applyNumberFormat="1" applyFont="1" applyFill="1" applyBorder="1"/>
    <xf numFmtId="2" fontId="0" fillId="10" borderId="0" xfId="0" applyNumberFormat="1" applyFill="1" applyBorder="1"/>
    <xf numFmtId="170" fontId="13" fillId="2" borderId="0" xfId="1" applyNumberFormat="1" applyFont="1" applyBorder="1"/>
    <xf numFmtId="10" fontId="0" fillId="10" borderId="0" xfId="0" applyNumberFormat="1" applyFill="1" applyBorder="1"/>
    <xf numFmtId="170" fontId="13" fillId="2" borderId="0" xfId="1" applyNumberFormat="1" applyFont="1" applyBorder="1" applyAlignment="1">
      <alignment vertical="center" wrapText="1"/>
    </xf>
    <xf numFmtId="170" fontId="0" fillId="10" borderId="0" xfId="0" applyNumberFormat="1" applyFill="1" applyBorder="1"/>
    <xf numFmtId="44" fontId="13" fillId="2" borderId="0" xfId="1" applyNumberFormat="1" applyFont="1" applyBorder="1"/>
    <xf numFmtId="170" fontId="2" fillId="2" borderId="1" xfId="1" applyNumberFormat="1"/>
  </cellXfs>
  <cellStyles count="7">
    <cellStyle name="40% - Accent3" xfId="3" builtinId="39"/>
    <cellStyle name="60% - Accent1" xfId="6" builtinId="32"/>
    <cellStyle name="Accent1" xfId="2" builtinId="29"/>
    <cellStyle name="Check Cell" xfId="5" builtinId="23"/>
    <cellStyle name="Hyperlink" xfId="4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utlookmoney.com/insurance/health-insurance/surgery-costs-surge-by-300-per-cent-over-last-decade-learn-to-manage-expensive-health-bills" TargetMode="External"/><Relationship Id="rId2" Type="http://schemas.openxmlformats.org/officeDocument/2006/relationships/hyperlink" Target="https://academic.oup.com/bja/article/119/2/249/4049141" TargetMode="External"/><Relationship Id="rId1" Type="http://schemas.openxmlformats.org/officeDocument/2006/relationships/hyperlink" Target="https://academic.oup.com/bja/article/119/2/249/4049141" TargetMode="External"/><Relationship Id="rId5" Type="http://schemas.openxmlformats.org/officeDocument/2006/relationships/hyperlink" Target="https://www.financialexpress.com/business/healthcare/indias-healthcare-costs-to-rise-13-in-2025-beat-global-average-report/3800929/" TargetMode="External"/><Relationship Id="rId4" Type="http://schemas.openxmlformats.org/officeDocument/2006/relationships/hyperlink" Target="https://www.cnbctv18.com/personal-finance/medical-inflation-fuels-higher-health-insurance-premiums-reduce-cost-medi-assist-ceo-196119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D275-56DC-4A8F-B4C7-694D7BE49EF9}">
  <dimension ref="A1:O233"/>
  <sheetViews>
    <sheetView tabSelected="1" zoomScale="72" zoomScaleNormal="102" workbookViewId="0">
      <selection activeCell="G68" sqref="G68"/>
    </sheetView>
  </sheetViews>
  <sheetFormatPr defaultRowHeight="14.4"/>
  <cols>
    <col min="1" max="1" width="29.44140625" customWidth="1"/>
    <col min="2" max="2" width="24.44140625" customWidth="1"/>
    <col min="3" max="3" width="19.6640625" customWidth="1"/>
    <col min="4" max="4" width="21.5546875" bestFit="1" customWidth="1"/>
    <col min="5" max="5" width="25.88671875" bestFit="1" customWidth="1"/>
    <col min="6" max="6" width="32.44140625" customWidth="1"/>
    <col min="7" max="7" width="22.6640625" customWidth="1"/>
    <col min="8" max="8" width="20.109375" customWidth="1"/>
    <col min="9" max="9" width="22.33203125" customWidth="1"/>
  </cols>
  <sheetData>
    <row r="1" spans="1:10" ht="21">
      <c r="A1" s="26" t="s">
        <v>288</v>
      </c>
      <c r="B1" s="26"/>
      <c r="C1" s="26"/>
      <c r="D1" s="26"/>
      <c r="E1" s="26"/>
      <c r="F1" s="26"/>
      <c r="G1" s="26"/>
      <c r="H1" s="26"/>
      <c r="I1" s="26"/>
      <c r="J1" s="26"/>
    </row>
    <row r="2" spans="1:10">
      <c r="A2" s="30" t="s">
        <v>289</v>
      </c>
      <c r="F2" s="1" t="s">
        <v>318</v>
      </c>
    </row>
    <row r="3" spans="1:10">
      <c r="A3" s="31" t="s">
        <v>290</v>
      </c>
      <c r="F3" s="29" t="s">
        <v>319</v>
      </c>
    </row>
    <row r="4" spans="1:10">
      <c r="A4" s="31" t="s">
        <v>291</v>
      </c>
      <c r="F4" s="29" t="s">
        <v>320</v>
      </c>
    </row>
    <row r="5" spans="1:10">
      <c r="A5" s="29"/>
      <c r="F5" s="29" t="s">
        <v>321</v>
      </c>
    </row>
    <row r="6" spans="1:10">
      <c r="A6" s="30" t="s">
        <v>292</v>
      </c>
      <c r="F6" s="29" t="s">
        <v>322</v>
      </c>
    </row>
    <row r="7" spans="1:10">
      <c r="A7" s="31" t="s">
        <v>293</v>
      </c>
    </row>
    <row r="8" spans="1:10">
      <c r="A8" s="31" t="s">
        <v>294</v>
      </c>
      <c r="F8" s="1" t="s">
        <v>323</v>
      </c>
    </row>
    <row r="9" spans="1:10">
      <c r="A9" s="31" t="s">
        <v>295</v>
      </c>
      <c r="F9" s="29" t="s">
        <v>324</v>
      </c>
    </row>
    <row r="10" spans="1:10">
      <c r="A10" s="30"/>
      <c r="F10" s="29" t="s">
        <v>325</v>
      </c>
    </row>
    <row r="11" spans="1:10">
      <c r="A11" s="30" t="s">
        <v>296</v>
      </c>
    </row>
    <row r="12" spans="1:10">
      <c r="A12" s="32" t="s">
        <v>297</v>
      </c>
      <c r="F12" s="1" t="s">
        <v>326</v>
      </c>
    </row>
    <row r="13" spans="1:10">
      <c r="A13" s="32" t="s">
        <v>298</v>
      </c>
      <c r="F13" s="29" t="s">
        <v>327</v>
      </c>
    </row>
    <row r="14" spans="1:10">
      <c r="A14" s="32" t="s">
        <v>299</v>
      </c>
      <c r="F14" s="29" t="s">
        <v>328</v>
      </c>
    </row>
    <row r="15" spans="1:10">
      <c r="A15" s="32" t="s">
        <v>300</v>
      </c>
      <c r="F15" s="29" t="s">
        <v>329</v>
      </c>
    </row>
    <row r="16" spans="1:10">
      <c r="A16" s="32" t="s">
        <v>301</v>
      </c>
    </row>
    <row r="17" spans="1:6">
      <c r="A17" s="32" t="s">
        <v>302</v>
      </c>
      <c r="F17" s="1" t="s">
        <v>330</v>
      </c>
    </row>
    <row r="18" spans="1:6">
      <c r="A18" s="32" t="s">
        <v>303</v>
      </c>
      <c r="F18" s="29" t="s">
        <v>331</v>
      </c>
    </row>
    <row r="19" spans="1:6">
      <c r="A19" s="32" t="s">
        <v>304</v>
      </c>
      <c r="F19" s="29" t="s">
        <v>332</v>
      </c>
    </row>
    <row r="20" spans="1:6">
      <c r="A20" s="32" t="s">
        <v>305</v>
      </c>
      <c r="F20" t="s">
        <v>333</v>
      </c>
    </row>
    <row r="21" spans="1:6">
      <c r="A21" s="30"/>
    </row>
    <row r="22" spans="1:6">
      <c r="A22" s="30" t="s">
        <v>306</v>
      </c>
      <c r="F22" s="1" t="s">
        <v>334</v>
      </c>
    </row>
    <row r="23" spans="1:6">
      <c r="A23" s="32" t="s">
        <v>307</v>
      </c>
      <c r="F23" t="s">
        <v>335</v>
      </c>
    </row>
    <row r="24" spans="1:6">
      <c r="A24" s="32" t="s">
        <v>308</v>
      </c>
      <c r="F24" t="s">
        <v>336</v>
      </c>
    </row>
    <row r="25" spans="1:6">
      <c r="A25" s="32" t="s">
        <v>309</v>
      </c>
    </row>
    <row r="26" spans="1:6">
      <c r="A26" s="30" t="s">
        <v>310</v>
      </c>
      <c r="F26" s="1" t="s">
        <v>379</v>
      </c>
    </row>
    <row r="27" spans="1:6">
      <c r="A27" s="30" t="s">
        <v>311</v>
      </c>
      <c r="F27" s="38" t="s">
        <v>380</v>
      </c>
    </row>
    <row r="28" spans="1:6">
      <c r="A28" s="30" t="s">
        <v>312</v>
      </c>
      <c r="F28" s="30" t="s">
        <v>381</v>
      </c>
    </row>
    <row r="29" spans="1:6">
      <c r="A29" s="30" t="s">
        <v>313</v>
      </c>
      <c r="F29" s="30" t="s">
        <v>382</v>
      </c>
    </row>
    <row r="30" spans="1:6">
      <c r="F30" s="30" t="s">
        <v>383</v>
      </c>
    </row>
    <row r="31" spans="1:6">
      <c r="A31" s="1" t="s">
        <v>314</v>
      </c>
    </row>
    <row r="32" spans="1:6">
      <c r="A32" s="29" t="s">
        <v>315</v>
      </c>
    </row>
    <row r="33" spans="1:15">
      <c r="A33" s="29" t="s">
        <v>316</v>
      </c>
    </row>
    <row r="34" spans="1:15">
      <c r="A34" s="29" t="s">
        <v>317</v>
      </c>
    </row>
    <row r="36" spans="1:15" ht="21">
      <c r="A36" s="210" t="s">
        <v>337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</row>
    <row r="38" spans="1:15" ht="28.8">
      <c r="A38" s="27" t="s">
        <v>286</v>
      </c>
      <c r="B38" s="27" t="s">
        <v>287</v>
      </c>
      <c r="E38" s="27" t="s">
        <v>271</v>
      </c>
      <c r="F38" s="27" t="s">
        <v>272</v>
      </c>
      <c r="G38" s="27" t="s">
        <v>287</v>
      </c>
    </row>
    <row r="39" spans="1:15" ht="164.4" customHeight="1">
      <c r="A39" s="28" t="s">
        <v>253</v>
      </c>
      <c r="B39" s="28" t="s">
        <v>254</v>
      </c>
      <c r="E39" s="28" t="s">
        <v>285</v>
      </c>
      <c r="F39" s="28" t="s">
        <v>471</v>
      </c>
      <c r="G39" s="28" t="s">
        <v>273</v>
      </c>
    </row>
    <row r="40" spans="1:15" ht="149.4" customHeight="1">
      <c r="A40" s="28" t="s">
        <v>255</v>
      </c>
      <c r="B40" s="28" t="s">
        <v>256</v>
      </c>
      <c r="E40" s="28" t="s">
        <v>498</v>
      </c>
      <c r="F40" s="28" t="s">
        <v>472</v>
      </c>
      <c r="G40" s="28" t="s">
        <v>274</v>
      </c>
    </row>
    <row r="41" spans="1:15" ht="129.6">
      <c r="A41" s="28" t="s">
        <v>257</v>
      </c>
      <c r="B41" s="28" t="s">
        <v>258</v>
      </c>
      <c r="E41" s="28" t="s">
        <v>275</v>
      </c>
      <c r="F41" s="28" t="s">
        <v>471</v>
      </c>
      <c r="G41" s="28" t="s">
        <v>276</v>
      </c>
    </row>
    <row r="42" spans="1:15" ht="117.6" customHeight="1">
      <c r="A42" s="28" t="s">
        <v>259</v>
      </c>
      <c r="B42" s="28" t="s">
        <v>260</v>
      </c>
      <c r="E42" s="28" t="s">
        <v>277</v>
      </c>
      <c r="F42" s="28" t="s">
        <v>473</v>
      </c>
      <c r="G42" s="28" t="s">
        <v>278</v>
      </c>
    </row>
    <row r="43" spans="1:15" ht="141.6" customHeight="1">
      <c r="A43" s="28" t="s">
        <v>261</v>
      </c>
      <c r="B43" s="28" t="s">
        <v>262</v>
      </c>
      <c r="E43" s="28" t="s">
        <v>279</v>
      </c>
      <c r="F43" s="28" t="s">
        <v>472</v>
      </c>
      <c r="G43" s="28" t="s">
        <v>280</v>
      </c>
    </row>
    <row r="44" spans="1:15" ht="152.4" customHeight="1">
      <c r="A44" s="28" t="s">
        <v>263</v>
      </c>
      <c r="B44" s="28" t="s">
        <v>264</v>
      </c>
      <c r="E44" s="28" t="s">
        <v>281</v>
      </c>
      <c r="F44" s="28" t="s">
        <v>474</v>
      </c>
      <c r="G44" s="28" t="s">
        <v>282</v>
      </c>
    </row>
    <row r="45" spans="1:15" ht="123.6" customHeight="1">
      <c r="A45" s="28" t="s">
        <v>265</v>
      </c>
      <c r="B45" s="28" t="s">
        <v>266</v>
      </c>
      <c r="E45" s="28" t="s">
        <v>283</v>
      </c>
      <c r="F45" s="28" t="s">
        <v>472</v>
      </c>
      <c r="G45" s="28" t="s">
        <v>284</v>
      </c>
    </row>
    <row r="46" spans="1:15" ht="57.6">
      <c r="A46" s="28" t="s">
        <v>267</v>
      </c>
      <c r="B46" s="28" t="s">
        <v>268</v>
      </c>
    </row>
    <row r="47" spans="1:15" ht="28.8">
      <c r="A47" s="28" t="s">
        <v>270</v>
      </c>
      <c r="B47" s="28" t="s">
        <v>269</v>
      </c>
    </row>
    <row r="49" spans="1:15" ht="21">
      <c r="A49" s="210" t="s">
        <v>338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</row>
    <row r="51" spans="1:15">
      <c r="A51" s="27" t="s">
        <v>339</v>
      </c>
      <c r="B51" s="27" t="s">
        <v>340</v>
      </c>
      <c r="C51" s="27" t="s">
        <v>341</v>
      </c>
      <c r="D51" s="27" t="s">
        <v>348</v>
      </c>
      <c r="F51" s="27" t="s">
        <v>350</v>
      </c>
      <c r="G51" s="27" t="s">
        <v>340</v>
      </c>
      <c r="H51" s="27" t="s">
        <v>341</v>
      </c>
      <c r="I51" s="27" t="s">
        <v>348</v>
      </c>
    </row>
    <row r="52" spans="1:15">
      <c r="A52" s="28" t="s">
        <v>342</v>
      </c>
      <c r="B52" s="207">
        <v>50</v>
      </c>
      <c r="C52" s="207">
        <v>45</v>
      </c>
      <c r="D52" s="207">
        <v>55</v>
      </c>
      <c r="F52" s="28" t="s">
        <v>684</v>
      </c>
      <c r="G52" s="207">
        <v>80</v>
      </c>
      <c r="H52" s="207">
        <v>72</v>
      </c>
      <c r="I52" s="207">
        <v>88</v>
      </c>
    </row>
    <row r="53" spans="1:15">
      <c r="A53" s="28" t="s">
        <v>343</v>
      </c>
      <c r="B53" s="207">
        <v>250</v>
      </c>
      <c r="C53" s="207">
        <v>225</v>
      </c>
      <c r="D53" s="207">
        <v>275</v>
      </c>
      <c r="F53" s="28" t="s">
        <v>685</v>
      </c>
      <c r="G53" s="207">
        <v>15</v>
      </c>
      <c r="H53" s="207">
        <v>13.5</v>
      </c>
      <c r="I53" s="207">
        <v>16.5</v>
      </c>
    </row>
    <row r="54" spans="1:15">
      <c r="A54" s="28" t="s">
        <v>344</v>
      </c>
      <c r="B54" s="207">
        <v>120</v>
      </c>
      <c r="C54" s="207">
        <v>108</v>
      </c>
      <c r="D54" s="207">
        <v>132</v>
      </c>
      <c r="F54" s="28" t="s">
        <v>690</v>
      </c>
      <c r="G54" s="207">
        <v>15</v>
      </c>
      <c r="H54" s="207">
        <v>13.5</v>
      </c>
      <c r="I54" s="207">
        <v>16.5</v>
      </c>
    </row>
    <row r="55" spans="1:15">
      <c r="A55" s="28" t="s">
        <v>345</v>
      </c>
      <c r="B55" s="207">
        <v>10</v>
      </c>
      <c r="C55" s="207">
        <v>9</v>
      </c>
      <c r="D55" s="207">
        <v>11</v>
      </c>
      <c r="F55" s="28" t="s">
        <v>687</v>
      </c>
      <c r="G55" s="207">
        <v>20</v>
      </c>
      <c r="H55" s="207">
        <v>18</v>
      </c>
      <c r="I55" s="207">
        <v>22</v>
      </c>
    </row>
    <row r="56" spans="1:15">
      <c r="A56" s="28" t="s">
        <v>346</v>
      </c>
      <c r="B56" s="207">
        <v>15</v>
      </c>
      <c r="C56" s="207">
        <v>13.5</v>
      </c>
      <c r="D56" s="207">
        <v>16.5</v>
      </c>
      <c r="F56" s="28" t="s">
        <v>688</v>
      </c>
      <c r="G56" s="207">
        <v>8</v>
      </c>
      <c r="H56" s="207">
        <v>7.2</v>
      </c>
      <c r="I56" s="207">
        <v>8.8000000000000007</v>
      </c>
    </row>
    <row r="57" spans="1:15">
      <c r="A57" s="28" t="s">
        <v>347</v>
      </c>
      <c r="B57" s="207">
        <v>5</v>
      </c>
      <c r="C57" s="207">
        <v>4.5</v>
      </c>
      <c r="D57" s="207">
        <v>5.5</v>
      </c>
      <c r="F57" s="28" t="s">
        <v>689</v>
      </c>
      <c r="G57" s="207">
        <v>10</v>
      </c>
      <c r="H57" s="207">
        <v>9</v>
      </c>
      <c r="I57" s="207">
        <v>11</v>
      </c>
    </row>
    <row r="58" spans="1:15">
      <c r="A58" s="39" t="s">
        <v>349</v>
      </c>
      <c r="B58" s="207">
        <v>22.5</v>
      </c>
      <c r="C58" s="207">
        <v>20.3</v>
      </c>
      <c r="D58" s="207">
        <v>24.8</v>
      </c>
      <c r="F58" s="28" t="s">
        <v>686</v>
      </c>
      <c r="G58" s="207">
        <v>10</v>
      </c>
      <c r="H58" s="207">
        <v>9</v>
      </c>
      <c r="I58" s="207">
        <v>11</v>
      </c>
    </row>
    <row r="59" spans="1:15" ht="14.4" customHeight="1">
      <c r="A59" s="174" t="s">
        <v>470</v>
      </c>
      <c r="B59" s="208">
        <v>472.5</v>
      </c>
      <c r="C59" s="208">
        <v>425.3</v>
      </c>
      <c r="D59" s="208">
        <v>519.79999999999995</v>
      </c>
      <c r="F59" s="39" t="s">
        <v>349</v>
      </c>
      <c r="G59" s="207">
        <v>7.9</v>
      </c>
      <c r="H59" s="207">
        <v>7.1</v>
      </c>
      <c r="I59" s="207">
        <v>8.1</v>
      </c>
    </row>
    <row r="60" spans="1:15" ht="23.4">
      <c r="F60" s="40" t="s">
        <v>350</v>
      </c>
      <c r="G60" s="208">
        <v>165.9</v>
      </c>
      <c r="H60" s="208">
        <v>148.30000000000001</v>
      </c>
      <c r="I60" s="208">
        <v>170.9</v>
      </c>
    </row>
    <row r="61" spans="1:15">
      <c r="A61" t="s">
        <v>469</v>
      </c>
    </row>
    <row r="62" spans="1:15" ht="21">
      <c r="A62" s="210" t="s">
        <v>409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</row>
    <row r="64" spans="1:15">
      <c r="A64" s="41" t="s">
        <v>411</v>
      </c>
      <c r="B64" s="43" t="s">
        <v>386</v>
      </c>
    </row>
    <row r="65" spans="1:4">
      <c r="A65" s="41" t="s">
        <v>392</v>
      </c>
      <c r="B65" s="42" t="s">
        <v>390</v>
      </c>
    </row>
    <row r="66" spans="1:4">
      <c r="A66" s="41" t="s">
        <v>387</v>
      </c>
      <c r="B66" s="42" t="s">
        <v>717</v>
      </c>
      <c r="C66">
        <f xml:space="preserve"> 1800000000/10000000</f>
        <v>180</v>
      </c>
    </row>
    <row r="67" spans="1:4">
      <c r="A67" s="41" t="s">
        <v>388</v>
      </c>
      <c r="B67" s="42" t="s">
        <v>389</v>
      </c>
    </row>
    <row r="69" spans="1:4">
      <c r="A69" s="215" t="s">
        <v>391</v>
      </c>
      <c r="B69" s="216"/>
      <c r="C69" s="216"/>
      <c r="D69" s="217"/>
    </row>
    <row r="70" spans="1:4">
      <c r="A70" s="46" t="s">
        <v>397</v>
      </c>
      <c r="B70" s="220">
        <v>180</v>
      </c>
      <c r="C70" s="220"/>
      <c r="D70" s="220"/>
    </row>
    <row r="71" spans="1:4">
      <c r="A71" s="45" t="s">
        <v>400</v>
      </c>
      <c r="B71" s="221">
        <v>0.1</v>
      </c>
      <c r="C71" s="220"/>
      <c r="D71" s="220"/>
    </row>
    <row r="72" spans="1:4">
      <c r="A72" s="45" t="s">
        <v>399</v>
      </c>
      <c r="B72" s="222" t="s">
        <v>416</v>
      </c>
      <c r="C72" s="222"/>
      <c r="D72" s="222"/>
    </row>
    <row r="73" spans="1:4">
      <c r="A73" s="45" t="s">
        <v>398</v>
      </c>
      <c r="B73" s="45" t="s">
        <v>410</v>
      </c>
      <c r="C73" s="46"/>
      <c r="D73" s="46"/>
    </row>
    <row r="75" spans="1:4">
      <c r="A75" s="219" t="s">
        <v>395</v>
      </c>
      <c r="B75" s="219"/>
    </row>
    <row r="76" spans="1:4">
      <c r="A76" s="41" t="s">
        <v>715</v>
      </c>
      <c r="B76" s="50">
        <v>0.1</v>
      </c>
    </row>
    <row r="77" spans="1:4">
      <c r="A77" s="41" t="s">
        <v>716</v>
      </c>
      <c r="B77" s="41">
        <v>12</v>
      </c>
    </row>
    <row r="78" spans="1:4">
      <c r="A78" s="41" t="s">
        <v>406</v>
      </c>
      <c r="B78" s="49">
        <f xml:space="preserve"> PMT(B76, B77, C66)</f>
        <v>-26.41739671805172</v>
      </c>
      <c r="C78" t="s">
        <v>430</v>
      </c>
    </row>
    <row r="79" spans="1:4">
      <c r="A79" s="44" t="s">
        <v>407</v>
      </c>
      <c r="B79" s="105">
        <f xml:space="preserve"> B78</f>
        <v>-26.41739671805172</v>
      </c>
    </row>
    <row r="80" spans="1:4">
      <c r="A80" s="48"/>
    </row>
    <row r="81" spans="1:7">
      <c r="A81" s="218" t="s">
        <v>393</v>
      </c>
      <c r="B81" s="218"/>
      <c r="C81" s="218"/>
      <c r="D81" s="218"/>
      <c r="E81" s="218"/>
      <c r="F81" s="218"/>
    </row>
    <row r="82" spans="1:7">
      <c r="A82" s="52" t="s">
        <v>394</v>
      </c>
      <c r="B82" s="52" t="s">
        <v>402</v>
      </c>
      <c r="C82" s="52" t="s">
        <v>401</v>
      </c>
      <c r="D82" s="52" t="s">
        <v>403</v>
      </c>
      <c r="E82" s="52" t="s">
        <v>404</v>
      </c>
      <c r="F82" s="52" t="s">
        <v>405</v>
      </c>
    </row>
    <row r="83" spans="1:7">
      <c r="A83" s="47">
        <v>1</v>
      </c>
      <c r="B83" s="51">
        <f xml:space="preserve"> B70</f>
        <v>180</v>
      </c>
      <c r="C83" s="51">
        <f>- SUM(D83:E83)</f>
        <v>-18</v>
      </c>
      <c r="D83" s="51">
        <f>B83*B76</f>
        <v>18</v>
      </c>
      <c r="E83" s="47">
        <v>0</v>
      </c>
      <c r="F83" s="47">
        <f xml:space="preserve"> B83 - E83</f>
        <v>180</v>
      </c>
    </row>
    <row r="84" spans="1:7">
      <c r="A84" s="47">
        <v>2</v>
      </c>
      <c r="B84" s="51">
        <f xml:space="preserve"> B70</f>
        <v>180</v>
      </c>
      <c r="C84" s="51">
        <f>- SUM(D84:E84)</f>
        <v>-18</v>
      </c>
      <c r="D84" s="51">
        <f xml:space="preserve"> B84*B76</f>
        <v>18</v>
      </c>
      <c r="E84" s="47">
        <v>0</v>
      </c>
      <c r="F84" s="47">
        <f xml:space="preserve"> B84 - E84</f>
        <v>180</v>
      </c>
    </row>
    <row r="85" spans="1:7">
      <c r="A85" s="47">
        <v>3</v>
      </c>
      <c r="B85" s="107">
        <f xml:space="preserve"> B70</f>
        <v>180</v>
      </c>
      <c r="C85" s="107">
        <f>- SUM(D85:E85)</f>
        <v>-18</v>
      </c>
      <c r="D85" s="107">
        <f>B85*B76</f>
        <v>18</v>
      </c>
      <c r="E85" s="108">
        <v>0</v>
      </c>
      <c r="F85" s="108">
        <f xml:space="preserve"> B85 - E85</f>
        <v>180</v>
      </c>
      <c r="G85" t="s">
        <v>408</v>
      </c>
    </row>
    <row r="86" spans="1:7">
      <c r="A86" s="106">
        <v>4</v>
      </c>
      <c r="B86" s="109">
        <f xml:space="preserve"> F85</f>
        <v>180</v>
      </c>
      <c r="C86" s="109">
        <f>B79</f>
        <v>-26.41739671805172</v>
      </c>
      <c r="D86" s="109">
        <f>B86*B76</f>
        <v>18</v>
      </c>
      <c r="E86" s="109">
        <f t="shared" ref="E86:E96" si="0" xml:space="preserve"> C86 + D86</f>
        <v>-8.4173967180517195</v>
      </c>
      <c r="F86" s="109">
        <f t="shared" ref="F86:F97" si="1" xml:space="preserve"> B86+E86</f>
        <v>171.58260328194828</v>
      </c>
    </row>
    <row r="87" spans="1:7">
      <c r="A87" s="106">
        <v>5</v>
      </c>
      <c r="B87" s="109">
        <f xml:space="preserve"> F86</f>
        <v>171.58260328194828</v>
      </c>
      <c r="C87" s="109">
        <f>B79</f>
        <v>-26.41739671805172</v>
      </c>
      <c r="D87" s="109">
        <f xml:space="preserve"> B87*B76</f>
        <v>17.158260328194828</v>
      </c>
      <c r="E87" s="109">
        <f t="shared" si="0"/>
        <v>-9.2591363898568915</v>
      </c>
      <c r="F87" s="109">
        <f t="shared" si="1"/>
        <v>162.3234668920914</v>
      </c>
    </row>
    <row r="88" spans="1:7">
      <c r="A88" s="106">
        <v>6</v>
      </c>
      <c r="B88" s="109">
        <f t="shared" ref="B88:B89" si="2" xml:space="preserve"> F87</f>
        <v>162.3234668920914</v>
      </c>
      <c r="C88" s="109">
        <f xml:space="preserve"> B79</f>
        <v>-26.41739671805172</v>
      </c>
      <c r="D88" s="109">
        <f>B88*B76</f>
        <v>16.232346689209141</v>
      </c>
      <c r="E88" s="109">
        <f t="shared" si="0"/>
        <v>-10.185050028842578</v>
      </c>
      <c r="F88" s="109">
        <f t="shared" si="1"/>
        <v>152.13841686324884</v>
      </c>
    </row>
    <row r="89" spans="1:7">
      <c r="A89" s="106">
        <v>7</v>
      </c>
      <c r="B89" s="109">
        <f t="shared" si="2"/>
        <v>152.13841686324884</v>
      </c>
      <c r="C89" s="109">
        <f xml:space="preserve"> B79</f>
        <v>-26.41739671805172</v>
      </c>
      <c r="D89" s="109">
        <f xml:space="preserve"> B89*B76</f>
        <v>15.213841686324884</v>
      </c>
      <c r="E89" s="109">
        <f t="shared" si="0"/>
        <v>-11.203555031726836</v>
      </c>
      <c r="F89" s="109">
        <f t="shared" si="1"/>
        <v>140.934861831522</v>
      </c>
    </row>
    <row r="90" spans="1:7">
      <c r="A90" s="106">
        <v>8</v>
      </c>
      <c r="B90" s="109">
        <f t="shared" ref="B90:B91" si="3" xml:space="preserve"> F89</f>
        <v>140.934861831522</v>
      </c>
      <c r="C90" s="109">
        <f xml:space="preserve"> B79</f>
        <v>-26.41739671805172</v>
      </c>
      <c r="D90" s="109">
        <f>B90*B76</f>
        <v>14.093486183152201</v>
      </c>
      <c r="E90" s="109">
        <f t="shared" si="0"/>
        <v>-12.323910534899518</v>
      </c>
      <c r="F90" s="109">
        <f t="shared" si="1"/>
        <v>128.61095129662249</v>
      </c>
    </row>
    <row r="91" spans="1:7">
      <c r="A91" s="106">
        <v>9</v>
      </c>
      <c r="B91" s="109">
        <f t="shared" si="3"/>
        <v>128.61095129662249</v>
      </c>
      <c r="C91" s="109">
        <f xml:space="preserve"> B79</f>
        <v>-26.41739671805172</v>
      </c>
      <c r="D91" s="109">
        <f xml:space="preserve"> B91*B76</f>
        <v>12.86109512966225</v>
      </c>
      <c r="E91" s="109">
        <f t="shared" si="0"/>
        <v>-13.55630158838947</v>
      </c>
      <c r="F91" s="109">
        <f t="shared" si="1"/>
        <v>115.05464970823301</v>
      </c>
    </row>
    <row r="92" spans="1:7">
      <c r="A92" s="106">
        <v>10</v>
      </c>
      <c r="B92" s="109">
        <f t="shared" ref="B92:B93" si="4" xml:space="preserve"> F91</f>
        <v>115.05464970823301</v>
      </c>
      <c r="C92" s="109">
        <f xml:space="preserve"> B79</f>
        <v>-26.41739671805172</v>
      </c>
      <c r="D92" s="109">
        <f>B92*B76</f>
        <v>11.505464970823303</v>
      </c>
      <c r="E92" s="109">
        <f t="shared" si="0"/>
        <v>-14.911931747228417</v>
      </c>
      <c r="F92" s="109">
        <f t="shared" si="1"/>
        <v>100.14271796100459</v>
      </c>
    </row>
    <row r="93" spans="1:7">
      <c r="A93" s="106">
        <v>11</v>
      </c>
      <c r="B93" s="109">
        <f t="shared" si="4"/>
        <v>100.14271796100459</v>
      </c>
      <c r="C93" s="109">
        <f xml:space="preserve"> B79</f>
        <v>-26.41739671805172</v>
      </c>
      <c r="D93" s="109">
        <f xml:space="preserve"> B93*B76</f>
        <v>10.014271796100459</v>
      </c>
      <c r="E93" s="109">
        <f t="shared" si="0"/>
        <v>-16.40312492195126</v>
      </c>
      <c r="F93" s="109">
        <f t="shared" si="1"/>
        <v>83.739593039053332</v>
      </c>
    </row>
    <row r="94" spans="1:7">
      <c r="A94" s="106">
        <v>12</v>
      </c>
      <c r="B94" s="109">
        <f t="shared" ref="B94:B95" si="5" xml:space="preserve"> F93</f>
        <v>83.739593039053332</v>
      </c>
      <c r="C94" s="109">
        <f xml:space="preserve"> B79</f>
        <v>-26.41739671805172</v>
      </c>
      <c r="D94" s="109">
        <f>B94*B76</f>
        <v>8.3739593039053339</v>
      </c>
      <c r="E94" s="109">
        <f t="shared" si="0"/>
        <v>-18.043437414146386</v>
      </c>
      <c r="F94" s="109">
        <f t="shared" si="1"/>
        <v>65.69615562490695</v>
      </c>
    </row>
    <row r="95" spans="1:7">
      <c r="A95" s="106">
        <v>13</v>
      </c>
      <c r="B95" s="109">
        <f t="shared" si="5"/>
        <v>65.69615562490695</v>
      </c>
      <c r="C95" s="109">
        <f xml:space="preserve"> B79</f>
        <v>-26.41739671805172</v>
      </c>
      <c r="D95" s="109">
        <f xml:space="preserve"> B95*B76</f>
        <v>6.5696155624906956</v>
      </c>
      <c r="E95" s="109">
        <f t="shared" si="0"/>
        <v>-19.847781155561023</v>
      </c>
      <c r="F95" s="109">
        <f t="shared" si="1"/>
        <v>45.848374469345927</v>
      </c>
    </row>
    <row r="96" spans="1:7">
      <c r="A96" s="106">
        <v>14</v>
      </c>
      <c r="B96" s="109">
        <f t="shared" ref="B96" si="6" xml:space="preserve"> F95</f>
        <v>45.848374469345927</v>
      </c>
      <c r="C96" s="109">
        <f xml:space="preserve"> B79</f>
        <v>-26.41739671805172</v>
      </c>
      <c r="D96" s="109">
        <f>B96*B76</f>
        <v>4.5848374469345927</v>
      </c>
      <c r="E96" s="109">
        <f t="shared" si="0"/>
        <v>-21.832559271117127</v>
      </c>
      <c r="F96" s="109">
        <f t="shared" si="1"/>
        <v>24.0158151982288</v>
      </c>
    </row>
    <row r="97" spans="1:15">
      <c r="A97" s="106">
        <v>15</v>
      </c>
      <c r="B97" s="109">
        <f t="shared" ref="B97" si="7">F96</f>
        <v>24.0158151982288</v>
      </c>
      <c r="C97" s="109">
        <f xml:space="preserve"> B79</f>
        <v>-26.41739671805172</v>
      </c>
      <c r="D97" s="109">
        <f xml:space="preserve"> B97*B76</f>
        <v>2.40158151982288</v>
      </c>
      <c r="E97" s="109">
        <f t="shared" ref="E97" si="8" xml:space="preserve"> C97+D97</f>
        <v>-24.015815198228839</v>
      </c>
      <c r="F97" s="109">
        <f t="shared" si="1"/>
        <v>-3.907985046680551E-14</v>
      </c>
    </row>
    <row r="99" spans="1:15" ht="21">
      <c r="A99" s="210" t="s">
        <v>476</v>
      </c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1" spans="1:15">
      <c r="A101" s="62" t="s">
        <v>483</v>
      </c>
      <c r="B101" s="214" t="s">
        <v>484</v>
      </c>
      <c r="C101" s="214"/>
      <c r="D101" s="34" t="s">
        <v>485</v>
      </c>
      <c r="F101" t="s">
        <v>486</v>
      </c>
    </row>
    <row r="102" spans="1:15">
      <c r="A102" s="7" t="s">
        <v>475</v>
      </c>
      <c r="B102" s="7" t="s">
        <v>477</v>
      </c>
      <c r="C102" s="7"/>
      <c r="D102" s="63">
        <v>2500</v>
      </c>
    </row>
    <row r="103" spans="1:15">
      <c r="A103" s="7" t="s">
        <v>2</v>
      </c>
      <c r="B103" s="7" t="s">
        <v>478</v>
      </c>
      <c r="C103" s="7"/>
      <c r="D103" s="63">
        <v>5000</v>
      </c>
    </row>
    <row r="104" spans="1:15">
      <c r="A104" s="7" t="s">
        <v>3</v>
      </c>
      <c r="B104" s="7" t="s">
        <v>479</v>
      </c>
      <c r="C104" s="7"/>
      <c r="D104" s="63">
        <v>8000</v>
      </c>
    </row>
    <row r="105" spans="1:15">
      <c r="A105" s="7" t="s">
        <v>4</v>
      </c>
      <c r="B105" s="7" t="s">
        <v>480</v>
      </c>
      <c r="C105" s="7"/>
      <c r="D105" s="63">
        <v>12000</v>
      </c>
    </row>
    <row r="106" spans="1:15">
      <c r="A106" s="7" t="s">
        <v>5</v>
      </c>
      <c r="B106" s="7" t="s">
        <v>481</v>
      </c>
      <c r="C106" s="7"/>
      <c r="D106" s="63">
        <v>20000</v>
      </c>
    </row>
    <row r="107" spans="1:15">
      <c r="A107" s="7" t="s">
        <v>6</v>
      </c>
      <c r="B107" s="7" t="s">
        <v>482</v>
      </c>
      <c r="C107" s="7"/>
      <c r="D107" s="63">
        <v>30000</v>
      </c>
    </row>
    <row r="109" spans="1:15" ht="43.2">
      <c r="A109" s="19" t="s">
        <v>35</v>
      </c>
      <c r="B109" s="17" t="s">
        <v>39</v>
      </c>
      <c r="C109" s="19" t="s">
        <v>510</v>
      </c>
      <c r="D109" s="18" t="s">
        <v>490</v>
      </c>
      <c r="E109" s="19" t="s">
        <v>510</v>
      </c>
    </row>
    <row r="110" spans="1:15">
      <c r="A110" s="28" t="s">
        <v>253</v>
      </c>
      <c r="B110" s="64" t="s">
        <v>499</v>
      </c>
      <c r="C110" s="67">
        <v>2250</v>
      </c>
      <c r="D110" s="64" t="s">
        <v>500</v>
      </c>
      <c r="E110" s="67">
        <v>1150</v>
      </c>
    </row>
    <row r="111" spans="1:15">
      <c r="A111" s="28" t="s">
        <v>255</v>
      </c>
      <c r="B111" s="64" t="s">
        <v>500</v>
      </c>
      <c r="C111" s="67">
        <v>1150</v>
      </c>
      <c r="D111" s="64" t="s">
        <v>501</v>
      </c>
      <c r="E111" s="67">
        <v>750</v>
      </c>
    </row>
    <row r="112" spans="1:15">
      <c r="A112" s="28" t="s">
        <v>257</v>
      </c>
      <c r="B112" s="64" t="s">
        <v>500</v>
      </c>
      <c r="C112" s="67">
        <v>1150</v>
      </c>
      <c r="D112" s="64" t="s">
        <v>502</v>
      </c>
      <c r="E112" s="67">
        <v>900</v>
      </c>
    </row>
    <row r="113" spans="1:5">
      <c r="A113" s="28" t="s">
        <v>259</v>
      </c>
      <c r="B113" s="64" t="s">
        <v>503</v>
      </c>
      <c r="C113" s="67">
        <v>1850</v>
      </c>
      <c r="D113" s="64" t="s">
        <v>500</v>
      </c>
      <c r="E113" s="67">
        <v>1150</v>
      </c>
    </row>
    <row r="114" spans="1:5">
      <c r="A114" s="28" t="s">
        <v>261</v>
      </c>
      <c r="B114" s="64" t="s">
        <v>504</v>
      </c>
      <c r="C114" s="67">
        <v>1500</v>
      </c>
      <c r="D114" s="64" t="s">
        <v>500</v>
      </c>
      <c r="E114" s="67">
        <v>1150</v>
      </c>
    </row>
    <row r="115" spans="1:5">
      <c r="A115" s="28" t="s">
        <v>263</v>
      </c>
      <c r="B115" s="64" t="s">
        <v>503</v>
      </c>
      <c r="C115" s="67">
        <v>1850</v>
      </c>
      <c r="D115" s="64" t="s">
        <v>500</v>
      </c>
      <c r="E115" s="67">
        <v>1150</v>
      </c>
    </row>
    <row r="116" spans="1:5">
      <c r="A116" s="28" t="s">
        <v>265</v>
      </c>
      <c r="B116" s="64" t="s">
        <v>504</v>
      </c>
      <c r="C116" s="67">
        <v>1500</v>
      </c>
      <c r="D116" s="64" t="s">
        <v>502</v>
      </c>
      <c r="E116" s="67">
        <v>900</v>
      </c>
    </row>
    <row r="117" spans="1:5">
      <c r="A117" s="28" t="s">
        <v>267</v>
      </c>
      <c r="B117" s="64" t="s">
        <v>499</v>
      </c>
      <c r="C117" s="67">
        <v>2250</v>
      </c>
      <c r="D117" s="64" t="s">
        <v>504</v>
      </c>
      <c r="E117" s="67">
        <v>1500</v>
      </c>
    </row>
    <row r="118" spans="1:5">
      <c r="A118" s="28" t="s">
        <v>270</v>
      </c>
      <c r="B118" s="64" t="s">
        <v>500</v>
      </c>
      <c r="C118" s="67">
        <v>1150</v>
      </c>
      <c r="D118" s="64" t="s">
        <v>501</v>
      </c>
      <c r="E118" s="67">
        <v>750</v>
      </c>
    </row>
    <row r="119" spans="1:5">
      <c r="A119" s="28" t="s">
        <v>285</v>
      </c>
      <c r="B119" s="64" t="s">
        <v>505</v>
      </c>
      <c r="C119" s="67">
        <v>3250</v>
      </c>
      <c r="D119" s="64" t="s">
        <v>499</v>
      </c>
      <c r="E119" s="67">
        <v>2250</v>
      </c>
    </row>
    <row r="120" spans="1:5">
      <c r="A120" s="28" t="s">
        <v>498</v>
      </c>
      <c r="B120" s="64" t="s">
        <v>506</v>
      </c>
      <c r="C120" s="67">
        <v>2000</v>
      </c>
      <c r="D120" s="64" t="s">
        <v>504</v>
      </c>
      <c r="E120" s="67">
        <v>1500</v>
      </c>
    </row>
    <row r="121" spans="1:5">
      <c r="A121" s="28" t="s">
        <v>275</v>
      </c>
      <c r="B121" s="64" t="s">
        <v>499</v>
      </c>
      <c r="C121" s="67">
        <v>2250</v>
      </c>
      <c r="D121" s="64" t="s">
        <v>504</v>
      </c>
      <c r="E121" s="67">
        <v>1500</v>
      </c>
    </row>
    <row r="122" spans="1:5">
      <c r="A122" s="28" t="s">
        <v>277</v>
      </c>
      <c r="B122" s="64" t="s">
        <v>499</v>
      </c>
      <c r="C122" s="67">
        <v>2250</v>
      </c>
      <c r="D122" s="64" t="s">
        <v>504</v>
      </c>
      <c r="E122" s="67">
        <v>1500</v>
      </c>
    </row>
    <row r="123" spans="1:5">
      <c r="A123" s="28" t="s">
        <v>279</v>
      </c>
      <c r="B123" s="64" t="s">
        <v>503</v>
      </c>
      <c r="C123" s="67">
        <v>1850</v>
      </c>
      <c r="D123" s="64" t="s">
        <v>500</v>
      </c>
      <c r="E123" s="67">
        <v>1150</v>
      </c>
    </row>
    <row r="124" spans="1:5">
      <c r="A124" s="28" t="s">
        <v>281</v>
      </c>
      <c r="B124" s="64" t="s">
        <v>507</v>
      </c>
      <c r="C124" s="67">
        <v>2750</v>
      </c>
      <c r="D124" s="64" t="s">
        <v>506</v>
      </c>
      <c r="E124" s="67">
        <v>2000</v>
      </c>
    </row>
    <row r="125" spans="1:5">
      <c r="A125" s="28" t="s">
        <v>283</v>
      </c>
      <c r="B125" s="64" t="s">
        <v>505</v>
      </c>
      <c r="C125" s="67">
        <v>3250</v>
      </c>
      <c r="D125" s="64" t="s">
        <v>499</v>
      </c>
      <c r="E125" s="67">
        <v>2250</v>
      </c>
    </row>
    <row r="126" spans="1:5">
      <c r="A126" s="3" t="s">
        <v>36</v>
      </c>
      <c r="B126" s="64" t="s">
        <v>508</v>
      </c>
      <c r="C126" s="67">
        <v>1750</v>
      </c>
      <c r="D126" s="64" t="s">
        <v>500</v>
      </c>
      <c r="E126" s="67">
        <v>1150</v>
      </c>
    </row>
    <row r="127" spans="1:5">
      <c r="A127" s="3" t="s">
        <v>37</v>
      </c>
      <c r="B127" s="64" t="s">
        <v>504</v>
      </c>
      <c r="C127" s="67">
        <v>1500</v>
      </c>
      <c r="D127" s="64" t="s">
        <v>509</v>
      </c>
      <c r="E127" s="67">
        <v>1000</v>
      </c>
    </row>
    <row r="128" spans="1:5">
      <c r="A128" s="3" t="s">
        <v>38</v>
      </c>
      <c r="B128" s="64" t="s">
        <v>508</v>
      </c>
      <c r="C128" s="67">
        <v>1500</v>
      </c>
      <c r="D128" s="64" t="s">
        <v>500</v>
      </c>
      <c r="E128" s="67">
        <v>1150</v>
      </c>
    </row>
    <row r="130" spans="1:15" ht="21">
      <c r="A130" s="210" t="s">
        <v>513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</row>
    <row r="132" spans="1:15">
      <c r="A132" s="72" t="s">
        <v>514</v>
      </c>
      <c r="B132" s="72" t="s">
        <v>515</v>
      </c>
    </row>
    <row r="133" spans="1:15" ht="15" thickBot="1">
      <c r="A133" s="70" t="s">
        <v>516</v>
      </c>
      <c r="B133" s="70" t="s">
        <v>517</v>
      </c>
    </row>
    <row r="134" spans="1:15" ht="15" thickBot="1">
      <c r="A134" s="70" t="s">
        <v>518</v>
      </c>
      <c r="B134" s="70" t="s">
        <v>519</v>
      </c>
    </row>
    <row r="135" spans="1:15">
      <c r="A135" s="71" t="s">
        <v>520</v>
      </c>
      <c r="B135" s="71" t="s">
        <v>521</v>
      </c>
    </row>
    <row r="137" spans="1:15" ht="21">
      <c r="A137" s="210" t="s">
        <v>545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</row>
    <row r="138" spans="1:15" s="83" customFormat="1">
      <c r="A138" s="82" t="s">
        <v>546</v>
      </c>
    </row>
    <row r="139" spans="1:15" ht="15">
      <c r="A139" s="79" t="s">
        <v>537</v>
      </c>
    </row>
    <row r="140" spans="1:15" ht="15" customHeight="1">
      <c r="A140" s="212" t="s">
        <v>538</v>
      </c>
      <c r="B140" s="212"/>
      <c r="C140" s="212"/>
      <c r="D140" s="212"/>
      <c r="E140" s="212"/>
      <c r="F140" s="212"/>
    </row>
    <row r="141" spans="1:15" ht="15" customHeight="1">
      <c r="A141" s="212" t="s">
        <v>539</v>
      </c>
      <c r="B141" s="212"/>
      <c r="C141" s="212"/>
      <c r="D141" s="212"/>
      <c r="E141" s="212"/>
      <c r="F141" s="212"/>
      <c r="G141" s="212"/>
      <c r="H141" s="212"/>
      <c r="I141" s="212"/>
      <c r="J141" s="212"/>
    </row>
    <row r="142" spans="1:15" ht="15" customHeight="1">
      <c r="A142" s="212" t="s">
        <v>540</v>
      </c>
      <c r="B142" s="212"/>
      <c r="C142" s="212"/>
      <c r="D142" s="212"/>
      <c r="E142" s="212"/>
      <c r="F142" s="212"/>
      <c r="G142" s="212"/>
    </row>
    <row r="143" spans="1:15" ht="15">
      <c r="A143" s="79" t="s">
        <v>541</v>
      </c>
    </row>
    <row r="144" spans="1:15" ht="15" customHeight="1">
      <c r="A144" s="213" t="s">
        <v>542</v>
      </c>
      <c r="B144" s="213"/>
      <c r="C144" s="213"/>
      <c r="D144" s="213"/>
      <c r="E144" s="213"/>
      <c r="F144" s="213"/>
      <c r="G144" s="213"/>
    </row>
    <row r="145" spans="1:7" ht="15" customHeight="1">
      <c r="A145" s="213" t="s">
        <v>543</v>
      </c>
      <c r="B145" s="213"/>
      <c r="C145" s="213"/>
      <c r="D145" s="213"/>
    </row>
    <row r="146" spans="1:7" ht="15" customHeight="1">
      <c r="A146" s="213" t="s">
        <v>544</v>
      </c>
      <c r="B146" s="213"/>
      <c r="C146" s="213"/>
      <c r="D146" s="213"/>
      <c r="E146" s="213"/>
    </row>
    <row r="148" spans="1:7" s="83" customFormat="1">
      <c r="A148" s="82" t="s">
        <v>550</v>
      </c>
    </row>
    <row r="149" spans="1:7" ht="15" customHeight="1">
      <c r="A149" s="212" t="s">
        <v>551</v>
      </c>
      <c r="B149" s="212"/>
      <c r="C149" s="212"/>
      <c r="D149" s="212"/>
      <c r="E149" s="212"/>
      <c r="F149" s="212"/>
    </row>
    <row r="150" spans="1:7" ht="15" customHeight="1">
      <c r="A150" s="212" t="s">
        <v>552</v>
      </c>
      <c r="B150" s="212"/>
      <c r="C150" s="212"/>
      <c r="D150" s="212"/>
      <c r="E150" s="212"/>
      <c r="F150" s="212"/>
      <c r="G150" s="212"/>
    </row>
    <row r="151" spans="1:7" ht="15" customHeight="1">
      <c r="A151" s="212" t="s">
        <v>553</v>
      </c>
      <c r="B151" s="212"/>
      <c r="C151" s="212"/>
      <c r="D151" s="212"/>
      <c r="E151" s="212"/>
      <c r="F151" s="212"/>
    </row>
    <row r="152" spans="1:7" ht="15" customHeight="1">
      <c r="A152" s="212" t="s">
        <v>554</v>
      </c>
      <c r="B152" s="212"/>
      <c r="C152" s="212"/>
      <c r="D152" s="212"/>
      <c r="E152" s="212"/>
      <c r="F152" s="212"/>
    </row>
    <row r="153" spans="1:7" ht="15" customHeight="1">
      <c r="A153" s="212" t="s">
        <v>555</v>
      </c>
      <c r="B153" s="212"/>
      <c r="C153" s="212"/>
      <c r="D153" s="212"/>
      <c r="E153" s="212"/>
      <c r="F153" s="212"/>
    </row>
    <row r="155" spans="1:7">
      <c r="A155" s="81" t="s">
        <v>556</v>
      </c>
    </row>
    <row r="156" spans="1:7" ht="13.2" customHeight="1">
      <c r="A156" s="79" t="s">
        <v>557</v>
      </c>
    </row>
    <row r="157" spans="1:7" ht="15" customHeight="1">
      <c r="A157" s="212" t="s">
        <v>558</v>
      </c>
      <c r="B157" s="212"/>
    </row>
    <row r="158" spans="1:7" ht="15" customHeight="1">
      <c r="A158" s="212" t="s">
        <v>559</v>
      </c>
      <c r="B158" s="212"/>
    </row>
    <row r="159" spans="1:7" ht="15" customHeight="1">
      <c r="A159" s="212" t="s">
        <v>560</v>
      </c>
      <c r="B159" s="212"/>
      <c r="C159" s="212"/>
    </row>
    <row r="160" spans="1:7" ht="15">
      <c r="A160" s="79" t="s">
        <v>561</v>
      </c>
    </row>
    <row r="161" spans="1:7" ht="15" customHeight="1">
      <c r="A161" s="212" t="s">
        <v>562</v>
      </c>
      <c r="B161" s="212"/>
      <c r="C161" s="212"/>
    </row>
    <row r="163" spans="1:7" s="83" customFormat="1">
      <c r="A163" s="82" t="s">
        <v>580</v>
      </c>
    </row>
    <row r="164" spans="1:7" ht="15" customHeight="1">
      <c r="A164" s="211" t="s">
        <v>564</v>
      </c>
      <c r="B164" s="211"/>
      <c r="C164" s="211"/>
      <c r="D164" s="211"/>
      <c r="E164" s="211"/>
      <c r="F164" s="211"/>
    </row>
    <row r="165" spans="1:7" ht="15" customHeight="1">
      <c r="A165" s="211" t="s">
        <v>565</v>
      </c>
      <c r="B165" s="211"/>
      <c r="C165" s="211"/>
      <c r="D165" s="211"/>
      <c r="E165" s="211"/>
    </row>
    <row r="166" spans="1:7" ht="15" customHeight="1">
      <c r="A166" s="211" t="s">
        <v>566</v>
      </c>
      <c r="B166" s="211"/>
      <c r="C166" s="211"/>
      <c r="D166" s="211"/>
      <c r="E166" s="211"/>
      <c r="F166" s="211"/>
    </row>
    <row r="167" spans="1:7" ht="15" customHeight="1">
      <c r="A167" s="211" t="s">
        <v>567</v>
      </c>
      <c r="B167" s="211"/>
      <c r="C167" s="211"/>
      <c r="D167" s="211"/>
      <c r="E167" s="211"/>
      <c r="F167" s="211"/>
      <c r="G167" s="211"/>
    </row>
    <row r="168" spans="1:7" ht="15" customHeight="1">
      <c r="A168" s="211" t="s">
        <v>568</v>
      </c>
      <c r="B168" s="211"/>
      <c r="C168" s="211"/>
      <c r="D168" s="211"/>
      <c r="E168" s="211"/>
    </row>
    <row r="169" spans="1:7" ht="15" customHeight="1">
      <c r="A169" s="211" t="s">
        <v>569</v>
      </c>
      <c r="B169" s="211"/>
      <c r="C169" s="211"/>
      <c r="D169" s="211"/>
      <c r="E169" s="211"/>
      <c r="F169" s="211"/>
      <c r="G169" s="211"/>
    </row>
    <row r="170" spans="1:7" ht="15">
      <c r="A170" s="84" t="s">
        <v>570</v>
      </c>
    </row>
    <row r="171" spans="1:7" ht="15" customHeight="1">
      <c r="A171" s="211" t="s">
        <v>571</v>
      </c>
      <c r="B171" s="211"/>
      <c r="C171" s="211"/>
      <c r="D171" s="211"/>
      <c r="E171" s="211"/>
    </row>
    <row r="172" spans="1:7" ht="15" customHeight="1">
      <c r="A172" s="211" t="s">
        <v>572</v>
      </c>
      <c r="B172" s="211"/>
      <c r="C172" s="211"/>
      <c r="D172" s="211"/>
      <c r="E172" s="211"/>
    </row>
    <row r="173" spans="1:7" ht="14.4" customHeight="1">
      <c r="A173" s="223" t="s">
        <v>573</v>
      </c>
      <c r="B173" s="223"/>
      <c r="C173" s="223"/>
      <c r="D173" s="223"/>
      <c r="E173" s="223"/>
    </row>
    <row r="174" spans="1:7" ht="15" customHeight="1">
      <c r="A174" s="211" t="s">
        <v>574</v>
      </c>
      <c r="B174" s="211"/>
      <c r="C174" s="211"/>
      <c r="D174" s="211"/>
    </row>
    <row r="175" spans="1:7" ht="14.4" customHeight="1">
      <c r="A175" s="223" t="s">
        <v>575</v>
      </c>
      <c r="B175" s="223"/>
      <c r="C175" s="223"/>
      <c r="D175" s="223"/>
      <c r="E175" s="223"/>
    </row>
    <row r="176" spans="1:7" ht="15" customHeight="1">
      <c r="A176" s="211" t="s">
        <v>576</v>
      </c>
      <c r="B176" s="211"/>
      <c r="C176" s="211"/>
      <c r="D176" s="211"/>
      <c r="E176" s="211"/>
    </row>
    <row r="177" spans="1:5" ht="15" customHeight="1">
      <c r="A177" s="211" t="s">
        <v>577</v>
      </c>
      <c r="B177" s="211"/>
      <c r="C177" s="211"/>
      <c r="D177" s="211"/>
      <c r="E177" s="211"/>
    </row>
    <row r="178" spans="1:5" ht="15" customHeight="1">
      <c r="A178" s="211" t="s">
        <v>578</v>
      </c>
      <c r="B178" s="211"/>
      <c r="C178" s="211"/>
      <c r="D178" s="211"/>
    </row>
    <row r="179" spans="1:5" ht="15" customHeight="1">
      <c r="A179" s="211" t="s">
        <v>579</v>
      </c>
      <c r="B179" s="211"/>
      <c r="C179" s="211"/>
      <c r="D179" s="211"/>
      <c r="E179" s="211"/>
    </row>
    <row r="181" spans="1:5" s="83" customFormat="1">
      <c r="A181" s="82" t="s">
        <v>582</v>
      </c>
    </row>
    <row r="183" spans="1:5" ht="15" customHeight="1">
      <c r="A183" s="211" t="s">
        <v>583</v>
      </c>
      <c r="B183" s="211"/>
      <c r="C183" s="211"/>
      <c r="D183" s="211"/>
    </row>
    <row r="184" spans="1:5" ht="15" customHeight="1">
      <c r="A184" s="211" t="s">
        <v>584</v>
      </c>
      <c r="B184" s="211"/>
      <c r="C184" s="211"/>
      <c r="D184" s="211"/>
    </row>
    <row r="185" spans="1:5" ht="15">
      <c r="A185" s="84" t="s">
        <v>585</v>
      </c>
    </row>
    <row r="186" spans="1:5" ht="15">
      <c r="A186" s="85"/>
    </row>
    <row r="187" spans="1:5" ht="15" customHeight="1">
      <c r="A187" s="213" t="s">
        <v>586</v>
      </c>
      <c r="B187" s="213"/>
      <c r="C187" s="213"/>
      <c r="D187" s="213"/>
      <c r="E187" s="213"/>
    </row>
    <row r="188" spans="1:5" ht="15" customHeight="1">
      <c r="A188" s="213" t="s">
        <v>587</v>
      </c>
      <c r="B188" s="213"/>
      <c r="C188" s="213"/>
      <c r="D188" s="213"/>
      <c r="E188" s="213"/>
    </row>
    <row r="189" spans="1:5" ht="15">
      <c r="A189" s="84" t="s">
        <v>588</v>
      </c>
    </row>
    <row r="190" spans="1:5" ht="15">
      <c r="A190" s="85"/>
    </row>
    <row r="191" spans="1:5" ht="14.4" customHeight="1">
      <c r="A191" s="223" t="s">
        <v>589</v>
      </c>
      <c r="B191" s="223"/>
      <c r="C191" s="223"/>
      <c r="D191" s="223"/>
      <c r="E191" s="223"/>
    </row>
    <row r="192" spans="1:5" ht="14.4" customHeight="1">
      <c r="A192" s="223" t="s">
        <v>590</v>
      </c>
      <c r="B192" s="223"/>
      <c r="C192" s="223"/>
      <c r="D192" s="223"/>
    </row>
    <row r="193" spans="1:6" ht="15">
      <c r="A193" s="84" t="s">
        <v>591</v>
      </c>
    </row>
    <row r="194" spans="1:6" ht="14.4" customHeight="1">
      <c r="A194" s="223" t="s">
        <v>592</v>
      </c>
      <c r="B194" s="223"/>
      <c r="C194" s="223"/>
      <c r="D194" s="223"/>
      <c r="E194" s="223"/>
    </row>
    <row r="195" spans="1:6" ht="15">
      <c r="A195" s="84" t="s">
        <v>593</v>
      </c>
    </row>
    <row r="196" spans="1:6" ht="15" customHeight="1">
      <c r="A196" s="213" t="s">
        <v>594</v>
      </c>
      <c r="B196" s="213"/>
      <c r="C196" s="213"/>
      <c r="D196" s="213"/>
    </row>
    <row r="197" spans="1:6" ht="15">
      <c r="A197" s="84" t="s">
        <v>595</v>
      </c>
    </row>
    <row r="198" spans="1:6" ht="15" customHeight="1">
      <c r="A198" s="213" t="s">
        <v>596</v>
      </c>
      <c r="B198" s="213"/>
      <c r="C198" s="213"/>
      <c r="D198" s="213"/>
    </row>
    <row r="201" spans="1:6">
      <c r="A201" s="9" t="s">
        <v>613</v>
      </c>
      <c r="B201" s="9" t="s">
        <v>59</v>
      </c>
      <c r="C201" s="9" t="s">
        <v>614</v>
      </c>
      <c r="D201" s="9" t="s">
        <v>60</v>
      </c>
      <c r="E201" s="9" t="s">
        <v>61</v>
      </c>
      <c r="F201" s="9" t="s">
        <v>615</v>
      </c>
    </row>
    <row r="202" spans="1:6" ht="28.2" thickBot="1">
      <c r="A202" s="70" t="s">
        <v>253</v>
      </c>
      <c r="B202" s="70">
        <v>20</v>
      </c>
      <c r="C202" s="70">
        <v>30</v>
      </c>
      <c r="D202" s="70">
        <v>35</v>
      </c>
      <c r="E202" s="70">
        <v>15</v>
      </c>
      <c r="F202" s="70" t="s">
        <v>597</v>
      </c>
    </row>
    <row r="203" spans="1:6" ht="28.2" thickBot="1">
      <c r="A203" s="70" t="s">
        <v>563</v>
      </c>
      <c r="B203" s="70">
        <v>40</v>
      </c>
      <c r="C203" s="70">
        <v>40</v>
      </c>
      <c r="D203" s="70">
        <v>15</v>
      </c>
      <c r="E203" s="70">
        <v>5</v>
      </c>
      <c r="F203" s="70" t="s">
        <v>598</v>
      </c>
    </row>
    <row r="204" spans="1:6" ht="28.2" thickBot="1">
      <c r="A204" s="70" t="s">
        <v>512</v>
      </c>
      <c r="B204" s="70">
        <v>45</v>
      </c>
      <c r="C204" s="70">
        <v>35</v>
      </c>
      <c r="D204" s="70">
        <v>15</v>
      </c>
      <c r="E204" s="70">
        <v>5</v>
      </c>
      <c r="F204" s="70" t="s">
        <v>599</v>
      </c>
    </row>
    <row r="205" spans="1:6" ht="28.2" thickBot="1">
      <c r="A205" s="70" t="s">
        <v>259</v>
      </c>
      <c r="B205" s="70">
        <v>50</v>
      </c>
      <c r="C205" s="70">
        <v>30</v>
      </c>
      <c r="D205" s="70">
        <v>15</v>
      </c>
      <c r="E205" s="70">
        <v>5</v>
      </c>
      <c r="F205" s="70" t="s">
        <v>600</v>
      </c>
    </row>
    <row r="206" spans="1:6" ht="42" thickBot="1">
      <c r="A206" s="70" t="s">
        <v>261</v>
      </c>
      <c r="B206" s="70">
        <v>25</v>
      </c>
      <c r="C206" s="70">
        <v>35</v>
      </c>
      <c r="D206" s="70">
        <v>30</v>
      </c>
      <c r="E206" s="70">
        <v>10</v>
      </c>
      <c r="F206" s="70" t="s">
        <v>601</v>
      </c>
    </row>
    <row r="207" spans="1:6" ht="28.2" thickBot="1">
      <c r="A207" s="70" t="s">
        <v>263</v>
      </c>
      <c r="B207" s="70">
        <v>55</v>
      </c>
      <c r="C207" s="70">
        <v>30</v>
      </c>
      <c r="D207" s="70">
        <v>10</v>
      </c>
      <c r="E207" s="70">
        <v>5</v>
      </c>
      <c r="F207" s="70" t="s">
        <v>602</v>
      </c>
    </row>
    <row r="208" spans="1:6" ht="28.2" thickBot="1">
      <c r="A208" s="70" t="s">
        <v>265</v>
      </c>
      <c r="B208" s="70">
        <v>90</v>
      </c>
      <c r="C208" s="70">
        <v>10</v>
      </c>
      <c r="D208" s="70">
        <v>0</v>
      </c>
      <c r="E208" s="70">
        <v>0</v>
      </c>
      <c r="F208" s="70" t="s">
        <v>603</v>
      </c>
    </row>
    <row r="209" spans="1:6" ht="28.2" thickBot="1">
      <c r="A209" s="70" t="s">
        <v>267</v>
      </c>
      <c r="B209" s="70">
        <v>20</v>
      </c>
      <c r="C209" s="70">
        <v>35</v>
      </c>
      <c r="D209" s="70">
        <v>30</v>
      </c>
      <c r="E209" s="70">
        <v>15</v>
      </c>
      <c r="F209" s="70" t="s">
        <v>604</v>
      </c>
    </row>
    <row r="210" spans="1:6" ht="28.2" thickBot="1">
      <c r="A210" s="70" t="s">
        <v>581</v>
      </c>
      <c r="B210" s="70">
        <v>60</v>
      </c>
      <c r="C210" s="70">
        <v>30</v>
      </c>
      <c r="D210" s="70">
        <v>8</v>
      </c>
      <c r="E210" s="70">
        <v>2</v>
      </c>
      <c r="F210" s="70" t="s">
        <v>605</v>
      </c>
    </row>
    <row r="211" spans="1:6" ht="28.2" thickBot="1">
      <c r="A211" s="70" t="s">
        <v>351</v>
      </c>
      <c r="B211" s="70">
        <v>10</v>
      </c>
      <c r="C211" s="70">
        <v>30</v>
      </c>
      <c r="D211" s="70">
        <v>40</v>
      </c>
      <c r="E211" s="70">
        <v>20</v>
      </c>
      <c r="F211" s="70" t="s">
        <v>606</v>
      </c>
    </row>
    <row r="212" spans="1:6" ht="28.2" thickBot="1">
      <c r="A212" s="70" t="s">
        <v>498</v>
      </c>
      <c r="B212" s="70">
        <v>20</v>
      </c>
      <c r="C212" s="70">
        <v>40</v>
      </c>
      <c r="D212" s="70">
        <v>30</v>
      </c>
      <c r="E212" s="70">
        <v>10</v>
      </c>
      <c r="F212" s="70" t="s">
        <v>607</v>
      </c>
    </row>
    <row r="213" spans="1:6" ht="28.2" thickBot="1">
      <c r="A213" s="70" t="s">
        <v>275</v>
      </c>
      <c r="B213" s="70">
        <v>25</v>
      </c>
      <c r="C213" s="70">
        <v>35</v>
      </c>
      <c r="D213" s="70">
        <v>30</v>
      </c>
      <c r="E213" s="70">
        <v>10</v>
      </c>
      <c r="F213" s="70" t="s">
        <v>608</v>
      </c>
    </row>
    <row r="214" spans="1:6" ht="28.2" thickBot="1">
      <c r="A214" s="70" t="s">
        <v>277</v>
      </c>
      <c r="B214" s="70">
        <v>80</v>
      </c>
      <c r="C214" s="70">
        <v>15</v>
      </c>
      <c r="D214" s="70">
        <v>5</v>
      </c>
      <c r="E214" s="70">
        <v>0</v>
      </c>
      <c r="F214" s="70" t="s">
        <v>609</v>
      </c>
    </row>
    <row r="215" spans="1:6" ht="28.2" thickBot="1">
      <c r="A215" s="70" t="s">
        <v>279</v>
      </c>
      <c r="B215" s="70">
        <v>70</v>
      </c>
      <c r="C215" s="70">
        <v>25</v>
      </c>
      <c r="D215" s="70">
        <v>5</v>
      </c>
      <c r="E215" s="70">
        <v>0</v>
      </c>
      <c r="F215" s="70" t="s">
        <v>610</v>
      </c>
    </row>
    <row r="216" spans="1:6" ht="28.2" thickBot="1">
      <c r="A216" s="70" t="s">
        <v>281</v>
      </c>
      <c r="B216" s="70">
        <v>60</v>
      </c>
      <c r="C216" s="70">
        <v>25</v>
      </c>
      <c r="D216" s="70">
        <v>10</v>
      </c>
      <c r="E216" s="70">
        <v>5</v>
      </c>
      <c r="F216" s="70" t="s">
        <v>611</v>
      </c>
    </row>
    <row r="217" spans="1:6" ht="27.6">
      <c r="A217" s="71" t="s">
        <v>283</v>
      </c>
      <c r="B217" s="71">
        <v>15</v>
      </c>
      <c r="C217" s="71">
        <v>30</v>
      </c>
      <c r="D217" s="71">
        <v>35</v>
      </c>
      <c r="E217" s="71">
        <v>20</v>
      </c>
      <c r="F217" s="71" t="s">
        <v>612</v>
      </c>
    </row>
    <row r="219" spans="1:6" ht="45">
      <c r="A219" s="85" t="s">
        <v>674</v>
      </c>
    </row>
    <row r="220" spans="1:6" ht="45">
      <c r="A220" s="85" t="s">
        <v>675</v>
      </c>
    </row>
    <row r="221" spans="1:6" ht="30">
      <c r="A221" s="85" t="s">
        <v>676</v>
      </c>
    </row>
    <row r="222" spans="1:6" ht="30">
      <c r="A222" s="85" t="s">
        <v>677</v>
      </c>
    </row>
    <row r="223" spans="1:6" ht="30">
      <c r="A223" s="85" t="s">
        <v>678</v>
      </c>
    </row>
    <row r="224" spans="1:6" ht="30">
      <c r="A224" s="85" t="s">
        <v>679</v>
      </c>
    </row>
    <row r="227" spans="1:1">
      <c r="A227" t="s">
        <v>888</v>
      </c>
    </row>
    <row r="228" spans="1:1">
      <c r="A228" s="29"/>
    </row>
    <row r="229" spans="1:1">
      <c r="A229" s="30" t="s">
        <v>889</v>
      </c>
    </row>
    <row r="230" spans="1:1">
      <c r="A230" s="29"/>
    </row>
    <row r="231" spans="1:1">
      <c r="A231" s="30" t="s">
        <v>890</v>
      </c>
    </row>
    <row r="232" spans="1:1">
      <c r="A232" s="29"/>
    </row>
    <row r="233" spans="1:1">
      <c r="A233" s="29" t="s">
        <v>891</v>
      </c>
    </row>
  </sheetData>
  <mergeCells count="52">
    <mergeCell ref="A198:D198"/>
    <mergeCell ref="A188:E188"/>
    <mergeCell ref="A191:E191"/>
    <mergeCell ref="A192:D192"/>
    <mergeCell ref="A194:E194"/>
    <mergeCell ref="A196:D196"/>
    <mergeCell ref="A179:E179"/>
    <mergeCell ref="A183:D183"/>
    <mergeCell ref="A184:D184"/>
    <mergeCell ref="A187:E187"/>
    <mergeCell ref="A174:D174"/>
    <mergeCell ref="A175:E175"/>
    <mergeCell ref="A176:E176"/>
    <mergeCell ref="A177:E177"/>
    <mergeCell ref="A178:D178"/>
    <mergeCell ref="A168:E168"/>
    <mergeCell ref="A169:G169"/>
    <mergeCell ref="A171:E171"/>
    <mergeCell ref="A172:E172"/>
    <mergeCell ref="A173:E173"/>
    <mergeCell ref="A167:G167"/>
    <mergeCell ref="A62:O62"/>
    <mergeCell ref="A99:O99"/>
    <mergeCell ref="B101:C101"/>
    <mergeCell ref="A130:O130"/>
    <mergeCell ref="A69:D69"/>
    <mergeCell ref="A81:F81"/>
    <mergeCell ref="A75:B75"/>
    <mergeCell ref="B70:D70"/>
    <mergeCell ref="B71:D71"/>
    <mergeCell ref="B72:D72"/>
    <mergeCell ref="A137:O137"/>
    <mergeCell ref="A140:F140"/>
    <mergeCell ref="A157:B157"/>
    <mergeCell ref="A158:B158"/>
    <mergeCell ref="A159:C159"/>
    <mergeCell ref="A36:O36"/>
    <mergeCell ref="A49:O49"/>
    <mergeCell ref="A164:F164"/>
    <mergeCell ref="A165:E165"/>
    <mergeCell ref="A166:F166"/>
    <mergeCell ref="A141:J141"/>
    <mergeCell ref="A142:G142"/>
    <mergeCell ref="A144:G144"/>
    <mergeCell ref="A145:D145"/>
    <mergeCell ref="A146:E146"/>
    <mergeCell ref="A149:F149"/>
    <mergeCell ref="A150:G150"/>
    <mergeCell ref="A151:F151"/>
    <mergeCell ref="A161:C161"/>
    <mergeCell ref="A152:F152"/>
    <mergeCell ref="A153:F153"/>
  </mergeCells>
  <phoneticPr fontId="6" type="noConversion"/>
  <hyperlinks>
    <hyperlink ref="A173" r:id="rId1" display="https://academic.oup.com/bja/article/119/2/249/4049141" xr:uid="{38BB90B0-2C37-46FE-A213-75609810DAF5}"/>
    <hyperlink ref="A175" r:id="rId2" display="https://academic.oup.com/bja/article/119/2/249/4049141" xr:uid="{BE47564E-AADC-479E-9058-F3653A9079DF}"/>
    <hyperlink ref="A191" r:id="rId3" display="https://www.outlookmoney.com/insurance/health-insurance/surgery-costs-surge-by-300-per-cent-over-last-decade-learn-to-manage-expensive-health-bills" xr:uid="{E0F3DE5D-B1EB-4C83-B455-604733EBD801}"/>
    <hyperlink ref="A192" r:id="rId4" display="https://www.cnbctv18.com/personal-finance/medical-inflation-fuels-higher-health-insurance-premiums-reduce-cost-medi-assist-ceo-19611914.htm" xr:uid="{AC8F8108-E022-49FA-ABE9-508BEA8376F3}"/>
    <hyperlink ref="A194" r:id="rId5" display="https://www.financialexpress.com/business/healthcare/indias-healthcare-costs-to-rise-13-in-2025-beat-global-average-report/3800929/" xr:uid="{4EB0D27E-C92C-46DF-AD80-7FDC4E5D6A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70C3-1524-4B21-8E2A-D74A44DB1D54}">
  <dimension ref="A1:AC449"/>
  <sheetViews>
    <sheetView topLeftCell="E1" zoomScale="70" zoomScaleNormal="145" workbookViewId="0">
      <selection activeCell="N13" sqref="N13:AB13"/>
    </sheetView>
  </sheetViews>
  <sheetFormatPr defaultRowHeight="14.4"/>
  <cols>
    <col min="1" max="1" width="46.88671875" bestFit="1" customWidth="1"/>
    <col min="2" max="2" width="15.21875" bestFit="1" customWidth="1"/>
    <col min="3" max="3" width="21.44140625" bestFit="1" customWidth="1"/>
    <col min="4" max="4" width="12.88671875" customWidth="1"/>
    <col min="5" max="5" width="16.21875" bestFit="1" customWidth="1"/>
    <col min="6" max="13" width="13.33203125" customWidth="1"/>
    <col min="14" max="16" width="18.88671875" bestFit="1" customWidth="1"/>
    <col min="17" max="18" width="22.33203125" bestFit="1" customWidth="1"/>
    <col min="19" max="25" width="25.77734375" bestFit="1" customWidth="1"/>
    <col min="26" max="28" width="31.109375" bestFit="1" customWidth="1"/>
    <col min="29" max="29" width="10.21875" bestFit="1" customWidth="1"/>
  </cols>
  <sheetData>
    <row r="1" spans="1:28">
      <c r="A1" s="5" t="s">
        <v>18</v>
      </c>
      <c r="N1" s="10" t="s">
        <v>19</v>
      </c>
      <c r="O1" s="10" t="s">
        <v>19</v>
      </c>
      <c r="P1" s="10" t="s">
        <v>19</v>
      </c>
      <c r="Q1" s="10" t="s">
        <v>19</v>
      </c>
      <c r="R1" s="10" t="s">
        <v>19</v>
      </c>
      <c r="S1" s="10" t="s">
        <v>19</v>
      </c>
      <c r="T1" s="10" t="s">
        <v>19</v>
      </c>
      <c r="U1" s="10" t="s">
        <v>19</v>
      </c>
      <c r="V1" s="10" t="s">
        <v>19</v>
      </c>
      <c r="W1" s="10" t="s">
        <v>19</v>
      </c>
      <c r="X1" s="10" t="s">
        <v>19</v>
      </c>
      <c r="Y1" s="10" t="s">
        <v>19</v>
      </c>
      <c r="Z1" s="10" t="s">
        <v>19</v>
      </c>
      <c r="AA1" s="10" t="s">
        <v>19</v>
      </c>
      <c r="AB1" s="10" t="s">
        <v>19</v>
      </c>
    </row>
    <row r="2" spans="1:28">
      <c r="A2" s="5" t="s">
        <v>23</v>
      </c>
      <c r="N2" s="10" t="s">
        <v>11</v>
      </c>
      <c r="O2" s="10" t="s">
        <v>12</v>
      </c>
      <c r="P2" s="10" t="s">
        <v>13</v>
      </c>
      <c r="Q2" s="10" t="s">
        <v>14</v>
      </c>
      <c r="R2" s="10" t="s">
        <v>15</v>
      </c>
      <c r="S2" s="10" t="s">
        <v>16</v>
      </c>
      <c r="T2" s="10" t="s">
        <v>17</v>
      </c>
      <c r="U2" s="10" t="s">
        <v>20</v>
      </c>
      <c r="V2" s="10" t="s">
        <v>21</v>
      </c>
      <c r="W2" s="10" t="s">
        <v>22</v>
      </c>
      <c r="X2" s="10" t="s">
        <v>417</v>
      </c>
      <c r="Y2" s="10" t="s">
        <v>418</v>
      </c>
      <c r="Z2" s="10" t="s">
        <v>419</v>
      </c>
      <c r="AA2" s="10" t="s">
        <v>420</v>
      </c>
      <c r="AB2" s="10" t="s">
        <v>421</v>
      </c>
    </row>
    <row r="3" spans="1:28">
      <c r="A3" s="5" t="s">
        <v>24</v>
      </c>
      <c r="N3" s="10">
        <v>1</v>
      </c>
      <c r="O3" s="10">
        <v>2</v>
      </c>
      <c r="P3" s="10">
        <v>3</v>
      </c>
      <c r="Q3" s="10">
        <v>4</v>
      </c>
      <c r="R3" s="10">
        <v>5</v>
      </c>
      <c r="S3" s="10">
        <v>6</v>
      </c>
      <c r="T3" s="10">
        <v>7</v>
      </c>
      <c r="U3" s="10">
        <v>8</v>
      </c>
      <c r="V3" s="10">
        <v>9</v>
      </c>
      <c r="W3" s="10">
        <v>10</v>
      </c>
      <c r="X3" s="10">
        <v>11</v>
      </c>
      <c r="Y3" s="10">
        <v>12</v>
      </c>
      <c r="Z3" s="10">
        <v>13</v>
      </c>
      <c r="AA3" s="10">
        <v>14</v>
      </c>
      <c r="AB3" s="10">
        <v>15</v>
      </c>
    </row>
    <row r="4" spans="1:28" s="181" customFormat="1" ht="21">
      <c r="A4" s="229" t="s">
        <v>896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</row>
    <row r="5" spans="1:28">
      <c r="A5" s="3" t="s">
        <v>643</v>
      </c>
      <c r="N5" s="96">
        <f>N54</f>
        <v>0</v>
      </c>
      <c r="O5" s="96">
        <f t="shared" ref="O5:AB5" si="0">O54</f>
        <v>0</v>
      </c>
      <c r="P5" s="96">
        <f t="shared" si="0"/>
        <v>0</v>
      </c>
      <c r="Q5" s="96">
        <f t="shared" si="0"/>
        <v>43.738579023480014</v>
      </c>
      <c r="R5" s="96">
        <f t="shared" si="0"/>
        <v>63.713701404740192</v>
      </c>
      <c r="S5" s="96">
        <f t="shared" si="0"/>
        <v>101.82406665828833</v>
      </c>
      <c r="T5" s="96">
        <f t="shared" si="0"/>
        <v>127.43667102362252</v>
      </c>
      <c r="U5" s="96">
        <f t="shared" si="0"/>
        <v>160.74994846158017</v>
      </c>
      <c r="V5" s="96">
        <f t="shared" si="0"/>
        <v>200.0326379526918</v>
      </c>
      <c r="W5" s="96">
        <f>W54</f>
        <v>248.34777531866439</v>
      </c>
      <c r="X5" s="96">
        <f t="shared" si="0"/>
        <v>309.77986908776734</v>
      </c>
      <c r="Y5" s="96">
        <f t="shared" si="0"/>
        <v>359.42702163553224</v>
      </c>
      <c r="Z5" s="96">
        <f>Z54</f>
        <v>415.49035667470213</v>
      </c>
      <c r="AA5" s="96">
        <f t="shared" si="0"/>
        <v>480.20665590078301</v>
      </c>
      <c r="AB5" s="96">
        <f t="shared" si="0"/>
        <v>553.44091339656006</v>
      </c>
    </row>
    <row r="6" spans="1:28">
      <c r="A6" s="3" t="s">
        <v>97</v>
      </c>
      <c r="N6" s="96" t="e">
        <f>N123</f>
        <v>#REF!</v>
      </c>
      <c r="O6" s="96" t="e">
        <f t="shared" ref="O6:AB6" si="1">O123</f>
        <v>#REF!</v>
      </c>
      <c r="P6" s="96" t="e">
        <f t="shared" si="1"/>
        <v>#REF!</v>
      </c>
      <c r="Q6" s="96" t="e">
        <f t="shared" si="1"/>
        <v>#REF!</v>
      </c>
      <c r="R6" s="96" t="e">
        <f t="shared" si="1"/>
        <v>#REF!</v>
      </c>
      <c r="S6" s="96" t="e">
        <f t="shared" si="1"/>
        <v>#REF!</v>
      </c>
      <c r="T6" s="96" t="e">
        <f t="shared" si="1"/>
        <v>#REF!</v>
      </c>
      <c r="U6" s="96" t="e">
        <f t="shared" si="1"/>
        <v>#REF!</v>
      </c>
      <c r="V6" s="96" t="e">
        <f t="shared" si="1"/>
        <v>#REF!</v>
      </c>
      <c r="W6" s="96" t="e">
        <f>W123</f>
        <v>#REF!</v>
      </c>
      <c r="X6" s="96" t="e">
        <f t="shared" si="1"/>
        <v>#REF!</v>
      </c>
      <c r="Y6" s="96" t="e">
        <f t="shared" si="1"/>
        <v>#REF!</v>
      </c>
      <c r="Z6" s="96" t="e">
        <f>Z123</f>
        <v>#REF!</v>
      </c>
      <c r="AA6" s="96" t="e">
        <f t="shared" si="1"/>
        <v>#REF!</v>
      </c>
      <c r="AB6" s="96" t="e">
        <f t="shared" si="1"/>
        <v>#REF!</v>
      </c>
    </row>
    <row r="7" spans="1:28">
      <c r="A7" s="3" t="s">
        <v>98</v>
      </c>
      <c r="N7" s="96">
        <f>N384</f>
        <v>0</v>
      </c>
      <c r="O7" s="96">
        <f t="shared" ref="O7:AA7" si="2">O384</f>
        <v>0</v>
      </c>
      <c r="P7" s="96">
        <f t="shared" si="2"/>
        <v>0</v>
      </c>
      <c r="Q7" s="96">
        <f t="shared" si="2"/>
        <v>46.522417314000002</v>
      </c>
      <c r="R7" s="96">
        <f t="shared" si="2"/>
        <v>61.414711892510006</v>
      </c>
      <c r="S7" s="96">
        <f t="shared" si="2"/>
        <v>127.20754399959499</v>
      </c>
      <c r="T7" s="96">
        <f t="shared" si="2"/>
        <v>203.95014342477597</v>
      </c>
      <c r="U7" s="96">
        <f t="shared" si="2"/>
        <v>290.30009787293898</v>
      </c>
      <c r="V7" s="96">
        <f>V384</f>
        <v>402.39073320872001</v>
      </c>
      <c r="W7" s="96">
        <f t="shared" si="2"/>
        <v>537.38921504309928</v>
      </c>
      <c r="X7" s="96">
        <f t="shared" si="2"/>
        <v>660.85424610632504</v>
      </c>
      <c r="Y7" s="96">
        <f t="shared" si="2"/>
        <v>812.93147454644998</v>
      </c>
      <c r="Z7" s="96">
        <f t="shared" si="2"/>
        <v>953.7890376357559</v>
      </c>
      <c r="AA7" s="96">
        <f t="shared" si="2"/>
        <v>1117.8662868896743</v>
      </c>
      <c r="AB7" s="96">
        <f>AB384</f>
        <v>1316.3179131646427</v>
      </c>
    </row>
    <row r="8" spans="1:28">
      <c r="A8" s="3" t="s">
        <v>70</v>
      </c>
      <c r="N8" s="96">
        <f>N402</f>
        <v>0</v>
      </c>
      <c r="O8" s="96">
        <f t="shared" ref="O8:AB8" si="3">O402</f>
        <v>0</v>
      </c>
      <c r="P8" s="96">
        <f t="shared" si="3"/>
        <v>0</v>
      </c>
      <c r="Q8" s="96">
        <f t="shared" si="3"/>
        <v>0.15285203999999999</v>
      </c>
      <c r="R8" s="96">
        <f t="shared" si="3"/>
        <v>0.27377211600000007</v>
      </c>
      <c r="S8" s="96">
        <f t="shared" si="3"/>
        <v>0.482902728</v>
      </c>
      <c r="T8" s="96">
        <f t="shared" si="3"/>
        <v>0.78501430799999994</v>
      </c>
      <c r="U8" s="96">
        <f t="shared" si="3"/>
        <v>1.2750025620000001</v>
      </c>
      <c r="V8" s="96">
        <f>V402</f>
        <v>1.7426852204399998</v>
      </c>
      <c r="W8" s="96">
        <f t="shared" si="3"/>
        <v>2.2943569330800004</v>
      </c>
      <c r="X8" s="96">
        <f t="shared" si="3"/>
        <v>2.9568615408000003</v>
      </c>
      <c r="Y8" s="96">
        <f t="shared" si="3"/>
        <v>3.7636697087999993</v>
      </c>
      <c r="Z8" s="96">
        <f t="shared" si="3"/>
        <v>4.46692889862</v>
      </c>
      <c r="AA8" s="96">
        <f>AA402</f>
        <v>5.35224207</v>
      </c>
      <c r="AB8" s="96">
        <f t="shared" si="3"/>
        <v>5.9971224960000002</v>
      </c>
    </row>
    <row r="9" spans="1:28">
      <c r="A9" s="3" t="s">
        <v>73</v>
      </c>
      <c r="N9" s="96">
        <f>N411</f>
        <v>0</v>
      </c>
      <c r="O9" s="96">
        <f t="shared" ref="O9:AB9" si="4">O411</f>
        <v>0</v>
      </c>
      <c r="P9" s="96">
        <f t="shared" si="4"/>
        <v>0</v>
      </c>
      <c r="Q9" s="96">
        <f t="shared" si="4"/>
        <v>0.12704399999999999</v>
      </c>
      <c r="R9" s="96">
        <f t="shared" si="4"/>
        <v>0.25156109999999993</v>
      </c>
      <c r="S9" s="96">
        <f>S411</f>
        <v>0.46024319880000009</v>
      </c>
      <c r="T9" s="96">
        <f t="shared" si="4"/>
        <v>0.781316448</v>
      </c>
      <c r="U9" s="96">
        <f t="shared" si="4"/>
        <v>1.1426813775</v>
      </c>
      <c r="V9" s="96">
        <f t="shared" si="4"/>
        <v>1.6075595853200004</v>
      </c>
      <c r="W9" s="96">
        <f t="shared" si="4"/>
        <v>2.1709273433400003</v>
      </c>
      <c r="X9" s="96">
        <f>X411</f>
        <v>2.8396166624000001</v>
      </c>
      <c r="Y9" s="96">
        <f t="shared" si="4"/>
        <v>3.6566253206999995</v>
      </c>
      <c r="Z9" s="96">
        <f t="shared" si="4"/>
        <v>4.5946531439999996</v>
      </c>
      <c r="AA9" s="96">
        <f t="shared" si="4"/>
        <v>5.5778252885999997</v>
      </c>
      <c r="AB9" s="96">
        <f t="shared" si="4"/>
        <v>6.7684060800000001</v>
      </c>
    </row>
    <row r="10" spans="1:28">
      <c r="A10" s="3" t="s">
        <v>82</v>
      </c>
      <c r="N10" s="96">
        <f>N428</f>
        <v>0</v>
      </c>
      <c r="O10" s="96">
        <f t="shared" ref="O10:AB10" si="5">O428</f>
        <v>0</v>
      </c>
      <c r="P10" s="96">
        <f t="shared" si="5"/>
        <v>0</v>
      </c>
      <c r="Q10" s="96">
        <f t="shared" si="5"/>
        <v>0.14494589999999999</v>
      </c>
      <c r="R10" s="96">
        <f t="shared" si="5"/>
        <v>0.3429543645</v>
      </c>
      <c r="S10" s="96">
        <f t="shared" si="5"/>
        <v>0.79292528728</v>
      </c>
      <c r="T10" s="96">
        <f t="shared" si="5"/>
        <v>1.650003264</v>
      </c>
      <c r="U10" s="96">
        <f t="shared" si="5"/>
        <v>3.4697381400000005</v>
      </c>
      <c r="V10" s="96">
        <f>V428</f>
        <v>5.8888080919999997</v>
      </c>
      <c r="W10" s="96">
        <f t="shared" si="5"/>
        <v>9.5959485908550022</v>
      </c>
      <c r="X10" s="96">
        <f t="shared" si="5"/>
        <v>15.146550974879998</v>
      </c>
      <c r="Y10" s="96">
        <f t="shared" si="5"/>
        <v>23.3156412216</v>
      </c>
      <c r="Z10" s="96">
        <f>Z428</f>
        <v>31.188561522000004</v>
      </c>
      <c r="AA10" s="96">
        <f t="shared" si="5"/>
        <v>42.604942379999997</v>
      </c>
      <c r="AB10" s="96">
        <f t="shared" si="5"/>
        <v>51.671646532800004</v>
      </c>
    </row>
    <row r="11" spans="1:28">
      <c r="A11" s="3" t="s">
        <v>99</v>
      </c>
      <c r="N11" s="96">
        <f>N438</f>
        <v>0</v>
      </c>
      <c r="O11" s="96">
        <f t="shared" ref="O11:AB11" si="6">O438</f>
        <v>0</v>
      </c>
      <c r="P11" s="96">
        <f t="shared" si="6"/>
        <v>0</v>
      </c>
      <c r="Q11" s="96">
        <f t="shared" si="6"/>
        <v>2.5499999999999998E-2</v>
      </c>
      <c r="R11" s="96">
        <f t="shared" si="6"/>
        <v>4.3248000000000002E-2</v>
      </c>
      <c r="S11" s="96">
        <f>S438</f>
        <v>7.4636800000000017E-2</v>
      </c>
      <c r="T11" s="96">
        <f t="shared" si="6"/>
        <v>0.117882</v>
      </c>
      <c r="U11" s="96">
        <f t="shared" si="6"/>
        <v>0.19201399999999999</v>
      </c>
      <c r="V11" s="96">
        <f>V438</f>
        <v>0.25324000000000002</v>
      </c>
      <c r="W11" s="96">
        <f t="shared" si="6"/>
        <v>0.32301360000000001</v>
      </c>
      <c r="X11" s="96">
        <f t="shared" si="6"/>
        <v>0.4017464</v>
      </c>
      <c r="Y11" s="96">
        <f t="shared" si="6"/>
        <v>0.490176</v>
      </c>
      <c r="Z11" s="96">
        <f t="shared" si="6"/>
        <v>0.55340159999999994</v>
      </c>
      <c r="AA11" s="96">
        <f>AA438</f>
        <v>0.62165999999999999</v>
      </c>
      <c r="AB11" s="96">
        <f t="shared" si="6"/>
        <v>0.63839999999999997</v>
      </c>
    </row>
    <row r="12" spans="1:28">
      <c r="A12" s="3" t="s">
        <v>533</v>
      </c>
      <c r="N12" s="96">
        <f>N449</f>
        <v>0</v>
      </c>
      <c r="O12" s="96">
        <f t="shared" ref="O12:AA12" si="7">O449</f>
        <v>0</v>
      </c>
      <c r="P12" s="96">
        <f t="shared" si="7"/>
        <v>0</v>
      </c>
      <c r="Q12" s="96">
        <f t="shared" si="7"/>
        <v>9.9824999999999997E-2</v>
      </c>
      <c r="R12" s="96">
        <f t="shared" si="7"/>
        <v>0.1098075</v>
      </c>
      <c r="S12" s="96">
        <f t="shared" si="7"/>
        <v>0.1207883</v>
      </c>
      <c r="T12" s="96">
        <f t="shared" si="7"/>
        <v>0.13286700000000001</v>
      </c>
      <c r="U12" s="96">
        <f t="shared" si="7"/>
        <v>0.1461538</v>
      </c>
      <c r="V12" s="96">
        <f t="shared" si="7"/>
        <v>0.1607692</v>
      </c>
      <c r="W12" s="96">
        <f>W449</f>
        <v>0.17684610000000001</v>
      </c>
      <c r="X12" s="96">
        <f t="shared" si="7"/>
        <v>0.1945305</v>
      </c>
      <c r="Y12" s="96">
        <f t="shared" si="7"/>
        <v>0.2139838</v>
      </c>
      <c r="Z12" s="96">
        <f t="shared" si="7"/>
        <v>0.23538210000000001</v>
      </c>
      <c r="AA12" s="96">
        <f t="shared" si="7"/>
        <v>0.25892039999999999</v>
      </c>
      <c r="AB12" s="96">
        <f>AB449</f>
        <v>0.28481250000000002</v>
      </c>
    </row>
    <row r="13" spans="1:28">
      <c r="A13" s="209" t="s">
        <v>384</v>
      </c>
      <c r="N13" s="96" t="e">
        <f>SUM(N5:N12)</f>
        <v>#REF!</v>
      </c>
      <c r="O13" s="96" t="e">
        <f t="shared" ref="O13:T13" si="8">SUM(O5:O12)</f>
        <v>#REF!</v>
      </c>
      <c r="P13" s="96" t="e">
        <f t="shared" si="8"/>
        <v>#REF!</v>
      </c>
      <c r="Q13" s="96" t="e">
        <f t="shared" si="8"/>
        <v>#REF!</v>
      </c>
      <c r="R13" s="96" t="e">
        <f t="shared" si="8"/>
        <v>#REF!</v>
      </c>
      <c r="S13" s="96" t="e">
        <f t="shared" si="8"/>
        <v>#REF!</v>
      </c>
      <c r="T13" s="96" t="e">
        <f t="shared" si="8"/>
        <v>#REF!</v>
      </c>
      <c r="U13" s="96" t="e">
        <f>SUM(U5:U12)</f>
        <v>#REF!</v>
      </c>
      <c r="V13" s="96" t="e">
        <f t="shared" ref="V13" si="9">SUM(V5:V12)</f>
        <v>#REF!</v>
      </c>
      <c r="W13" s="96" t="e">
        <f t="shared" ref="W13" si="10">SUM(W5:W12)</f>
        <v>#REF!</v>
      </c>
      <c r="X13" s="96" t="e">
        <f t="shared" ref="X13" si="11">SUM(X5:X12)</f>
        <v>#REF!</v>
      </c>
      <c r="Y13" s="96" t="e">
        <f>SUM(Y5:Y12)</f>
        <v>#REF!</v>
      </c>
      <c r="Z13" s="96" t="e">
        <f t="shared" ref="Z13" si="12">SUM(Z5:Z12)</f>
        <v>#REF!</v>
      </c>
      <c r="AA13" s="96" t="e">
        <f t="shared" ref="AA13" si="13">SUM(AA5:AA12)</f>
        <v>#REF!</v>
      </c>
      <c r="AB13" s="96" t="e">
        <f t="shared" ref="AB13" si="14">SUM(AB5:AB12)</f>
        <v>#REF!</v>
      </c>
    </row>
    <row r="15" spans="1:28" s="181" customFormat="1" ht="21">
      <c r="A15" s="229" t="s">
        <v>102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</row>
    <row r="16" spans="1:28">
      <c r="A16" s="240" t="s">
        <v>0</v>
      </c>
      <c r="B16" s="240"/>
      <c r="C16" s="240"/>
      <c r="D16" s="240"/>
      <c r="E16" s="240"/>
    </row>
    <row r="17" spans="1:28">
      <c r="A17" s="241" t="s">
        <v>1</v>
      </c>
      <c r="B17" s="241"/>
      <c r="C17" s="2" t="s">
        <v>8</v>
      </c>
      <c r="D17" s="2" t="s">
        <v>9</v>
      </c>
      <c r="E17" s="2" t="s">
        <v>10</v>
      </c>
    </row>
    <row r="18" spans="1:28">
      <c r="A18" s="3" t="s">
        <v>475</v>
      </c>
      <c r="B18" s="3"/>
      <c r="C18" s="59">
        <v>10</v>
      </c>
      <c r="D18" s="59">
        <v>14</v>
      </c>
      <c r="E18" s="59">
        <f>C18*D18</f>
        <v>140</v>
      </c>
    </row>
    <row r="19" spans="1:28">
      <c r="A19" s="3" t="s">
        <v>2</v>
      </c>
      <c r="B19" s="3"/>
      <c r="C19" s="59">
        <v>10</v>
      </c>
      <c r="D19" s="59">
        <v>2</v>
      </c>
      <c r="E19" s="59">
        <f t="shared" ref="E19:E23" si="15">C19*D19</f>
        <v>20</v>
      </c>
    </row>
    <row r="20" spans="1:28">
      <c r="A20" s="3" t="s">
        <v>3</v>
      </c>
      <c r="B20" s="3"/>
      <c r="C20" s="59">
        <v>30</v>
      </c>
      <c r="D20" s="59">
        <v>1</v>
      </c>
      <c r="E20" s="59">
        <f t="shared" si="15"/>
        <v>30</v>
      </c>
    </row>
    <row r="21" spans="1:28">
      <c r="A21" s="3" t="s">
        <v>4</v>
      </c>
      <c r="B21" s="3"/>
      <c r="C21" s="59">
        <v>10</v>
      </c>
      <c r="D21" s="59">
        <v>1</v>
      </c>
      <c r="E21" s="59">
        <f t="shared" si="15"/>
        <v>10</v>
      </c>
    </row>
    <row r="22" spans="1:28">
      <c r="A22" s="3" t="s">
        <v>5</v>
      </c>
      <c r="B22" s="3"/>
      <c r="C22" s="59">
        <v>10</v>
      </c>
      <c r="D22" s="59">
        <v>1</v>
      </c>
      <c r="E22" s="59">
        <f t="shared" si="15"/>
        <v>10</v>
      </c>
    </row>
    <row r="23" spans="1:28">
      <c r="A23" s="3" t="s">
        <v>6</v>
      </c>
      <c r="B23" s="3"/>
      <c r="C23" s="59">
        <v>40</v>
      </c>
      <c r="D23" s="59">
        <v>1</v>
      </c>
      <c r="E23" s="59">
        <f t="shared" si="15"/>
        <v>40</v>
      </c>
    </row>
    <row r="24" spans="1:28">
      <c r="A24" s="242" t="s">
        <v>7</v>
      </c>
      <c r="B24" s="242"/>
      <c r="C24" s="6"/>
      <c r="D24" s="2"/>
      <c r="E24" s="2">
        <f>SUM(E18:E23)</f>
        <v>250</v>
      </c>
    </row>
    <row r="27" spans="1:28">
      <c r="A27" s="214" t="s">
        <v>25</v>
      </c>
      <c r="B27" s="224"/>
    </row>
    <row r="28" spans="1:28">
      <c r="A28" s="3" t="s">
        <v>475</v>
      </c>
      <c r="B28" s="3"/>
      <c r="N28" s="148">
        <v>0</v>
      </c>
      <c r="O28" s="148">
        <v>0</v>
      </c>
      <c r="P28" s="148">
        <v>0</v>
      </c>
      <c r="Q28" s="145">
        <v>0.65</v>
      </c>
      <c r="R28" s="145">
        <v>0.66</v>
      </c>
      <c r="S28" s="145">
        <v>0.67</v>
      </c>
      <c r="T28" s="145">
        <v>0.68</v>
      </c>
      <c r="U28" s="145">
        <v>0.69</v>
      </c>
      <c r="V28" s="145">
        <v>0.7</v>
      </c>
      <c r="W28" s="145">
        <v>0.71</v>
      </c>
      <c r="X28" s="145">
        <v>0.72</v>
      </c>
      <c r="Y28" s="145">
        <v>0.73</v>
      </c>
      <c r="Z28" s="145">
        <v>0.74</v>
      </c>
      <c r="AA28" s="145">
        <v>0.75</v>
      </c>
      <c r="AB28" s="145">
        <v>0.75</v>
      </c>
    </row>
    <row r="29" spans="1:28">
      <c r="A29" s="3" t="s">
        <v>2</v>
      </c>
      <c r="B29" s="3"/>
      <c r="N29" s="148">
        <v>0</v>
      </c>
      <c r="O29" s="148">
        <v>0</v>
      </c>
      <c r="P29" s="148">
        <v>0</v>
      </c>
      <c r="Q29" s="145">
        <v>0.2</v>
      </c>
      <c r="R29" s="145">
        <v>0.25</v>
      </c>
      <c r="S29" s="145">
        <v>0.35</v>
      </c>
      <c r="T29" s="145">
        <v>0.45</v>
      </c>
      <c r="U29" s="145">
        <v>0.55000000000000004</v>
      </c>
      <c r="V29" s="145">
        <v>0.6</v>
      </c>
      <c r="W29" s="145">
        <v>0.65</v>
      </c>
      <c r="X29" s="145">
        <v>0.65</v>
      </c>
      <c r="Y29" s="145">
        <v>0.67</v>
      </c>
      <c r="Z29" s="145">
        <v>0.68</v>
      </c>
      <c r="AA29" s="145">
        <v>0.69</v>
      </c>
      <c r="AB29" s="145">
        <v>0.7</v>
      </c>
    </row>
    <row r="30" spans="1:28">
      <c r="A30" s="3" t="s">
        <v>3</v>
      </c>
      <c r="B30" s="3"/>
      <c r="N30" s="148">
        <v>0</v>
      </c>
      <c r="O30" s="148">
        <v>0</v>
      </c>
      <c r="P30" s="148">
        <v>0</v>
      </c>
      <c r="Q30" s="145">
        <v>0.15</v>
      </c>
      <c r="R30" s="145">
        <v>0.2</v>
      </c>
      <c r="S30" s="145">
        <v>0.25</v>
      </c>
      <c r="T30" s="145">
        <v>0.3</v>
      </c>
      <c r="U30" s="145">
        <v>0.4</v>
      </c>
      <c r="V30" s="145">
        <v>0.5</v>
      </c>
      <c r="W30" s="145">
        <v>0.6</v>
      </c>
      <c r="X30" s="145">
        <v>0.75</v>
      </c>
      <c r="Y30" s="145">
        <v>0.77</v>
      </c>
      <c r="Z30" s="145">
        <v>0.78</v>
      </c>
      <c r="AA30" s="145">
        <v>0.79</v>
      </c>
      <c r="AB30" s="145">
        <v>0.8</v>
      </c>
    </row>
    <row r="31" spans="1:28">
      <c r="A31" s="3" t="s">
        <v>4</v>
      </c>
      <c r="B31" s="3"/>
      <c r="N31" s="148">
        <v>0</v>
      </c>
      <c r="O31" s="148">
        <v>0</v>
      </c>
      <c r="P31" s="148">
        <v>0</v>
      </c>
      <c r="Q31" s="145">
        <v>0.1</v>
      </c>
      <c r="R31" s="145">
        <v>0.12</v>
      </c>
      <c r="S31" s="145">
        <v>0.15</v>
      </c>
      <c r="T31" s="145">
        <v>0.18</v>
      </c>
      <c r="U31" s="145">
        <v>0.22</v>
      </c>
      <c r="V31" s="145">
        <v>0.25</v>
      </c>
      <c r="W31" s="145">
        <v>0.35</v>
      </c>
      <c r="X31" s="145">
        <v>0.45</v>
      </c>
      <c r="Y31" s="145">
        <v>0.47</v>
      </c>
      <c r="Z31" s="145">
        <v>0.48</v>
      </c>
      <c r="AA31" s="145">
        <v>0.49</v>
      </c>
      <c r="AB31" s="145">
        <v>0.5</v>
      </c>
    </row>
    <row r="32" spans="1:28">
      <c r="A32" s="3" t="s">
        <v>5</v>
      </c>
      <c r="B32" s="3"/>
      <c r="N32" s="148">
        <v>0</v>
      </c>
      <c r="O32" s="148">
        <v>0</v>
      </c>
      <c r="P32" s="148">
        <v>0</v>
      </c>
      <c r="Q32" s="145">
        <v>0.15</v>
      </c>
      <c r="R32" s="145">
        <v>0.2</v>
      </c>
      <c r="S32" s="145">
        <v>0.25</v>
      </c>
      <c r="T32" s="145">
        <v>0.3</v>
      </c>
      <c r="U32" s="145">
        <v>0.4</v>
      </c>
      <c r="V32" s="145">
        <v>0.5</v>
      </c>
      <c r="W32" s="145">
        <v>0.6</v>
      </c>
      <c r="X32" s="145">
        <v>0.7</v>
      </c>
      <c r="Y32" s="145">
        <v>0.72</v>
      </c>
      <c r="Z32" s="145">
        <v>0.73</v>
      </c>
      <c r="AA32" s="145">
        <v>0.74</v>
      </c>
      <c r="AB32" s="145">
        <v>0.75</v>
      </c>
    </row>
    <row r="33" spans="1:28">
      <c r="A33" s="3" t="s">
        <v>6</v>
      </c>
      <c r="B33" s="3"/>
      <c r="N33" s="148">
        <v>0</v>
      </c>
      <c r="O33" s="148">
        <v>0</v>
      </c>
      <c r="P33" s="148">
        <v>0</v>
      </c>
      <c r="Q33" s="145">
        <v>0.15</v>
      </c>
      <c r="R33" s="145">
        <v>0.25</v>
      </c>
      <c r="S33" s="145">
        <v>0.45</v>
      </c>
      <c r="T33" s="145">
        <v>0.5</v>
      </c>
      <c r="U33" s="145">
        <v>0.55000000000000004</v>
      </c>
      <c r="V33" s="145">
        <v>0.6</v>
      </c>
      <c r="W33" s="145">
        <v>0.65</v>
      </c>
      <c r="X33" s="145">
        <v>0.71</v>
      </c>
      <c r="Y33" s="145">
        <v>0.72</v>
      </c>
      <c r="Z33" s="145">
        <v>0.73</v>
      </c>
      <c r="AA33" s="145">
        <v>0.74</v>
      </c>
      <c r="AB33" s="145">
        <v>0.75</v>
      </c>
    </row>
    <row r="34" spans="1:28">
      <c r="A34" s="3" t="s">
        <v>871</v>
      </c>
      <c r="B34" s="3"/>
      <c r="N34" s="148">
        <f xml:space="preserve"> AVERAGE(N28:N33)</f>
        <v>0</v>
      </c>
      <c r="O34" s="148">
        <f t="shared" ref="O34:AB34" si="16" xml:space="preserve"> AVERAGE(O28:O33)</f>
        <v>0</v>
      </c>
      <c r="P34" s="148">
        <f t="shared" si="16"/>
        <v>0</v>
      </c>
      <c r="Q34" s="148">
        <f t="shared" si="16"/>
        <v>0.23333333333333331</v>
      </c>
      <c r="R34" s="148">
        <f t="shared" si="16"/>
        <v>0.27999999999999997</v>
      </c>
      <c r="S34" s="148">
        <f t="shared" si="16"/>
        <v>0.35333333333333333</v>
      </c>
      <c r="T34" s="148">
        <f t="shared" si="16"/>
        <v>0.40166666666666667</v>
      </c>
      <c r="U34" s="148">
        <f t="shared" si="16"/>
        <v>0.46833333333333343</v>
      </c>
      <c r="V34" s="148">
        <f t="shared" si="16"/>
        <v>0.52500000000000002</v>
      </c>
      <c r="W34" s="148">
        <f t="shared" si="16"/>
        <v>0.59333333333333338</v>
      </c>
      <c r="X34" s="148">
        <f t="shared" si="16"/>
        <v>0.66333333333333344</v>
      </c>
      <c r="Y34" s="148">
        <f t="shared" si="16"/>
        <v>0.67999999999999983</v>
      </c>
      <c r="Z34" s="148">
        <f t="shared" si="16"/>
        <v>0.69000000000000006</v>
      </c>
      <c r="AA34" s="148">
        <f t="shared" si="16"/>
        <v>0.70000000000000007</v>
      </c>
      <c r="AB34" s="148">
        <f t="shared" si="16"/>
        <v>0.70833333333333337</v>
      </c>
    </row>
    <row r="35" spans="1:28">
      <c r="A35" s="3" t="s">
        <v>870</v>
      </c>
      <c r="B35" s="3"/>
      <c r="N35" s="59">
        <f xml:space="preserve"> SUMPRODUCT(E18:E23,N28:N33)</f>
        <v>0</v>
      </c>
      <c r="O35" s="59">
        <f xml:space="preserve"> SUMPRODUCT(E18:E23,O28:O33)</f>
        <v>0</v>
      </c>
      <c r="P35" s="59">
        <f xml:space="preserve"> SUMPRODUCT(E18:E23,P28:P33)</f>
        <v>0</v>
      </c>
      <c r="Q35" s="59">
        <f xml:space="preserve"> SUMPRODUCT(E18:E23,Q28:Q33)</f>
        <v>108</v>
      </c>
      <c r="R35" s="59">
        <f xml:space="preserve"> SUMPRODUCT(E18:E23,R28:R33)</f>
        <v>116.60000000000001</v>
      </c>
      <c r="S35" s="59">
        <f xml:space="preserve"> SUMPRODUCT(E18:E23,S28:S33)</f>
        <v>130.30000000000001</v>
      </c>
      <c r="T35" s="59">
        <f xml:space="preserve"> SUMPRODUCT(E18:E23,T28:T33)</f>
        <v>138</v>
      </c>
      <c r="U35" s="59">
        <f xml:space="preserve"> SUMPRODUCT(E18:E23,U28:U33)</f>
        <v>147.80000000000001</v>
      </c>
      <c r="V35" s="59">
        <f xml:space="preserve"> SUMPRODUCT(E18:E23,V28:V33)</f>
        <v>156.5</v>
      </c>
      <c r="W35" s="59">
        <f xml:space="preserve"> SUMPRODUCT(E18:E23,W28:W33)</f>
        <v>165.89999999999998</v>
      </c>
      <c r="X35" s="59">
        <f xml:space="preserve"> SUMPRODUCT(E18:E23,X28:X33)</f>
        <v>176.20000000000002</v>
      </c>
      <c r="Y35" s="59">
        <f xml:space="preserve"> SUMPRODUCT(E18:E23,Y28:Y33)</f>
        <v>179.39999999999998</v>
      </c>
      <c r="Z35" s="59">
        <f xml:space="preserve"> SUMPRODUCT(E18:E23,Z28:Z33)</f>
        <v>181.9</v>
      </c>
      <c r="AA35" s="59">
        <f xml:space="preserve"> SUMPRODUCT(E18:E23,AA28:AA33)</f>
        <v>184.4</v>
      </c>
      <c r="AB35" s="59">
        <f xml:space="preserve"> SUMPRODUCT(E18:E23,AB28:AB33)</f>
        <v>185.5</v>
      </c>
    </row>
    <row r="37" spans="1:28">
      <c r="A37" s="226" t="s">
        <v>26</v>
      </c>
      <c r="B37" s="226"/>
    </row>
    <row r="38" spans="1:28">
      <c r="A38" s="7" t="s">
        <v>475</v>
      </c>
      <c r="B38" s="37">
        <v>0.14000000000000001</v>
      </c>
      <c r="N38" s="204">
        <f xml:space="preserve"> 1+B38</f>
        <v>1.1400000000000001</v>
      </c>
      <c r="O38" s="204">
        <f>(N38*(1+B38))</f>
        <v>1.2996000000000003</v>
      </c>
      <c r="P38" s="204">
        <f xml:space="preserve"> O38*(1+B38)</f>
        <v>1.4815440000000004</v>
      </c>
      <c r="Q38" s="204">
        <f xml:space="preserve"> P38*(1+B38)</f>
        <v>1.6889601600000006</v>
      </c>
      <c r="R38" s="204">
        <f xml:space="preserve"> Q38*(1+B38)</f>
        <v>1.9254145824000009</v>
      </c>
      <c r="S38" s="204">
        <f xml:space="preserve"> R38*(1+B38)</f>
        <v>2.194972623936001</v>
      </c>
      <c r="T38" s="204">
        <f xml:space="preserve"> S38*(1+B38)</f>
        <v>2.5022687912870416</v>
      </c>
      <c r="U38" s="204">
        <f xml:space="preserve"> T38*(1+B38)</f>
        <v>2.8525864220672279</v>
      </c>
      <c r="V38" s="204">
        <f xml:space="preserve"> U38*(1+B38)</f>
        <v>3.2519485211566401</v>
      </c>
      <c r="W38" s="204">
        <f xml:space="preserve"> V38*(1+B38)</f>
        <v>3.7072213141185704</v>
      </c>
      <c r="X38" s="204">
        <f xml:space="preserve"> W38*(1+B38)</f>
        <v>4.2262322980951703</v>
      </c>
      <c r="Y38" s="204">
        <f xml:space="preserve"> X38*(1+B38)</f>
        <v>4.8179048198284944</v>
      </c>
      <c r="Z38" s="204">
        <f xml:space="preserve"> Y38*(1+B38)</f>
        <v>5.4924114946044842</v>
      </c>
      <c r="AA38" s="204">
        <f xml:space="preserve"> Z38*(1+B38)</f>
        <v>6.2613491038491125</v>
      </c>
      <c r="AB38" s="204">
        <f xml:space="preserve"> AA38*(1+B38)</f>
        <v>7.1379379783879893</v>
      </c>
    </row>
    <row r="39" spans="1:28">
      <c r="A39" s="7" t="s">
        <v>2</v>
      </c>
      <c r="B39" s="37">
        <v>0.14000000000000001</v>
      </c>
      <c r="N39" s="204">
        <f t="shared" ref="N39:N43" si="17" xml:space="preserve"> 1+B39</f>
        <v>1.1400000000000001</v>
      </c>
      <c r="O39" s="204">
        <f t="shared" ref="O39:O43" si="18" xml:space="preserve"> N39*(1+B39)</f>
        <v>1.2996000000000003</v>
      </c>
      <c r="P39" s="204">
        <f t="shared" ref="P39:P43" si="19" xml:space="preserve"> O39*(1+B39)</f>
        <v>1.4815440000000004</v>
      </c>
      <c r="Q39" s="204">
        <f t="shared" ref="Q39:Q43" si="20" xml:space="preserve"> P39*(1+B39)</f>
        <v>1.6889601600000006</v>
      </c>
      <c r="R39" s="204">
        <f t="shared" ref="R39:R43" si="21" xml:space="preserve"> Q39*(1+B39)</f>
        <v>1.9254145824000009</v>
      </c>
      <c r="S39" s="204">
        <f t="shared" ref="S39:S43" si="22" xml:space="preserve"> R39*(1+B39)</f>
        <v>2.194972623936001</v>
      </c>
      <c r="T39" s="204">
        <f t="shared" ref="T39:T43" si="23" xml:space="preserve"> S39*(1+B39)</f>
        <v>2.5022687912870416</v>
      </c>
      <c r="U39" s="204">
        <f t="shared" ref="U39:U43" si="24" xml:space="preserve"> T39*(1+B39)</f>
        <v>2.8525864220672279</v>
      </c>
      <c r="V39" s="204">
        <f t="shared" ref="V39:V43" si="25" xml:space="preserve"> U39*(1+B39)</f>
        <v>3.2519485211566401</v>
      </c>
      <c r="W39" s="204">
        <f t="shared" ref="W39:W43" si="26" xml:space="preserve"> V39*(1+B39)</f>
        <v>3.7072213141185704</v>
      </c>
      <c r="X39" s="204">
        <f t="shared" ref="X39:X43" si="27" xml:space="preserve"> W39*(1+B39)</f>
        <v>4.2262322980951703</v>
      </c>
      <c r="Y39" s="204">
        <f t="shared" ref="Y39:Y43" si="28" xml:space="preserve"> X39*(1+B39)</f>
        <v>4.8179048198284944</v>
      </c>
      <c r="Z39" s="204">
        <f t="shared" ref="Z39:Z43" si="29" xml:space="preserve"> Y39*(1+B39)</f>
        <v>5.4924114946044842</v>
      </c>
      <c r="AA39" s="204">
        <f t="shared" ref="AA39:AA43" si="30" xml:space="preserve"> Z39*(1+B39)</f>
        <v>6.2613491038491125</v>
      </c>
      <c r="AB39" s="204">
        <f t="shared" ref="AB39:AB43" si="31" xml:space="preserve"> AA39*(1+B39)</f>
        <v>7.1379379783879893</v>
      </c>
    </row>
    <row r="40" spans="1:28">
      <c r="A40" s="7" t="s">
        <v>3</v>
      </c>
      <c r="B40" s="37">
        <v>0.14000000000000001</v>
      </c>
      <c r="N40" s="204">
        <f t="shared" si="17"/>
        <v>1.1400000000000001</v>
      </c>
      <c r="O40" s="204">
        <f t="shared" si="18"/>
        <v>1.2996000000000003</v>
      </c>
      <c r="P40" s="204">
        <f t="shared" si="19"/>
        <v>1.4815440000000004</v>
      </c>
      <c r="Q40" s="204">
        <f t="shared" si="20"/>
        <v>1.6889601600000006</v>
      </c>
      <c r="R40" s="204">
        <f t="shared" si="21"/>
        <v>1.9254145824000009</v>
      </c>
      <c r="S40" s="204">
        <f t="shared" si="22"/>
        <v>2.194972623936001</v>
      </c>
      <c r="T40" s="204">
        <f t="shared" si="23"/>
        <v>2.5022687912870416</v>
      </c>
      <c r="U40" s="204">
        <f t="shared" si="24"/>
        <v>2.8525864220672279</v>
      </c>
      <c r="V40" s="204">
        <f t="shared" si="25"/>
        <v>3.2519485211566401</v>
      </c>
      <c r="W40" s="204">
        <f t="shared" si="26"/>
        <v>3.7072213141185704</v>
      </c>
      <c r="X40" s="204">
        <f t="shared" si="27"/>
        <v>4.2262322980951703</v>
      </c>
      <c r="Y40" s="204">
        <f t="shared" si="28"/>
        <v>4.8179048198284944</v>
      </c>
      <c r="Z40" s="204">
        <f t="shared" si="29"/>
        <v>5.4924114946044842</v>
      </c>
      <c r="AA40" s="204">
        <f t="shared" si="30"/>
        <v>6.2613491038491125</v>
      </c>
      <c r="AB40" s="204">
        <f t="shared" si="31"/>
        <v>7.1379379783879893</v>
      </c>
    </row>
    <row r="41" spans="1:28">
      <c r="A41" s="7" t="s">
        <v>4</v>
      </c>
      <c r="B41" s="37">
        <v>0.14000000000000001</v>
      </c>
      <c r="N41" s="204">
        <f t="shared" si="17"/>
        <v>1.1400000000000001</v>
      </c>
      <c r="O41" s="204">
        <f t="shared" si="18"/>
        <v>1.2996000000000003</v>
      </c>
      <c r="P41" s="204">
        <f t="shared" si="19"/>
        <v>1.4815440000000004</v>
      </c>
      <c r="Q41" s="204">
        <f t="shared" si="20"/>
        <v>1.6889601600000006</v>
      </c>
      <c r="R41" s="204">
        <f t="shared" si="21"/>
        <v>1.9254145824000009</v>
      </c>
      <c r="S41" s="204">
        <f t="shared" si="22"/>
        <v>2.194972623936001</v>
      </c>
      <c r="T41" s="204">
        <f t="shared" si="23"/>
        <v>2.5022687912870416</v>
      </c>
      <c r="U41" s="204">
        <f t="shared" si="24"/>
        <v>2.8525864220672279</v>
      </c>
      <c r="V41" s="204">
        <f t="shared" si="25"/>
        <v>3.2519485211566401</v>
      </c>
      <c r="W41" s="204">
        <f t="shared" si="26"/>
        <v>3.7072213141185704</v>
      </c>
      <c r="X41" s="204">
        <f t="shared" si="27"/>
        <v>4.2262322980951703</v>
      </c>
      <c r="Y41" s="204">
        <f t="shared" si="28"/>
        <v>4.8179048198284944</v>
      </c>
      <c r="Z41" s="204">
        <f t="shared" si="29"/>
        <v>5.4924114946044842</v>
      </c>
      <c r="AA41" s="204">
        <f t="shared" si="30"/>
        <v>6.2613491038491125</v>
      </c>
      <c r="AB41" s="204">
        <f t="shared" si="31"/>
        <v>7.1379379783879893</v>
      </c>
    </row>
    <row r="42" spans="1:28">
      <c r="A42" s="7" t="s">
        <v>5</v>
      </c>
      <c r="B42" s="37">
        <v>0.14000000000000001</v>
      </c>
      <c r="N42" s="204">
        <f t="shared" si="17"/>
        <v>1.1400000000000001</v>
      </c>
      <c r="O42" s="204">
        <f t="shared" si="18"/>
        <v>1.2996000000000003</v>
      </c>
      <c r="P42" s="204">
        <f t="shared" si="19"/>
        <v>1.4815440000000004</v>
      </c>
      <c r="Q42" s="204">
        <f t="shared" si="20"/>
        <v>1.6889601600000006</v>
      </c>
      <c r="R42" s="204">
        <f t="shared" si="21"/>
        <v>1.9254145824000009</v>
      </c>
      <c r="S42" s="204">
        <f t="shared" si="22"/>
        <v>2.194972623936001</v>
      </c>
      <c r="T42" s="204">
        <f t="shared" si="23"/>
        <v>2.5022687912870416</v>
      </c>
      <c r="U42" s="204">
        <f t="shared" si="24"/>
        <v>2.8525864220672279</v>
      </c>
      <c r="V42" s="204">
        <f t="shared" si="25"/>
        <v>3.2519485211566401</v>
      </c>
      <c r="W42" s="204">
        <f t="shared" si="26"/>
        <v>3.7072213141185704</v>
      </c>
      <c r="X42" s="204">
        <f t="shared" si="27"/>
        <v>4.2262322980951703</v>
      </c>
      <c r="Y42" s="204">
        <f t="shared" si="28"/>
        <v>4.8179048198284944</v>
      </c>
      <c r="Z42" s="204">
        <f t="shared" si="29"/>
        <v>5.4924114946044842</v>
      </c>
      <c r="AA42" s="204">
        <f t="shared" si="30"/>
        <v>6.2613491038491125</v>
      </c>
      <c r="AB42" s="204">
        <f t="shared" si="31"/>
        <v>7.1379379783879893</v>
      </c>
    </row>
    <row r="43" spans="1:28">
      <c r="A43" s="7" t="s">
        <v>6</v>
      </c>
      <c r="B43" s="37">
        <v>0.14000000000000001</v>
      </c>
      <c r="N43" s="204">
        <f t="shared" si="17"/>
        <v>1.1400000000000001</v>
      </c>
      <c r="O43" s="204">
        <f t="shared" si="18"/>
        <v>1.2996000000000003</v>
      </c>
      <c r="P43" s="204">
        <f t="shared" si="19"/>
        <v>1.4815440000000004</v>
      </c>
      <c r="Q43" s="204">
        <f t="shared" si="20"/>
        <v>1.6889601600000006</v>
      </c>
      <c r="R43" s="204">
        <f t="shared" si="21"/>
        <v>1.9254145824000009</v>
      </c>
      <c r="S43" s="204">
        <f t="shared" si="22"/>
        <v>2.194972623936001</v>
      </c>
      <c r="T43" s="204">
        <f t="shared" si="23"/>
        <v>2.5022687912870416</v>
      </c>
      <c r="U43" s="204">
        <f t="shared" si="24"/>
        <v>2.8525864220672279</v>
      </c>
      <c r="V43" s="204">
        <f t="shared" si="25"/>
        <v>3.2519485211566401</v>
      </c>
      <c r="W43" s="204">
        <f t="shared" si="26"/>
        <v>3.7072213141185704</v>
      </c>
      <c r="X43" s="204">
        <f t="shared" si="27"/>
        <v>4.2262322980951703</v>
      </c>
      <c r="Y43" s="204">
        <f t="shared" si="28"/>
        <v>4.8179048198284944</v>
      </c>
      <c r="Z43" s="204">
        <f t="shared" si="29"/>
        <v>5.4924114946044842</v>
      </c>
      <c r="AA43" s="204">
        <f t="shared" si="30"/>
        <v>6.2613491038491125</v>
      </c>
      <c r="AB43" s="204">
        <f t="shared" si="31"/>
        <v>7.1379379783879893</v>
      </c>
    </row>
    <row r="45" spans="1:28">
      <c r="A45" s="34" t="s">
        <v>488</v>
      </c>
      <c r="B45" s="34" t="s">
        <v>487</v>
      </c>
      <c r="N45" s="227" t="s">
        <v>495</v>
      </c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</row>
    <row r="46" spans="1:28">
      <c r="A46" s="7" t="s">
        <v>475</v>
      </c>
      <c r="B46" s="63">
        <v>4000</v>
      </c>
      <c r="N46" s="141">
        <f xml:space="preserve"> (B46*N38*E18*365)/10000000</f>
        <v>23.301600000000004</v>
      </c>
      <c r="O46" s="141">
        <f xml:space="preserve"> (B46*O38*E18*365)/10000000</f>
        <v>26.563824000000007</v>
      </c>
      <c r="P46" s="141">
        <f xml:space="preserve"> (B46*P38*E18*365)/10000000</f>
        <v>30.282759360000004</v>
      </c>
      <c r="Q46" s="141">
        <f xml:space="preserve"> (B46*Q38*E18*365)/10000000</f>
        <v>34.522345670400014</v>
      </c>
      <c r="R46" s="141">
        <f xml:space="preserve"> (B46*R38*E18*365)/10000000</f>
        <v>39.355474064256022</v>
      </c>
      <c r="S46" s="141">
        <f xml:space="preserve"> (B46*S38*E18*365)/10000000</f>
        <v>44.865240433251863</v>
      </c>
      <c r="T46" s="141">
        <f xml:space="preserve"> (B46*T38*E18*365)/10000000</f>
        <v>51.146374093907127</v>
      </c>
      <c r="U46" s="141">
        <f xml:space="preserve"> (B46*U38*E18*365)/10000000</f>
        <v>58.306866467054142</v>
      </c>
      <c r="V46" s="141">
        <f xml:space="preserve"> (B46*V38*E18*365)/10000000</f>
        <v>66.469827772441718</v>
      </c>
      <c r="W46" s="141">
        <f xml:space="preserve"> (B46*W38*E18*365)/10000000</f>
        <v>75.77560366058357</v>
      </c>
      <c r="X46" s="141">
        <f xml:space="preserve"> (B46*X38*E18*365)/10000000</f>
        <v>86.384188173065283</v>
      </c>
      <c r="Y46" s="141">
        <f xml:space="preserve"> (B46*Y38*E18*365)/10000000</f>
        <v>98.477974517294427</v>
      </c>
      <c r="Z46" s="141">
        <f xml:space="preserve"> (B46*Z38*E18*365)/10000000</f>
        <v>112.26489094971566</v>
      </c>
      <c r="AA46" s="141">
        <f xml:space="preserve"> (B46*AA38*E18*365)/10000000</f>
        <v>127.98197568267587</v>
      </c>
      <c r="AB46" s="141">
        <f xml:space="preserve"> (B46*AB38*E18*365)/10000000</f>
        <v>145.89945227825049</v>
      </c>
    </row>
    <row r="47" spans="1:28">
      <c r="A47" s="7" t="s">
        <v>2</v>
      </c>
      <c r="B47" s="63">
        <v>6000</v>
      </c>
      <c r="N47" s="141">
        <f xml:space="preserve"> (B47*N38*E19*365)/10000000</f>
        <v>4.9932000000000007</v>
      </c>
      <c r="O47" s="141">
        <f xml:space="preserve"> (B47*O38*E19*365)/10000000</f>
        <v>5.692248000000002</v>
      </c>
      <c r="P47" s="141">
        <f xml:space="preserve"> (B47*P38*E19*365)/10000000</f>
        <v>6.4891627200000022</v>
      </c>
      <c r="Q47" s="141">
        <f xml:space="preserve"> (B47*Q38*E19*365)/10000000</f>
        <v>7.3976455008000013</v>
      </c>
      <c r="R47" s="141">
        <f xml:space="preserve"> (B47*R38*E19*365)/10000000</f>
        <v>8.4333158709120042</v>
      </c>
      <c r="S47" s="141">
        <f xml:space="preserve"> (B47*S38*E19*365)/10000000</f>
        <v>9.6139800928396859</v>
      </c>
      <c r="T47" s="141">
        <f xml:space="preserve"> (B47*T38*E19*365)/10000000</f>
        <v>10.959937305837242</v>
      </c>
      <c r="U47" s="141">
        <f xml:space="preserve"> (B47*U38*E19*365)/10000000</f>
        <v>12.494328528654458</v>
      </c>
      <c r="V47" s="141">
        <f xml:space="preserve"> (B47*V38*E19*365)/10000000</f>
        <v>14.243534522666085</v>
      </c>
      <c r="W47" s="141">
        <f xml:space="preserve"> (B47*W38*E19*365)/10000000</f>
        <v>16.237629355839339</v>
      </c>
      <c r="X47" s="141">
        <f xml:space="preserve"> (B47*X38*E19*365)/10000000</f>
        <v>18.510897465656846</v>
      </c>
      <c r="Y47" s="141">
        <f xml:space="preserve"> (B47*Y38*E19*365)/10000000</f>
        <v>21.102423110848807</v>
      </c>
      <c r="Z47" s="141">
        <f xml:space="preserve"> (B47*Z38*E19*365)/10000000</f>
        <v>24.056762346367641</v>
      </c>
      <c r="AA47" s="141">
        <f xml:space="preserve"> (B47*AA38*E19*365)/10000000</f>
        <v>27.424709074859106</v>
      </c>
      <c r="AB47" s="141">
        <f xml:space="preserve"> (B47*AB38*E19*365)/10000000</f>
        <v>31.264168345339392</v>
      </c>
    </row>
    <row r="48" spans="1:28">
      <c r="A48" s="7" t="s">
        <v>3</v>
      </c>
      <c r="B48" s="63">
        <v>8500</v>
      </c>
      <c r="N48" s="141">
        <f xml:space="preserve"> (B48*N38*E20*365)/10000000</f>
        <v>10.610550000000002</v>
      </c>
      <c r="O48" s="141">
        <f xml:space="preserve"> (B48*O38*E20*365)/10000000</f>
        <v>12.096027000000001</v>
      </c>
      <c r="P48" s="141">
        <f xml:space="preserve"> (B48*P38*E20*365)/10000000</f>
        <v>13.789470780000004</v>
      </c>
      <c r="Q48" s="141">
        <f xml:space="preserve"> (B48*Q38*E20*365)/10000000</f>
        <v>15.719996689200007</v>
      </c>
      <c r="R48" s="141">
        <f xml:space="preserve"> (B48*R38*E20*365)/10000000</f>
        <v>17.920796225688008</v>
      </c>
      <c r="S48" s="141">
        <f xml:space="preserve"> (B48*S38*E20*365)/10000000</f>
        <v>20.429707697284329</v>
      </c>
      <c r="T48" s="141">
        <f xml:space="preserve"> (B48*T38*E20*365)/10000000</f>
        <v>23.289866774904141</v>
      </c>
      <c r="U48" s="141">
        <f xml:space="preserve"> (B48*U38*E20*365)/10000000</f>
        <v>26.550448123390723</v>
      </c>
      <c r="V48" s="141">
        <f xml:space="preserve"> (B48*V38*E20*365)/10000000</f>
        <v>30.267510860665428</v>
      </c>
      <c r="W48" s="141">
        <f xml:space="preserve"> (B48*W38*E20*365)/10000000</f>
        <v>34.504962381158592</v>
      </c>
      <c r="X48" s="141">
        <f xml:space="preserve"> (B48*X38*E20*365)/10000000</f>
        <v>39.335657114520792</v>
      </c>
      <c r="Y48" s="141">
        <f xml:space="preserve"> (B48*Y38*E20*365)/10000000</f>
        <v>44.842649110553708</v>
      </c>
      <c r="Z48" s="141">
        <f xml:space="preserve"> (B48*Z38*E20*365)/10000000</f>
        <v>51.12061998603123</v>
      </c>
      <c r="AA48" s="141">
        <f xml:space="preserve"> (B48*AA38*E20*365)/10000000</f>
        <v>58.277506784075619</v>
      </c>
      <c r="AB48" s="141">
        <f xml:space="preserve"> (B48*AB38*E20*365)/10000000</f>
        <v>66.436357733846208</v>
      </c>
    </row>
    <row r="49" spans="1:28">
      <c r="A49" s="7" t="s">
        <v>4</v>
      </c>
      <c r="B49" s="63">
        <v>12500</v>
      </c>
      <c r="N49" s="141">
        <f xml:space="preserve"> (B49*N38*E21*365)/10000000</f>
        <v>5.2012500000000008</v>
      </c>
      <c r="O49" s="141">
        <f xml:space="preserve"> (B49*O38*E21*365)/10000000</f>
        <v>5.9294250000000011</v>
      </c>
      <c r="P49" s="141">
        <f xml:space="preserve"> (B49*P38*E21*365)/10000000</f>
        <v>6.7595445000000014</v>
      </c>
      <c r="Q49" s="141">
        <f xml:space="preserve"> (B49*Q38*E21*365)/10000000</f>
        <v>7.7058807300000023</v>
      </c>
      <c r="R49" s="141">
        <f xml:space="preserve"> (B49*R38*E21*365)/10000000</f>
        <v>8.7847040322000041</v>
      </c>
      <c r="S49" s="141">
        <f xml:space="preserve"> (B49*S38*E21*365)/10000000</f>
        <v>10.014562596708005</v>
      </c>
      <c r="T49" s="141">
        <f xml:space="preserve"> (B49*T38*E21*365)/10000000</f>
        <v>11.416601360247128</v>
      </c>
      <c r="U49" s="141">
        <f xml:space="preserve"> (B49*U38*E21*365)/10000000</f>
        <v>13.014925550681728</v>
      </c>
      <c r="V49" s="141">
        <f xml:space="preserve"> (B49*V38*E21*365)/10000000</f>
        <v>14.837015127777168</v>
      </c>
      <c r="W49" s="141">
        <f xml:space="preserve"> (B49*W38*E21*365)/10000000</f>
        <v>16.914197245665978</v>
      </c>
      <c r="X49" s="141">
        <f xml:space="preserve"> (B49*X38*E21*365)/10000000</f>
        <v>19.282184860059214</v>
      </c>
      <c r="Y49" s="141">
        <f xml:space="preserve"> (B49*Y38*E21*365)/10000000</f>
        <v>21.981690740467506</v>
      </c>
      <c r="Z49" s="141">
        <f xml:space="preserve"> (B49*Z38*E21*365)/10000000</f>
        <v>25.059127444132958</v>
      </c>
      <c r="AA49" s="141">
        <f xml:space="preserve"> (B49*AA38*E21*365)/10000000</f>
        <v>28.567405286311573</v>
      </c>
      <c r="AB49" s="141">
        <f xml:space="preserve"> (B49*AB38*E21*365)/10000000</f>
        <v>32.5668420263952</v>
      </c>
    </row>
    <row r="50" spans="1:28">
      <c r="A50" s="7" t="s">
        <v>5</v>
      </c>
      <c r="B50" s="63">
        <v>20500</v>
      </c>
      <c r="N50" s="141">
        <f xml:space="preserve"> (B50*N38*E22*365)/10000000</f>
        <v>8.530050000000001</v>
      </c>
      <c r="O50" s="141">
        <f xml:space="preserve"> (B50*O38*E22*365)/10000000</f>
        <v>9.7242570000000015</v>
      </c>
      <c r="P50" s="141">
        <f xml:space="preserve"> (B50*P38*E22*365)/10000000</f>
        <v>11.085652980000003</v>
      </c>
      <c r="Q50" s="141">
        <f xml:space="preserve"> (B50*Q38*E22*365)/10000000</f>
        <v>12.637644397200003</v>
      </c>
      <c r="R50" s="141">
        <f xml:space="preserve"> (B50*R38*E22*365)/10000000</f>
        <v>14.406914612808007</v>
      </c>
      <c r="S50" s="141">
        <f xml:space="preserve"> (B50*S38*E22*365)/10000000</f>
        <v>16.42388265860113</v>
      </c>
      <c r="T50" s="141">
        <f xml:space="preserve"> (B50*T38*E22*365)/10000000</f>
        <v>18.723226230805288</v>
      </c>
      <c r="U50" s="141">
        <f xml:space="preserve"> (B50*U38*E22*365)/10000000</f>
        <v>21.34447790311803</v>
      </c>
      <c r="V50" s="141">
        <f xml:space="preserve"> (B50*V38*E22*365)/10000000</f>
        <v>24.332704809554556</v>
      </c>
      <c r="W50" s="141">
        <f xml:space="preserve"> (B50*W38*E22*365)/10000000</f>
        <v>27.739283482892205</v>
      </c>
      <c r="X50" s="141">
        <f xml:space="preserve"> (B50*X38*E22*365)/10000000</f>
        <v>31.622783170497115</v>
      </c>
      <c r="Y50" s="141">
        <f xml:space="preserve"> (B50*Y38*E22*365)/10000000</f>
        <v>36.049972814366711</v>
      </c>
      <c r="Z50" s="141">
        <f xml:space="preserve"> (B50*Z38*E22*365)/10000000</f>
        <v>41.096969008378053</v>
      </c>
      <c r="AA50" s="141">
        <f xml:space="preserve"> (B50*AA38*E22*365)/10000000</f>
        <v>46.850544669550978</v>
      </c>
      <c r="AB50" s="141">
        <f xml:space="preserve"> (B50*AB38*E22*365)/10000000</f>
        <v>53.409620923288131</v>
      </c>
    </row>
    <row r="51" spans="1:28">
      <c r="A51" s="7" t="s">
        <v>6</v>
      </c>
      <c r="B51" s="63">
        <v>40000</v>
      </c>
      <c r="N51" s="141">
        <f xml:space="preserve"> (B51*N38*E23*365)/10000000</f>
        <v>66.576000000000008</v>
      </c>
      <c r="O51" s="141">
        <f xml:space="preserve"> (B51*O38*E23*365)/10000000</f>
        <v>75.896640000000005</v>
      </c>
      <c r="P51" s="141">
        <f xml:space="preserve"> (B51*P38*E23*365)/10000000</f>
        <v>86.522169600000041</v>
      </c>
      <c r="Q51" s="141">
        <f xml:space="preserve"> (B51*Q38*E23*365)/10000000</f>
        <v>98.635273344000041</v>
      </c>
      <c r="R51" s="141">
        <f xml:space="preserve"> (B51*R38*E23*365)/10000000</f>
        <v>112.44421161216006</v>
      </c>
      <c r="S51" s="141">
        <f xml:space="preserve"> (B51*S38*E23*365)/10000000</f>
        <v>128.18640123786247</v>
      </c>
      <c r="T51" s="141">
        <f xml:space="preserve"> (B51*T38*E23*365)/10000000</f>
        <v>146.13249741116323</v>
      </c>
      <c r="U51" s="141">
        <f xml:space="preserve"> (B51*U38*E23*365)/10000000</f>
        <v>166.59104704872613</v>
      </c>
      <c r="V51" s="141">
        <f xml:space="preserve"> (B51*V38*E23*365)/10000000</f>
        <v>189.91379363554779</v>
      </c>
      <c r="W51" s="141">
        <f xml:space="preserve"> (B51*W38*E23*365)/10000000</f>
        <v>216.50172474452452</v>
      </c>
      <c r="X51" s="141">
        <f xml:space="preserve"> (B51*X38*E23*365)/10000000</f>
        <v>246.81196620875792</v>
      </c>
      <c r="Y51" s="141">
        <f xml:space="preserve"> (B51*Y38*E23*365)/10000000</f>
        <v>281.36564147798407</v>
      </c>
      <c r="Z51" s="141">
        <f xml:space="preserve"> (B51*Z38*E23*365)/10000000</f>
        <v>320.75683128490186</v>
      </c>
      <c r="AA51" s="141">
        <f xml:space="preserve"> (B51*AA38*E23*365)/10000000</f>
        <v>365.66278766478814</v>
      </c>
      <c r="AB51" s="141">
        <f xml:space="preserve"> (B51*AB38*E23*365)/10000000</f>
        <v>416.85557793785858</v>
      </c>
    </row>
    <row r="52" spans="1:28">
      <c r="A52" s="60" t="s">
        <v>7</v>
      </c>
      <c r="B52" s="61">
        <f>SUM(B46:B51)</f>
        <v>91500</v>
      </c>
      <c r="N52" s="141">
        <f xml:space="preserve"> SUM(N46:N51)</f>
        <v>119.21265000000002</v>
      </c>
      <c r="O52" s="141">
        <f t="shared" ref="O52:AB52" si="32" xml:space="preserve"> SUM(O46:O51)</f>
        <v>135.902421</v>
      </c>
      <c r="P52" s="141">
        <f t="shared" si="32"/>
        <v>154.92875994000005</v>
      </c>
      <c r="Q52" s="141">
        <f t="shared" si="32"/>
        <v>176.61878633160006</v>
      </c>
      <c r="R52" s="141">
        <f t="shared" si="32"/>
        <v>201.34541641802412</v>
      </c>
      <c r="S52" s="141">
        <f t="shared" si="32"/>
        <v>229.5337747165475</v>
      </c>
      <c r="T52" s="141">
        <f t="shared" si="32"/>
        <v>261.66850317686419</v>
      </c>
      <c r="U52" s="141">
        <f t="shared" si="32"/>
        <v>298.3020936216252</v>
      </c>
      <c r="V52" s="141">
        <f t="shared" si="32"/>
        <v>340.06438672865272</v>
      </c>
      <c r="W52" s="141">
        <f t="shared" si="32"/>
        <v>387.67340087066418</v>
      </c>
      <c r="X52" s="141">
        <f t="shared" si="32"/>
        <v>441.94767699255715</v>
      </c>
      <c r="Y52" s="141">
        <f t="shared" si="32"/>
        <v>503.82035177151522</v>
      </c>
      <c r="Z52" s="141">
        <f t="shared" si="32"/>
        <v>574.35520101952739</v>
      </c>
      <c r="AA52" s="141">
        <f t="shared" si="32"/>
        <v>654.7649291622613</v>
      </c>
      <c r="AB52" s="141">
        <f t="shared" si="32"/>
        <v>746.43201924497794</v>
      </c>
    </row>
    <row r="54" spans="1:28" ht="18">
      <c r="A54" s="228" t="s">
        <v>496</v>
      </c>
      <c r="B54" s="228"/>
      <c r="C54" s="228"/>
      <c r="D54" s="228"/>
      <c r="E54" s="228"/>
      <c r="F54" s="53"/>
      <c r="G54" s="53"/>
      <c r="H54" s="53"/>
      <c r="I54" s="53"/>
      <c r="J54" s="53"/>
      <c r="K54" s="53"/>
      <c r="L54" s="53"/>
      <c r="M54" s="53"/>
      <c r="N54" s="13">
        <f>SUMPRODUCT(N46:N51,N28:N33)</f>
        <v>0</v>
      </c>
      <c r="O54" s="13">
        <f t="shared" ref="O54:AB54" si="33">SUMPRODUCT(O46:O51,O28:O33)</f>
        <v>0</v>
      </c>
      <c r="P54" s="13">
        <f t="shared" si="33"/>
        <v>0</v>
      </c>
      <c r="Q54" s="13">
        <f t="shared" si="33"/>
        <v>43.738579023480014</v>
      </c>
      <c r="R54" s="13">
        <f t="shared" si="33"/>
        <v>63.713701404740192</v>
      </c>
      <c r="S54" s="13">
        <f t="shared" si="33"/>
        <v>101.82406665828833</v>
      </c>
      <c r="T54" s="13">
        <f t="shared" si="33"/>
        <v>127.43667102362252</v>
      </c>
      <c r="U54" s="13">
        <f t="shared" si="33"/>
        <v>160.74994846158017</v>
      </c>
      <c r="V54" s="13">
        <f t="shared" si="33"/>
        <v>200.0326379526918</v>
      </c>
      <c r="W54" s="13">
        <f t="shared" si="33"/>
        <v>248.34777531866439</v>
      </c>
      <c r="X54" s="13">
        <f t="shared" si="33"/>
        <v>309.77986908776734</v>
      </c>
      <c r="Y54" s="13">
        <f>SUMPRODUCT(Y46:Y51,Y28:Y33)</f>
        <v>359.42702163553224</v>
      </c>
      <c r="Z54" s="13">
        <f t="shared" si="33"/>
        <v>415.49035667470213</v>
      </c>
      <c r="AA54" s="13">
        <f t="shared" si="33"/>
        <v>480.20665590078301</v>
      </c>
      <c r="AB54" s="13">
        <f t="shared" si="33"/>
        <v>553.44091339656006</v>
      </c>
    </row>
    <row r="55" spans="1:28" s="181" customFormat="1" ht="21">
      <c r="A55" s="229" t="s">
        <v>101</v>
      </c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</row>
    <row r="56" spans="1:28">
      <c r="N56">
        <v>0</v>
      </c>
      <c r="O56">
        <v>0</v>
      </c>
      <c r="P56">
        <v>0</v>
      </c>
      <c r="Q56" s="207">
        <v>20</v>
      </c>
      <c r="R56" s="207">
        <v>40</v>
      </c>
      <c r="S56" s="207">
        <v>64.75</v>
      </c>
      <c r="T56" s="207">
        <v>113.31</v>
      </c>
      <c r="U56" s="207">
        <v>160.78</v>
      </c>
      <c r="V56" s="207">
        <v>200.98</v>
      </c>
      <c r="W56" s="207">
        <v>228.77</v>
      </c>
      <c r="X56" s="207">
        <v>269.95</v>
      </c>
      <c r="Y56" s="207">
        <v>313.14</v>
      </c>
      <c r="Z56" s="207">
        <v>340.58</v>
      </c>
      <c r="AA56" s="207">
        <v>391.67</v>
      </c>
      <c r="AB56" s="207">
        <v>450.42</v>
      </c>
    </row>
    <row r="57" spans="1:28" s="15" customFormat="1" ht="13.8" customHeight="1">
      <c r="A57" s="15" t="s">
        <v>33</v>
      </c>
      <c r="N57" s="16"/>
    </row>
    <row r="59" spans="1:28">
      <c r="A59" s="237" t="s">
        <v>489</v>
      </c>
      <c r="B59" s="233"/>
      <c r="N59" s="2">
        <v>0</v>
      </c>
      <c r="O59" s="2">
        <v>0</v>
      </c>
      <c r="P59" s="2">
        <v>0</v>
      </c>
      <c r="Q59" s="2">
        <v>15000</v>
      </c>
      <c r="R59" s="2">
        <v>20000</v>
      </c>
      <c r="S59" s="2">
        <v>30000</v>
      </c>
      <c r="T59" s="2">
        <v>42000</v>
      </c>
      <c r="U59" s="2">
        <v>59000</v>
      </c>
      <c r="V59" s="2">
        <v>80000</v>
      </c>
      <c r="W59" s="2">
        <v>108000</v>
      </c>
      <c r="X59" s="2">
        <v>135000</v>
      </c>
      <c r="Y59" s="2">
        <v>160000</v>
      </c>
      <c r="Z59" s="2">
        <v>178000</v>
      </c>
      <c r="AA59" s="2">
        <v>190000</v>
      </c>
      <c r="AB59" s="2">
        <v>200000</v>
      </c>
    </row>
    <row r="61" spans="1:28">
      <c r="A61" s="233" t="s">
        <v>492</v>
      </c>
      <c r="B61" s="233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</row>
    <row r="62" spans="1:28">
      <c r="A62" s="3" t="s">
        <v>27</v>
      </c>
      <c r="B62" s="3" t="s">
        <v>57</v>
      </c>
      <c r="N62" s="150">
        <v>0</v>
      </c>
      <c r="O62" s="150">
        <v>0</v>
      </c>
      <c r="P62" s="150">
        <v>0</v>
      </c>
      <c r="Q62" s="150">
        <v>0.4</v>
      </c>
      <c r="R62" s="150">
        <v>0.38</v>
      </c>
      <c r="S62" s="150">
        <v>0.36</v>
      </c>
      <c r="T62" s="150">
        <v>0.34</v>
      </c>
      <c r="U62" s="150">
        <v>0.32</v>
      </c>
      <c r="V62" s="150">
        <v>0.3</v>
      </c>
      <c r="W62" s="150">
        <v>0.28000000000000003</v>
      </c>
      <c r="X62" s="150">
        <v>0.26</v>
      </c>
      <c r="Y62" s="150">
        <v>0.24</v>
      </c>
      <c r="Z62" s="150">
        <v>0.22</v>
      </c>
      <c r="AA62" s="150">
        <v>0.2</v>
      </c>
      <c r="AB62" s="150">
        <v>0.2</v>
      </c>
    </row>
    <row r="63" spans="1:28">
      <c r="A63" s="3" t="s">
        <v>27</v>
      </c>
      <c r="B63" s="3" t="s">
        <v>437</v>
      </c>
      <c r="N63" s="156">
        <v>0</v>
      </c>
      <c r="O63" s="156">
        <v>0</v>
      </c>
      <c r="P63" s="156">
        <v>0</v>
      </c>
      <c r="Q63" s="156">
        <f t="shared" ref="Q63:AB63" si="34" xml:space="preserve"> Q62*Q59</f>
        <v>6000</v>
      </c>
      <c r="R63" s="156">
        <f t="shared" si="34"/>
        <v>7600</v>
      </c>
      <c r="S63" s="156">
        <f t="shared" si="34"/>
        <v>10800</v>
      </c>
      <c r="T63" s="156">
        <f t="shared" si="34"/>
        <v>14280.000000000002</v>
      </c>
      <c r="U63" s="156">
        <f t="shared" si="34"/>
        <v>18880</v>
      </c>
      <c r="V63" s="156">
        <f t="shared" si="34"/>
        <v>24000</v>
      </c>
      <c r="W63" s="156">
        <f t="shared" si="34"/>
        <v>30240.000000000004</v>
      </c>
      <c r="X63" s="156">
        <f t="shared" si="34"/>
        <v>35100</v>
      </c>
      <c r="Y63" s="156">
        <f t="shared" si="34"/>
        <v>38400</v>
      </c>
      <c r="Z63" s="156">
        <f t="shared" si="34"/>
        <v>39160</v>
      </c>
      <c r="AA63" s="156">
        <f t="shared" si="34"/>
        <v>38000</v>
      </c>
      <c r="AB63" s="156">
        <f t="shared" si="34"/>
        <v>40000</v>
      </c>
    </row>
    <row r="64" spans="1:28">
      <c r="A64" s="3" t="s">
        <v>28</v>
      </c>
      <c r="B64" s="3" t="s">
        <v>57</v>
      </c>
      <c r="N64" s="150">
        <v>0</v>
      </c>
      <c r="O64" s="150">
        <v>0</v>
      </c>
      <c r="P64" s="150">
        <v>0</v>
      </c>
      <c r="Q64" s="150">
        <v>0.6</v>
      </c>
      <c r="R64" s="150">
        <v>0.62</v>
      </c>
      <c r="S64" s="150">
        <v>0.64</v>
      </c>
      <c r="T64" s="150">
        <v>0.66</v>
      </c>
      <c r="U64" s="150">
        <v>0.68</v>
      </c>
      <c r="V64" s="150">
        <v>0.7</v>
      </c>
      <c r="W64" s="150">
        <v>0.72</v>
      </c>
      <c r="X64" s="150">
        <v>0.74</v>
      </c>
      <c r="Y64" s="150">
        <v>0.76</v>
      </c>
      <c r="Z64" s="150">
        <v>0.78</v>
      </c>
      <c r="AA64" s="150">
        <v>0.8</v>
      </c>
      <c r="AB64" s="150">
        <v>0.8</v>
      </c>
    </row>
    <row r="65" spans="1:28">
      <c r="A65" s="3" t="s">
        <v>28</v>
      </c>
      <c r="B65" s="3" t="s">
        <v>437</v>
      </c>
      <c r="N65" s="156">
        <v>0</v>
      </c>
      <c r="O65" s="156">
        <v>0</v>
      </c>
      <c r="P65" s="156">
        <v>0</v>
      </c>
      <c r="Q65" s="156">
        <f t="shared" ref="Q65:AB65" si="35">Q64*Q59</f>
        <v>9000</v>
      </c>
      <c r="R65" s="156">
        <f t="shared" si="35"/>
        <v>12400</v>
      </c>
      <c r="S65" s="156">
        <f t="shared" si="35"/>
        <v>19200</v>
      </c>
      <c r="T65" s="156">
        <f t="shared" si="35"/>
        <v>27720</v>
      </c>
      <c r="U65" s="156">
        <f t="shared" si="35"/>
        <v>40120</v>
      </c>
      <c r="V65" s="156">
        <f t="shared" si="35"/>
        <v>56000</v>
      </c>
      <c r="W65" s="156">
        <f t="shared" si="35"/>
        <v>77760</v>
      </c>
      <c r="X65" s="156">
        <f t="shared" si="35"/>
        <v>99900</v>
      </c>
      <c r="Y65" s="156">
        <f t="shared" si="35"/>
        <v>121600</v>
      </c>
      <c r="Z65" s="156">
        <f t="shared" si="35"/>
        <v>138840</v>
      </c>
      <c r="AA65" s="156">
        <f t="shared" si="35"/>
        <v>152000</v>
      </c>
      <c r="AB65" s="156">
        <f t="shared" si="35"/>
        <v>160000</v>
      </c>
    </row>
    <row r="67" spans="1:28">
      <c r="A67" s="233" t="s">
        <v>29</v>
      </c>
      <c r="B67" s="233"/>
    </row>
    <row r="68" spans="1:28">
      <c r="A68" s="3" t="s">
        <v>493</v>
      </c>
      <c r="B68" s="3" t="s">
        <v>57</v>
      </c>
      <c r="N68" s="150">
        <v>0</v>
      </c>
      <c r="O68" s="150">
        <v>0</v>
      </c>
      <c r="P68" s="150">
        <v>0</v>
      </c>
      <c r="Q68" s="150">
        <v>0.45</v>
      </c>
      <c r="R68" s="150">
        <v>0.42</v>
      </c>
      <c r="S68" s="150">
        <v>0.38</v>
      </c>
      <c r="T68" s="150">
        <v>0.35</v>
      </c>
      <c r="U68" s="150">
        <v>0.32</v>
      </c>
      <c r="V68" s="150">
        <v>0.3</v>
      </c>
      <c r="W68" s="150">
        <v>0.28000000000000003</v>
      </c>
      <c r="X68" s="150">
        <v>0.28000000000000003</v>
      </c>
      <c r="Y68" s="150">
        <v>0.28000000000000003</v>
      </c>
      <c r="Z68" s="150">
        <v>0.28000000000000003</v>
      </c>
      <c r="AA68" s="150">
        <v>0.28000000000000003</v>
      </c>
      <c r="AB68" s="150">
        <v>0.28000000000000003</v>
      </c>
    </row>
    <row r="69" spans="1:28">
      <c r="A69" s="3" t="s">
        <v>493</v>
      </c>
      <c r="B69" s="3" t="s">
        <v>437</v>
      </c>
      <c r="N69" s="156">
        <f t="shared" ref="N69:AB69" si="36">N68*N63</f>
        <v>0</v>
      </c>
      <c r="O69" s="156">
        <f t="shared" si="36"/>
        <v>0</v>
      </c>
      <c r="P69" s="156">
        <f t="shared" si="36"/>
        <v>0</v>
      </c>
      <c r="Q69" s="156">
        <f t="shared" si="36"/>
        <v>2700</v>
      </c>
      <c r="R69" s="156">
        <f t="shared" si="36"/>
        <v>3192</v>
      </c>
      <c r="S69" s="156">
        <f t="shared" si="36"/>
        <v>4104</v>
      </c>
      <c r="T69" s="156">
        <f t="shared" si="36"/>
        <v>4998</v>
      </c>
      <c r="U69" s="156">
        <f t="shared" si="36"/>
        <v>6041.6</v>
      </c>
      <c r="V69" s="156">
        <f t="shared" si="36"/>
        <v>7200</v>
      </c>
      <c r="W69" s="156">
        <f t="shared" si="36"/>
        <v>8467.2000000000025</v>
      </c>
      <c r="X69" s="156">
        <f t="shared" si="36"/>
        <v>9828.0000000000018</v>
      </c>
      <c r="Y69" s="156">
        <f t="shared" si="36"/>
        <v>10752.000000000002</v>
      </c>
      <c r="Z69" s="156">
        <f t="shared" si="36"/>
        <v>10964.800000000001</v>
      </c>
      <c r="AA69" s="156">
        <f t="shared" si="36"/>
        <v>10640.000000000002</v>
      </c>
      <c r="AB69" s="156">
        <f t="shared" si="36"/>
        <v>11200.000000000002</v>
      </c>
    </row>
    <row r="70" spans="1:28">
      <c r="A70" s="3" t="s">
        <v>494</v>
      </c>
      <c r="B70" s="3" t="s">
        <v>57</v>
      </c>
      <c r="N70" s="150">
        <v>0</v>
      </c>
      <c r="O70" s="150">
        <v>0</v>
      </c>
      <c r="P70" s="150">
        <v>0</v>
      </c>
      <c r="Q70" s="150">
        <f xml:space="preserve"> 1 -Q68</f>
        <v>0.55000000000000004</v>
      </c>
      <c r="R70" s="150">
        <f t="shared" ref="R70:AB70" si="37" xml:space="preserve"> 1 -R68</f>
        <v>0.58000000000000007</v>
      </c>
      <c r="S70" s="150">
        <f t="shared" si="37"/>
        <v>0.62</v>
      </c>
      <c r="T70" s="150">
        <f t="shared" si="37"/>
        <v>0.65</v>
      </c>
      <c r="U70" s="150">
        <f t="shared" si="37"/>
        <v>0.67999999999999994</v>
      </c>
      <c r="V70" s="150">
        <f t="shared" si="37"/>
        <v>0.7</v>
      </c>
      <c r="W70" s="150">
        <f t="shared" si="37"/>
        <v>0.72</v>
      </c>
      <c r="X70" s="150">
        <f t="shared" si="37"/>
        <v>0.72</v>
      </c>
      <c r="Y70" s="150">
        <f t="shared" si="37"/>
        <v>0.72</v>
      </c>
      <c r="Z70" s="150">
        <f t="shared" si="37"/>
        <v>0.72</v>
      </c>
      <c r="AA70" s="150">
        <f t="shared" si="37"/>
        <v>0.72</v>
      </c>
      <c r="AB70" s="150">
        <f t="shared" si="37"/>
        <v>0.72</v>
      </c>
    </row>
    <row r="71" spans="1:28">
      <c r="A71" s="3" t="s">
        <v>30</v>
      </c>
      <c r="B71" s="3" t="s">
        <v>437</v>
      </c>
      <c r="N71" s="156">
        <f t="shared" ref="N71:AB71" si="38">N70*N63</f>
        <v>0</v>
      </c>
      <c r="O71" s="156">
        <f t="shared" si="38"/>
        <v>0</v>
      </c>
      <c r="P71" s="156">
        <f t="shared" si="38"/>
        <v>0</v>
      </c>
      <c r="Q71" s="156">
        <f t="shared" si="38"/>
        <v>3300.0000000000005</v>
      </c>
      <c r="R71" s="156">
        <f t="shared" si="38"/>
        <v>4408.0000000000009</v>
      </c>
      <c r="S71" s="156">
        <f t="shared" si="38"/>
        <v>6696</v>
      </c>
      <c r="T71" s="156">
        <f t="shared" si="38"/>
        <v>9282.0000000000018</v>
      </c>
      <c r="U71" s="156">
        <f t="shared" si="38"/>
        <v>12838.4</v>
      </c>
      <c r="V71" s="156">
        <f t="shared" si="38"/>
        <v>16800</v>
      </c>
      <c r="W71" s="156">
        <f t="shared" si="38"/>
        <v>21772.800000000003</v>
      </c>
      <c r="X71" s="156">
        <f t="shared" si="38"/>
        <v>25272</v>
      </c>
      <c r="Y71" s="156">
        <f t="shared" si="38"/>
        <v>27648</v>
      </c>
      <c r="Z71" s="156">
        <f t="shared" si="38"/>
        <v>28195.200000000001</v>
      </c>
      <c r="AA71" s="156">
        <f t="shared" si="38"/>
        <v>27360</v>
      </c>
      <c r="AB71" s="156">
        <f t="shared" si="38"/>
        <v>28800</v>
      </c>
    </row>
    <row r="73" spans="1:28">
      <c r="A73" s="233" t="s">
        <v>32</v>
      </c>
      <c r="B73" s="233"/>
    </row>
    <row r="74" spans="1:28">
      <c r="A74" s="3" t="s">
        <v>493</v>
      </c>
      <c r="B74" s="3" t="s">
        <v>57</v>
      </c>
      <c r="N74" s="150">
        <v>0</v>
      </c>
      <c r="O74" s="150">
        <v>0</v>
      </c>
      <c r="P74" s="150">
        <v>0</v>
      </c>
      <c r="Q74" s="150">
        <v>0.45</v>
      </c>
      <c r="R74" s="150">
        <v>0.4</v>
      </c>
      <c r="S74" s="150">
        <v>0.35</v>
      </c>
      <c r="T74" s="150">
        <v>0.3</v>
      </c>
      <c r="U74" s="150">
        <v>0.25</v>
      </c>
      <c r="V74" s="150">
        <v>0.22</v>
      </c>
      <c r="W74" s="150">
        <v>0.2</v>
      </c>
      <c r="X74" s="150">
        <v>0.2</v>
      </c>
      <c r="Y74" s="150">
        <v>0.2</v>
      </c>
      <c r="Z74" s="150">
        <v>0.2</v>
      </c>
      <c r="AA74" s="150">
        <v>0.2</v>
      </c>
      <c r="AB74" s="150">
        <v>0.2</v>
      </c>
    </row>
    <row r="75" spans="1:28">
      <c r="A75" s="3" t="s">
        <v>493</v>
      </c>
      <c r="B75" s="3" t="s">
        <v>437</v>
      </c>
      <c r="N75" s="156">
        <f t="shared" ref="N75:AB75" si="39" xml:space="preserve"> N74*N65</f>
        <v>0</v>
      </c>
      <c r="O75" s="156">
        <f t="shared" si="39"/>
        <v>0</v>
      </c>
      <c r="P75" s="156">
        <f t="shared" si="39"/>
        <v>0</v>
      </c>
      <c r="Q75" s="156">
        <f t="shared" si="39"/>
        <v>4050</v>
      </c>
      <c r="R75" s="156">
        <f t="shared" si="39"/>
        <v>4960</v>
      </c>
      <c r="S75" s="156">
        <f t="shared" si="39"/>
        <v>6720</v>
      </c>
      <c r="T75" s="156">
        <f t="shared" si="39"/>
        <v>8316</v>
      </c>
      <c r="U75" s="156">
        <f t="shared" si="39"/>
        <v>10030</v>
      </c>
      <c r="V75" s="156">
        <f t="shared" si="39"/>
        <v>12320</v>
      </c>
      <c r="W75" s="156">
        <f t="shared" si="39"/>
        <v>15552</v>
      </c>
      <c r="X75" s="156">
        <f t="shared" si="39"/>
        <v>19980</v>
      </c>
      <c r="Y75" s="156">
        <f t="shared" si="39"/>
        <v>24320</v>
      </c>
      <c r="Z75" s="156">
        <f t="shared" si="39"/>
        <v>27768</v>
      </c>
      <c r="AA75" s="156">
        <f t="shared" si="39"/>
        <v>30400</v>
      </c>
      <c r="AB75" s="156">
        <f t="shared" si="39"/>
        <v>32000</v>
      </c>
    </row>
    <row r="76" spans="1:28">
      <c r="A76" s="3" t="s">
        <v>494</v>
      </c>
      <c r="B76" s="3" t="s">
        <v>57</v>
      </c>
      <c r="N76" s="150">
        <v>0</v>
      </c>
      <c r="O76" s="150">
        <v>0</v>
      </c>
      <c r="P76" s="150">
        <v>0</v>
      </c>
      <c r="Q76" s="150">
        <f xml:space="preserve"> 1- Q74</f>
        <v>0.55000000000000004</v>
      </c>
      <c r="R76" s="150">
        <f t="shared" ref="R76:AB76" si="40" xml:space="preserve"> 1- R74</f>
        <v>0.6</v>
      </c>
      <c r="S76" s="150">
        <f t="shared" si="40"/>
        <v>0.65</v>
      </c>
      <c r="T76" s="150">
        <f t="shared" si="40"/>
        <v>0.7</v>
      </c>
      <c r="U76" s="150">
        <f t="shared" si="40"/>
        <v>0.75</v>
      </c>
      <c r="V76" s="150">
        <f t="shared" si="40"/>
        <v>0.78</v>
      </c>
      <c r="W76" s="150">
        <f t="shared" si="40"/>
        <v>0.8</v>
      </c>
      <c r="X76" s="150">
        <f t="shared" si="40"/>
        <v>0.8</v>
      </c>
      <c r="Y76" s="150">
        <f t="shared" si="40"/>
        <v>0.8</v>
      </c>
      <c r="Z76" s="150">
        <f t="shared" si="40"/>
        <v>0.8</v>
      </c>
      <c r="AA76" s="150">
        <f t="shared" si="40"/>
        <v>0.8</v>
      </c>
      <c r="AB76" s="150">
        <f t="shared" si="40"/>
        <v>0.8</v>
      </c>
    </row>
    <row r="77" spans="1:28">
      <c r="A77" s="3" t="s">
        <v>30</v>
      </c>
      <c r="B77" s="3" t="s">
        <v>437</v>
      </c>
      <c r="N77" s="156">
        <f t="shared" ref="N77:AB77" si="41">N76*N65</f>
        <v>0</v>
      </c>
      <c r="O77" s="156">
        <f t="shared" si="41"/>
        <v>0</v>
      </c>
      <c r="P77" s="156">
        <f t="shared" si="41"/>
        <v>0</v>
      </c>
      <c r="Q77" s="156">
        <f t="shared" si="41"/>
        <v>4950</v>
      </c>
      <c r="R77" s="156">
        <f t="shared" si="41"/>
        <v>7440</v>
      </c>
      <c r="S77" s="156">
        <f t="shared" si="41"/>
        <v>12480</v>
      </c>
      <c r="T77" s="156">
        <f t="shared" si="41"/>
        <v>19404</v>
      </c>
      <c r="U77" s="156">
        <f t="shared" si="41"/>
        <v>30090</v>
      </c>
      <c r="V77" s="156">
        <f t="shared" si="41"/>
        <v>43680</v>
      </c>
      <c r="W77" s="156">
        <f t="shared" si="41"/>
        <v>62208</v>
      </c>
      <c r="X77" s="156">
        <f t="shared" si="41"/>
        <v>79920</v>
      </c>
      <c r="Y77" s="156">
        <f t="shared" si="41"/>
        <v>97280</v>
      </c>
      <c r="Z77" s="156">
        <f t="shared" si="41"/>
        <v>111072</v>
      </c>
      <c r="AA77" s="156">
        <f t="shared" si="41"/>
        <v>121600</v>
      </c>
      <c r="AB77" s="156">
        <f t="shared" si="41"/>
        <v>128000</v>
      </c>
    </row>
    <row r="79" spans="1:28">
      <c r="A79" s="24" t="s">
        <v>497</v>
      </c>
      <c r="N79" s="150">
        <v>0</v>
      </c>
      <c r="O79" s="150">
        <v>0</v>
      </c>
      <c r="P79" s="150">
        <v>0</v>
      </c>
      <c r="Q79" s="150">
        <v>0.06</v>
      </c>
      <c r="R79" s="150">
        <v>7.0000000000000007E-2</v>
      </c>
      <c r="S79" s="150">
        <v>0.09</v>
      </c>
      <c r="T79" s="150">
        <v>0.1</v>
      </c>
      <c r="U79" s="150">
        <v>0.11</v>
      </c>
      <c r="V79" s="150">
        <v>0.115</v>
      </c>
      <c r="W79" s="150">
        <v>0.12</v>
      </c>
      <c r="X79" s="150">
        <v>0.125</v>
      </c>
      <c r="Y79" s="150">
        <v>0.13</v>
      </c>
      <c r="Z79" s="150">
        <v>0.13</v>
      </c>
      <c r="AA79" s="150">
        <v>0.14000000000000001</v>
      </c>
      <c r="AB79" s="150">
        <v>0.15</v>
      </c>
    </row>
    <row r="80" spans="1:28">
      <c r="A80" s="24" t="s">
        <v>31</v>
      </c>
      <c r="N80" s="150">
        <v>0</v>
      </c>
      <c r="O80" s="150">
        <v>0</v>
      </c>
      <c r="P80" s="150">
        <v>0</v>
      </c>
      <c r="Q80" s="150">
        <v>0.22</v>
      </c>
      <c r="R80" s="150">
        <v>0.24</v>
      </c>
      <c r="S80" s="150">
        <v>0.26</v>
      </c>
      <c r="T80" s="150">
        <v>0.28000000000000003</v>
      </c>
      <c r="U80" s="150">
        <v>0.3</v>
      </c>
      <c r="V80" s="150">
        <v>0.32</v>
      </c>
      <c r="W80" s="150">
        <v>0.33</v>
      </c>
      <c r="X80" s="150">
        <v>0.34</v>
      </c>
      <c r="Y80" s="150">
        <v>0.35</v>
      </c>
      <c r="Z80" s="150">
        <v>0.35</v>
      </c>
      <c r="AA80" s="150">
        <v>0.35</v>
      </c>
      <c r="AB80" s="150">
        <v>0.35</v>
      </c>
    </row>
    <row r="82" spans="1:28">
      <c r="A82" s="15" t="s">
        <v>34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4" spans="1:28" ht="57.6" customHeight="1">
      <c r="A84" s="19" t="s">
        <v>35</v>
      </c>
      <c r="B84" s="69" t="s">
        <v>525</v>
      </c>
      <c r="C84" s="69" t="s">
        <v>39</v>
      </c>
      <c r="D84" s="69" t="s">
        <v>526</v>
      </c>
      <c r="E84" s="73" t="s">
        <v>490</v>
      </c>
      <c r="F84" s="62" t="s">
        <v>522</v>
      </c>
      <c r="N84" s="238" t="s">
        <v>511</v>
      </c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</row>
    <row r="85" spans="1:28">
      <c r="A85" s="68" t="s">
        <v>253</v>
      </c>
      <c r="B85" s="153">
        <v>0.625</v>
      </c>
      <c r="C85" s="154">
        <v>1500</v>
      </c>
      <c r="D85" s="153">
        <v>0.375</v>
      </c>
      <c r="E85" s="154">
        <v>900</v>
      </c>
      <c r="F85" s="163">
        <f>C85*B85+E85*D85</f>
        <v>1275</v>
      </c>
      <c r="N85" s="150">
        <v>0</v>
      </c>
      <c r="O85" s="150">
        <v>0</v>
      </c>
      <c r="P85" s="150">
        <v>0</v>
      </c>
      <c r="Q85" s="145">
        <v>0.05</v>
      </c>
      <c r="R85" s="145">
        <v>0.05</v>
      </c>
      <c r="S85" s="145">
        <v>0.04</v>
      </c>
      <c r="T85" s="145">
        <v>0.04</v>
      </c>
      <c r="U85" s="145">
        <v>0.04</v>
      </c>
      <c r="V85" s="145">
        <v>0.04</v>
      </c>
      <c r="W85" s="145">
        <v>0.04</v>
      </c>
      <c r="X85" s="145">
        <v>0.04</v>
      </c>
      <c r="Y85" s="145">
        <v>0.04</v>
      </c>
      <c r="Z85" s="145">
        <v>0.04</v>
      </c>
      <c r="AA85" s="145">
        <v>0.04</v>
      </c>
      <c r="AB85" s="145">
        <v>0.04</v>
      </c>
    </row>
    <row r="86" spans="1:28">
      <c r="A86" s="68" t="s">
        <v>255</v>
      </c>
      <c r="B86" s="153">
        <v>0.58799999999999997</v>
      </c>
      <c r="C86" s="154">
        <v>1000</v>
      </c>
      <c r="D86" s="153">
        <v>0.41199999999999998</v>
      </c>
      <c r="E86" s="154">
        <v>700</v>
      </c>
      <c r="F86" s="163">
        <f t="shared" ref="F86:F99" si="42">C86*B86+E86*D86</f>
        <v>876.4</v>
      </c>
      <c r="N86" s="150">
        <v>0</v>
      </c>
      <c r="O86" s="150">
        <v>0</v>
      </c>
      <c r="P86" s="150">
        <v>0</v>
      </c>
      <c r="Q86" s="145">
        <v>0.05</v>
      </c>
      <c r="R86" s="145">
        <v>0.05</v>
      </c>
      <c r="S86" s="145">
        <v>0.05</v>
      </c>
      <c r="T86" s="145">
        <v>0.05</v>
      </c>
      <c r="U86" s="145">
        <v>0.05</v>
      </c>
      <c r="V86" s="145">
        <v>0.05</v>
      </c>
      <c r="W86" s="145">
        <v>0.05</v>
      </c>
      <c r="X86" s="145">
        <v>0.05</v>
      </c>
      <c r="Y86" s="145">
        <v>0.05</v>
      </c>
      <c r="Z86" s="145">
        <v>0.05</v>
      </c>
      <c r="AA86" s="145">
        <v>0.05</v>
      </c>
      <c r="AB86" s="145">
        <v>0.05</v>
      </c>
    </row>
    <row r="87" spans="1:28">
      <c r="A87" s="68" t="s">
        <v>257</v>
      </c>
      <c r="B87" s="153">
        <v>0.6</v>
      </c>
      <c r="C87" s="154">
        <v>900</v>
      </c>
      <c r="D87" s="153">
        <v>0.4</v>
      </c>
      <c r="E87" s="154">
        <v>600</v>
      </c>
      <c r="F87" s="163">
        <f t="shared" si="42"/>
        <v>780</v>
      </c>
      <c r="N87" s="150">
        <v>0</v>
      </c>
      <c r="O87" s="150">
        <v>0</v>
      </c>
      <c r="P87" s="150">
        <v>0</v>
      </c>
      <c r="Q87" s="145">
        <v>0.05</v>
      </c>
      <c r="R87" s="145">
        <v>0.05</v>
      </c>
      <c r="S87" s="145">
        <v>0.04</v>
      </c>
      <c r="T87" s="145">
        <v>0.04</v>
      </c>
      <c r="U87" s="145">
        <v>0.04</v>
      </c>
      <c r="V87" s="145">
        <v>0.04</v>
      </c>
      <c r="W87" s="145">
        <v>0.04</v>
      </c>
      <c r="X87" s="145">
        <v>0.04</v>
      </c>
      <c r="Y87" s="145">
        <v>0.04</v>
      </c>
      <c r="Z87" s="145">
        <v>0.04</v>
      </c>
      <c r="AA87" s="145">
        <v>0.04</v>
      </c>
      <c r="AB87" s="145">
        <v>0.04</v>
      </c>
    </row>
    <row r="88" spans="1:28">
      <c r="A88" s="68" t="s">
        <v>259</v>
      </c>
      <c r="B88" s="153">
        <v>0.6</v>
      </c>
      <c r="C88" s="154">
        <v>1200</v>
      </c>
      <c r="D88" s="153">
        <v>0.4</v>
      </c>
      <c r="E88" s="154">
        <v>800</v>
      </c>
      <c r="F88" s="163">
        <f t="shared" si="42"/>
        <v>1040</v>
      </c>
      <c r="N88" s="150">
        <v>0</v>
      </c>
      <c r="O88" s="150">
        <v>0</v>
      </c>
      <c r="P88" s="150">
        <v>0</v>
      </c>
      <c r="Q88" s="145">
        <v>0.05</v>
      </c>
      <c r="R88" s="145">
        <v>0.05</v>
      </c>
      <c r="S88" s="145">
        <v>0.04</v>
      </c>
      <c r="T88" s="145">
        <v>0.04</v>
      </c>
      <c r="U88" s="145">
        <v>0.04</v>
      </c>
      <c r="V88" s="145">
        <v>0.04</v>
      </c>
      <c r="W88" s="145">
        <v>0.04</v>
      </c>
      <c r="X88" s="145">
        <v>0.04</v>
      </c>
      <c r="Y88" s="145">
        <v>0.04</v>
      </c>
      <c r="Z88" s="145">
        <v>0.04</v>
      </c>
      <c r="AA88" s="145">
        <v>0.04</v>
      </c>
      <c r="AB88" s="145">
        <v>0.04</v>
      </c>
    </row>
    <row r="89" spans="1:28">
      <c r="A89" s="68" t="s">
        <v>261</v>
      </c>
      <c r="B89" s="153">
        <v>0.6</v>
      </c>
      <c r="C89" s="154">
        <v>1200</v>
      </c>
      <c r="D89" s="153">
        <v>0.4</v>
      </c>
      <c r="E89" s="154">
        <v>800</v>
      </c>
      <c r="F89" s="163">
        <f t="shared" si="42"/>
        <v>1040</v>
      </c>
      <c r="N89" s="150">
        <v>0</v>
      </c>
      <c r="O89" s="150">
        <v>0</v>
      </c>
      <c r="P89" s="150">
        <v>0</v>
      </c>
      <c r="Q89" s="145">
        <v>0.15</v>
      </c>
      <c r="R89" s="145">
        <v>0.12</v>
      </c>
      <c r="S89" s="145">
        <v>0.1</v>
      </c>
      <c r="T89" s="145">
        <v>0.1</v>
      </c>
      <c r="U89" s="145">
        <v>0.1</v>
      </c>
      <c r="V89" s="145">
        <v>0.1</v>
      </c>
      <c r="W89" s="145">
        <v>0.1</v>
      </c>
      <c r="X89" s="145">
        <v>0.1</v>
      </c>
      <c r="Y89" s="145">
        <v>0.1</v>
      </c>
      <c r="Z89" s="145">
        <v>0.1</v>
      </c>
      <c r="AA89" s="145">
        <v>0.1</v>
      </c>
      <c r="AB89" s="145">
        <v>0.1</v>
      </c>
    </row>
    <row r="90" spans="1:28">
      <c r="A90" s="68" t="s">
        <v>263</v>
      </c>
      <c r="B90" s="153">
        <v>0.58799999999999997</v>
      </c>
      <c r="C90" s="154">
        <v>1000</v>
      </c>
      <c r="D90" s="153">
        <v>0.41199999999999998</v>
      </c>
      <c r="E90" s="154">
        <v>700</v>
      </c>
      <c r="F90" s="163">
        <f t="shared" si="42"/>
        <v>876.4</v>
      </c>
      <c r="N90" s="150">
        <v>0</v>
      </c>
      <c r="O90" s="150">
        <v>0</v>
      </c>
      <c r="P90" s="150">
        <v>0</v>
      </c>
      <c r="Q90" s="145">
        <v>0.05</v>
      </c>
      <c r="R90" s="145">
        <v>0.04</v>
      </c>
      <c r="S90" s="145">
        <v>0.03</v>
      </c>
      <c r="T90" s="145">
        <v>0.03</v>
      </c>
      <c r="U90" s="145">
        <v>0.03</v>
      </c>
      <c r="V90" s="145">
        <v>0.03</v>
      </c>
      <c r="W90" s="145">
        <v>0.03</v>
      </c>
      <c r="X90" s="145">
        <v>0.03</v>
      </c>
      <c r="Y90" s="145">
        <v>0.03</v>
      </c>
      <c r="Z90" s="145">
        <v>0.03</v>
      </c>
      <c r="AA90" s="145">
        <v>0.03</v>
      </c>
      <c r="AB90" s="145">
        <v>0.03</v>
      </c>
    </row>
    <row r="91" spans="1:28">
      <c r="A91" s="68" t="s">
        <v>265</v>
      </c>
      <c r="B91" s="153">
        <v>0.58299999999999996</v>
      </c>
      <c r="C91" s="154">
        <v>700</v>
      </c>
      <c r="D91" s="153">
        <v>0.41699999999999998</v>
      </c>
      <c r="E91" s="154">
        <v>500</v>
      </c>
      <c r="F91" s="163">
        <f t="shared" si="42"/>
        <v>616.59999999999991</v>
      </c>
      <c r="N91" s="150">
        <v>0</v>
      </c>
      <c r="O91" s="150">
        <v>0</v>
      </c>
      <c r="P91" s="150">
        <v>0</v>
      </c>
      <c r="Q91" s="145">
        <v>0.05</v>
      </c>
      <c r="R91" s="145">
        <v>0.04</v>
      </c>
      <c r="S91" s="145">
        <v>0.03</v>
      </c>
      <c r="T91" s="145">
        <v>0.03</v>
      </c>
      <c r="U91" s="145">
        <v>0.03</v>
      </c>
      <c r="V91" s="145">
        <v>0.03</v>
      </c>
      <c r="W91" s="145">
        <v>0.03</v>
      </c>
      <c r="X91" s="145">
        <v>0.03</v>
      </c>
      <c r="Y91" s="145">
        <v>0.03</v>
      </c>
      <c r="Z91" s="145">
        <v>0.03</v>
      </c>
      <c r="AA91" s="145">
        <v>0.03</v>
      </c>
      <c r="AB91" s="145">
        <v>0.03</v>
      </c>
    </row>
    <row r="92" spans="1:28">
      <c r="A92" s="68" t="s">
        <v>267</v>
      </c>
      <c r="B92" s="153">
        <v>0.59299999999999997</v>
      </c>
      <c r="C92" s="154">
        <v>1600</v>
      </c>
      <c r="D92" s="153">
        <v>0.40699999999999997</v>
      </c>
      <c r="E92" s="154">
        <v>1100</v>
      </c>
      <c r="F92" s="163">
        <f t="shared" si="42"/>
        <v>1396.5</v>
      </c>
      <c r="N92" s="150">
        <v>0</v>
      </c>
      <c r="O92" s="150">
        <v>0</v>
      </c>
      <c r="P92" s="150">
        <v>0</v>
      </c>
      <c r="Q92" s="145">
        <v>0.05</v>
      </c>
      <c r="R92" s="145">
        <v>0.04</v>
      </c>
      <c r="S92" s="145">
        <v>0.03</v>
      </c>
      <c r="T92" s="145">
        <v>0.03</v>
      </c>
      <c r="U92" s="145">
        <v>0.03</v>
      </c>
      <c r="V92" s="145">
        <v>0.03</v>
      </c>
      <c r="W92" s="145">
        <v>0.03</v>
      </c>
      <c r="X92" s="145">
        <v>0.03</v>
      </c>
      <c r="Y92" s="145">
        <v>0.03</v>
      </c>
      <c r="Z92" s="145">
        <v>0.03</v>
      </c>
      <c r="AA92" s="145">
        <v>0.03</v>
      </c>
      <c r="AB92" s="145">
        <v>0.03</v>
      </c>
    </row>
    <row r="93" spans="1:28">
      <c r="A93" s="68" t="s">
        <v>270</v>
      </c>
      <c r="B93" s="153">
        <v>0.61499999999999999</v>
      </c>
      <c r="C93" s="154">
        <v>800</v>
      </c>
      <c r="D93" s="153">
        <v>0.38500000000000001</v>
      </c>
      <c r="E93" s="154">
        <v>500</v>
      </c>
      <c r="F93" s="163">
        <f t="shared" si="42"/>
        <v>684.5</v>
      </c>
      <c r="N93" s="150">
        <v>0</v>
      </c>
      <c r="O93" s="150">
        <v>0</v>
      </c>
      <c r="P93" s="150">
        <v>0</v>
      </c>
      <c r="Q93" s="145">
        <v>0.25</v>
      </c>
      <c r="R93" s="145">
        <v>0.2</v>
      </c>
      <c r="S93" s="145">
        <v>0.18</v>
      </c>
      <c r="T93" s="145">
        <v>0.18</v>
      </c>
      <c r="U93" s="145">
        <v>0.15</v>
      </c>
      <c r="V93" s="145">
        <v>0.15</v>
      </c>
      <c r="W93" s="145">
        <v>0.15</v>
      </c>
      <c r="X93" s="145">
        <v>0.15</v>
      </c>
      <c r="Y93" s="145">
        <v>0.15</v>
      </c>
      <c r="Z93" s="145">
        <v>0.15</v>
      </c>
      <c r="AA93" s="145">
        <v>0.15</v>
      </c>
      <c r="AB93" s="145">
        <v>0.15</v>
      </c>
    </row>
    <row r="94" spans="1:28">
      <c r="A94" s="68" t="s">
        <v>285</v>
      </c>
      <c r="B94" s="153">
        <v>0.57899999999999996</v>
      </c>
      <c r="C94" s="154">
        <v>2200</v>
      </c>
      <c r="D94" s="153">
        <v>0.42099999999999999</v>
      </c>
      <c r="E94" s="154">
        <v>1600</v>
      </c>
      <c r="F94" s="163">
        <f t="shared" si="42"/>
        <v>1947.4</v>
      </c>
      <c r="N94" s="150">
        <v>0</v>
      </c>
      <c r="O94" s="150">
        <v>0</v>
      </c>
      <c r="P94" s="150">
        <v>0</v>
      </c>
      <c r="Q94" s="145">
        <v>0</v>
      </c>
      <c r="R94" s="145">
        <v>0</v>
      </c>
      <c r="S94" s="145">
        <v>0.05</v>
      </c>
      <c r="T94" s="145">
        <v>0.05</v>
      </c>
      <c r="U94" s="145">
        <v>0.04</v>
      </c>
      <c r="V94" s="145">
        <v>0.04</v>
      </c>
      <c r="W94" s="145">
        <v>0.04</v>
      </c>
      <c r="X94" s="145">
        <v>0.04</v>
      </c>
      <c r="Y94" s="145">
        <v>0.04</v>
      </c>
      <c r="Z94" s="145">
        <v>0.04</v>
      </c>
      <c r="AA94" s="145">
        <v>0.04</v>
      </c>
      <c r="AB94" s="145">
        <v>0.04</v>
      </c>
    </row>
    <row r="95" spans="1:28">
      <c r="A95" s="68" t="s">
        <v>498</v>
      </c>
      <c r="B95" s="153">
        <v>0.58799999999999997</v>
      </c>
      <c r="C95" s="154">
        <v>1000</v>
      </c>
      <c r="D95" s="153">
        <v>0.41199999999999998</v>
      </c>
      <c r="E95" s="154">
        <v>700</v>
      </c>
      <c r="F95" s="163">
        <f t="shared" si="42"/>
        <v>876.4</v>
      </c>
      <c r="N95" s="150">
        <v>0</v>
      </c>
      <c r="O95" s="150">
        <v>0</v>
      </c>
      <c r="P95" s="150">
        <v>0</v>
      </c>
      <c r="Q95" s="145">
        <v>0</v>
      </c>
      <c r="R95" s="145">
        <v>0</v>
      </c>
      <c r="S95" s="145">
        <v>7.0000000000000007E-2</v>
      </c>
      <c r="T95" s="145">
        <v>7.0000000000000007E-2</v>
      </c>
      <c r="U95" s="145">
        <v>0.06</v>
      </c>
      <c r="V95" s="145">
        <v>0.06</v>
      </c>
      <c r="W95" s="145">
        <v>0.06</v>
      </c>
      <c r="X95" s="145">
        <v>0.06</v>
      </c>
      <c r="Y95" s="145">
        <v>0.06</v>
      </c>
      <c r="Z95" s="145">
        <v>0.06</v>
      </c>
      <c r="AA95" s="145">
        <v>0.06</v>
      </c>
      <c r="AB95" s="145">
        <v>0.06</v>
      </c>
    </row>
    <row r="96" spans="1:28">
      <c r="A96" s="68" t="s">
        <v>275</v>
      </c>
      <c r="B96" s="153">
        <v>0.59099999999999997</v>
      </c>
      <c r="C96" s="154">
        <v>1300</v>
      </c>
      <c r="D96" s="153">
        <v>0.40899999999999997</v>
      </c>
      <c r="E96" s="154">
        <v>900</v>
      </c>
      <c r="F96" s="163">
        <f t="shared" si="42"/>
        <v>1136.3999999999999</v>
      </c>
      <c r="N96" s="150">
        <v>0</v>
      </c>
      <c r="O96" s="150">
        <v>0</v>
      </c>
      <c r="P96" s="150">
        <v>0</v>
      </c>
      <c r="Q96" s="145">
        <v>0</v>
      </c>
      <c r="R96" s="145">
        <v>0</v>
      </c>
      <c r="S96" s="145">
        <v>0.05</v>
      </c>
      <c r="T96" s="145">
        <v>0.05</v>
      </c>
      <c r="U96" s="145">
        <v>0.04</v>
      </c>
      <c r="V96" s="145">
        <v>0.04</v>
      </c>
      <c r="W96" s="145">
        <v>0.04</v>
      </c>
      <c r="X96" s="145">
        <v>0.04</v>
      </c>
      <c r="Y96" s="145">
        <v>0.04</v>
      </c>
      <c r="Z96" s="145">
        <v>0.04</v>
      </c>
      <c r="AA96" s="145">
        <v>0.04</v>
      </c>
      <c r="AB96" s="145">
        <v>0.04</v>
      </c>
    </row>
    <row r="97" spans="1:28">
      <c r="A97" s="68" t="s">
        <v>277</v>
      </c>
      <c r="B97" s="153">
        <v>0.6</v>
      </c>
      <c r="C97" s="154">
        <v>900</v>
      </c>
      <c r="D97" s="153">
        <v>0.4</v>
      </c>
      <c r="E97" s="154">
        <v>600</v>
      </c>
      <c r="F97" s="163">
        <f t="shared" si="42"/>
        <v>780</v>
      </c>
      <c r="N97" s="150">
        <v>0</v>
      </c>
      <c r="O97" s="150">
        <v>0</v>
      </c>
      <c r="P97" s="150">
        <v>0</v>
      </c>
      <c r="Q97" s="145">
        <v>0</v>
      </c>
      <c r="R97" s="145">
        <v>0</v>
      </c>
      <c r="S97" s="145">
        <v>0.03</v>
      </c>
      <c r="T97" s="145">
        <v>0.03</v>
      </c>
      <c r="U97" s="145">
        <v>0.03</v>
      </c>
      <c r="V97" s="145">
        <v>0.03</v>
      </c>
      <c r="W97" s="145">
        <v>0.03</v>
      </c>
      <c r="X97" s="145">
        <v>0.03</v>
      </c>
      <c r="Y97" s="145">
        <v>0.03</v>
      </c>
      <c r="Z97" s="145">
        <v>0.03</v>
      </c>
      <c r="AA97" s="145">
        <v>0.03</v>
      </c>
      <c r="AB97" s="145">
        <v>0.03</v>
      </c>
    </row>
    <row r="98" spans="1:28">
      <c r="A98" s="68" t="s">
        <v>279</v>
      </c>
      <c r="B98" s="153">
        <v>0.6</v>
      </c>
      <c r="C98" s="154">
        <v>900</v>
      </c>
      <c r="D98" s="153">
        <v>0.4</v>
      </c>
      <c r="E98" s="154">
        <v>600</v>
      </c>
      <c r="F98" s="163">
        <f t="shared" si="42"/>
        <v>780</v>
      </c>
      <c r="N98" s="150">
        <v>0</v>
      </c>
      <c r="O98" s="150">
        <v>0</v>
      </c>
      <c r="P98" s="150">
        <v>0</v>
      </c>
      <c r="Q98" s="145">
        <v>0</v>
      </c>
      <c r="R98" s="145">
        <v>0</v>
      </c>
      <c r="S98" s="145">
        <v>0</v>
      </c>
      <c r="T98" s="145">
        <v>0</v>
      </c>
      <c r="U98" s="145">
        <v>0.06</v>
      </c>
      <c r="V98" s="145">
        <v>0.06</v>
      </c>
      <c r="W98" s="145">
        <v>0.06</v>
      </c>
      <c r="X98" s="145">
        <v>0.06</v>
      </c>
      <c r="Y98" s="145">
        <v>0.06</v>
      </c>
      <c r="Z98" s="145">
        <v>0.06</v>
      </c>
      <c r="AA98" s="145">
        <v>0.06</v>
      </c>
      <c r="AB98" s="145">
        <v>0.06</v>
      </c>
    </row>
    <row r="99" spans="1:28">
      <c r="A99" s="68" t="s">
        <v>281</v>
      </c>
      <c r="B99" s="153">
        <v>0.6</v>
      </c>
      <c r="C99" s="154">
        <v>1800</v>
      </c>
      <c r="D99" s="153">
        <v>0.4</v>
      </c>
      <c r="E99" s="154">
        <v>1200</v>
      </c>
      <c r="F99" s="163">
        <f t="shared" si="42"/>
        <v>1560</v>
      </c>
      <c r="N99" s="150">
        <v>0</v>
      </c>
      <c r="O99" s="150">
        <v>0</v>
      </c>
      <c r="P99" s="150">
        <v>0</v>
      </c>
      <c r="Q99" s="145">
        <v>0</v>
      </c>
      <c r="R99" s="145">
        <v>0</v>
      </c>
      <c r="S99" s="145">
        <v>0.02</v>
      </c>
      <c r="T99" s="145">
        <v>0.02</v>
      </c>
      <c r="U99" s="145">
        <v>0.02</v>
      </c>
      <c r="V99" s="145">
        <v>0.02</v>
      </c>
      <c r="W99" s="145">
        <v>0.02</v>
      </c>
      <c r="X99" s="145">
        <v>0.02</v>
      </c>
      <c r="Y99" s="145">
        <v>0.02</v>
      </c>
      <c r="Z99" s="145">
        <v>0.02</v>
      </c>
      <c r="AA99" s="145">
        <v>0.02</v>
      </c>
      <c r="AB99" s="145">
        <v>0.02</v>
      </c>
    </row>
    <row r="100" spans="1:28">
      <c r="A100" s="68" t="s">
        <v>283</v>
      </c>
      <c r="B100" s="153">
        <v>0.58799999999999997</v>
      </c>
      <c r="C100" s="154">
        <v>2000</v>
      </c>
      <c r="D100" s="153">
        <v>0.41199999999999998</v>
      </c>
      <c r="E100" s="154">
        <v>1400</v>
      </c>
      <c r="F100" s="163">
        <f>C100*B100+E100*D100</f>
        <v>1752.8</v>
      </c>
      <c r="N100" s="150">
        <v>0</v>
      </c>
      <c r="O100" s="150">
        <v>0</v>
      </c>
      <c r="P100" s="150">
        <v>0</v>
      </c>
      <c r="Q100" s="145">
        <v>0</v>
      </c>
      <c r="R100" s="145">
        <v>0</v>
      </c>
      <c r="S100" s="145">
        <v>0.02</v>
      </c>
      <c r="T100" s="145">
        <v>0.02</v>
      </c>
      <c r="U100" s="145">
        <v>0.02</v>
      </c>
      <c r="V100" s="145">
        <v>0.02</v>
      </c>
      <c r="W100" s="145">
        <v>0.02</v>
      </c>
      <c r="X100" s="145">
        <v>0.02</v>
      </c>
      <c r="Y100" s="145">
        <v>0.02</v>
      </c>
      <c r="Z100" s="145">
        <v>0.02</v>
      </c>
      <c r="AA100" s="145">
        <v>0.02</v>
      </c>
      <c r="AB100" s="145">
        <v>0.02</v>
      </c>
    </row>
    <row r="102" spans="1:28">
      <c r="A102" s="21" t="s">
        <v>54</v>
      </c>
      <c r="B102" s="14"/>
      <c r="C102" s="14"/>
      <c r="N102" s="150">
        <v>0.14000000000000001</v>
      </c>
      <c r="O102" s="150">
        <v>0.14000000000000001</v>
      </c>
      <c r="P102" s="150">
        <v>0.14000000000000001</v>
      </c>
      <c r="Q102" s="150">
        <v>0.14000000000000001</v>
      </c>
      <c r="R102" s="150">
        <v>0.14000000000000001</v>
      </c>
      <c r="S102" s="150">
        <v>0.14000000000000001</v>
      </c>
      <c r="T102" s="150">
        <v>0.14000000000000001</v>
      </c>
      <c r="U102" s="150">
        <v>0.14000000000000001</v>
      </c>
      <c r="V102" s="150">
        <v>0.14000000000000001</v>
      </c>
      <c r="W102" s="150">
        <v>0.14000000000000001</v>
      </c>
      <c r="X102" s="150">
        <v>0.14000000000000001</v>
      </c>
      <c r="Y102" s="150">
        <v>0.14000000000000001</v>
      </c>
      <c r="Z102" s="150">
        <v>0.14000000000000001</v>
      </c>
      <c r="AA102" s="150">
        <v>0.14000000000000001</v>
      </c>
      <c r="AB102" s="150">
        <v>0.14000000000000001</v>
      </c>
    </row>
    <row r="103" spans="1:28">
      <c r="A103" s="21" t="s">
        <v>56</v>
      </c>
      <c r="B103" s="14"/>
      <c r="C103" s="14"/>
      <c r="N103" s="59">
        <v>1.1399999999999999</v>
      </c>
      <c r="O103" s="59">
        <v>1.2996000000000001</v>
      </c>
      <c r="P103" s="59">
        <v>1.4815</v>
      </c>
      <c r="Q103" s="59">
        <v>1.6890000000000001</v>
      </c>
      <c r="R103" s="59">
        <v>1.9254</v>
      </c>
      <c r="S103" s="59">
        <v>2.1949999999999998</v>
      </c>
      <c r="T103" s="59">
        <v>2.5023</v>
      </c>
      <c r="U103" s="59">
        <v>2.8525999999999998</v>
      </c>
      <c r="V103" s="59">
        <v>3.2519</v>
      </c>
      <c r="W103" s="59">
        <v>3.7071999999999998</v>
      </c>
      <c r="X103" s="59">
        <v>4.2262000000000004</v>
      </c>
      <c r="Y103" s="59">
        <v>4.8178999999999998</v>
      </c>
      <c r="Z103" s="59">
        <v>5.4923999999999999</v>
      </c>
      <c r="AA103" s="59">
        <v>6.2613000000000003</v>
      </c>
      <c r="AB103" s="59">
        <v>7.1379000000000001</v>
      </c>
    </row>
    <row r="104" spans="1:28">
      <c r="A104" s="24" t="s">
        <v>523</v>
      </c>
      <c r="B104" s="14"/>
      <c r="C104" s="14"/>
      <c r="N104" s="185">
        <f>(N85*B85+N86*B86+N87*B87+N88*B88+N89*B89+N90*B90+N91*B91+N92*B92+N93*F93+N94*F94+N95*F95+N96*F96+N97*F97+N98*F98+N99*F99+N100*F100)*N59*N103/10000000</f>
        <v>0</v>
      </c>
      <c r="O104" s="185">
        <f>(O85*F85+O86*F86+O87*F87+O88*F88+O89*F89+O90*F90+O91*F91+O92*F92+O93*F93+O94*F94+O95*F95+O96*F96+O97*F97+O98*F98+O99*F99+O100*F100)*O59*O103/10000000</f>
        <v>0</v>
      </c>
      <c r="P104" s="185">
        <f>(P85*F85+P86*F86+P87*F87+P88*F88+P89*F89+P90*F90+P91*F91+P92*F92+P93*F93+P94*F94+P95*F95+P96*F96+P97*F97+P98*F98+P99*F99+P100*F100)*P59*P103/10000000</f>
        <v>0</v>
      </c>
      <c r="Q104" s="185">
        <f>(Q85*F85+Q86*F86+Q87*F87+Q88*F88+Q89*F89+Q90*F90+Q91*F91+Q92*F92+Q93*F93+Q94*F94+Q95*F95+Q96*F96+Q97*F97+Q98*F98+Q99*F99+Q100*F100)*Q59*Q103/10000000</f>
        <v>1.697875695</v>
      </c>
      <c r="R104" s="185">
        <f>(R85*F85+R86*F86+R87*F87+R88*F88+R89*F89+R90*F90+R91*F91+R92*F92+R93*F93+R94*F94+R95*F95+R96*F96+R97*F97+R98*F98+R99*F99+R100*F100)*R59*R103/10000000</f>
        <v>2.2174831799999999</v>
      </c>
      <c r="S104" s="185">
        <f>(S85*F85+S86*F86+S87*F87+S88*F88+S89*F89+S90*F90+S91*F91+S92*F92+S93*F93+S94*F94+S95*F95+S96*F96+S97*F97+S98*F98+S99*F99+S100*F100)*S59*S103/10000000</f>
        <v>5.1804787650000002</v>
      </c>
      <c r="T104" s="185">
        <f>(T85*F85+T86*F86+T87*F87+T88*F88+T89*F89+T90*F90+T91*F91+T92*F92+T93*F93+T94*F94+T95*F95+T96*F96+T97*F97+T98*F98+T99*F99+T100*F100)*T59*T103/10000000</f>
        <v>8.2680441089399999</v>
      </c>
      <c r="U104" s="185">
        <f>(U85*F85 + U86*F86 + U87*F87 + U88*F88 + U89*F89 + U90*F90 + U91*F91 + U92*F92 + U93*F93 + U94*F94 + U95*F95 + U96*F96 + U97*F97 + U98*F98 + U99*F99 + U100*F100) * U59*U103 / 10000000</f>
        <v>13.016113706479999</v>
      </c>
      <c r="V104" s="185">
        <f>(V85*F85 + V86*F86 + V87*F87 + V88*F88 + V89*F89 + V90*F90 + V91*F91 + V92*F92 + V93*F93 + V94*F94 + V95*F95 + V96*F96 + V97*F97 + V98*F98 + V99*F99 + V100*F100) * V59 *V103/ 10000000</f>
        <v>20.119427254400001</v>
      </c>
      <c r="W104" s="185">
        <f>(W85*F85 + W86*F86 + W87*F87 + W88*F88 + W89*F89 + W90*F90 + W91*F91 + W92*F92 + W93*F93 + W94*F94 + W95*F95 + W96*F96 + W97*F97 + W98*F98 + W99*F99 + W100*F100) * W59 *W103/ 10000000</f>
        <v>30.964082526719999</v>
      </c>
      <c r="X104" s="185">
        <f>(X85*F85 + X86*F86 + X87*F87 + X88*F88 + X89*F89 + X90*F90 + X91*F91 + X92*F92 + X93*F93 + X94*F94 + X95*F95 + X96*F96 + X97*F97 + X98*F98 + X99*F99 + X100*F100) * X59 / 10000000</f>
        <v>10.440522</v>
      </c>
      <c r="Y104" s="185">
        <f>(Y85*F85 + Y86*F86 + Y87*F87 + Y88*F88 + Y89*F89 + Y90*F90 + Y91*F91 + Y92*F92 + Y93*F93 + Y94*F94 + Y95*F95 + Y96*F96 + Y97*F97 + Y98*F98 + Y99*F99 + Y100*F100) * Y59 / 10000000</f>
        <v>12.373951999999999</v>
      </c>
      <c r="Z104" s="185">
        <f>(Z85*F85 + Z86*F86 + Z87*F87 + Z88*F88 + Z89*F89 + Z90*F90 + Z91*F91 + Z92*F92 + Z93*F93 + Z94*F94 + Z95*F95 + Z96*F96 + Z97*F97 + Z98*F98 + Z99*F99 + Z100*F100) * Z59 / 10000000</f>
        <v>13.7660216</v>
      </c>
      <c r="AA104" s="185">
        <f>(AA85*F85 + AA86*F86 + AA87*F87 + AA88*F88 + AA89*F89 + AA90*F90 + AA91*F91 + AA92*F92 + AA93*F93 + AA94*F94 + AA95*F95 + AA96*F96 + AA97*F97 + AA98*F98 + AA99*F99 + AA100*F100) * AA59 / 10000000</f>
        <v>14.694068</v>
      </c>
      <c r="AB104" s="185">
        <f>(AB85*F85 + AB86*F86 + AB87*F87 + AB88*F88 + AB89*F89 + AB90*F90 + AB91*F91 + AB92*F92 + AB93*F93 + AB94*F94 + AB95*F95 + AB96*F96 + AB97*F97 + AB98*F98 + AB99*F99 + AB100*F100) * AB59*AB103 / 10000000</f>
        <v>110.405039976</v>
      </c>
    </row>
    <row r="106" spans="1:28" ht="57.6">
      <c r="A106" s="19" t="s">
        <v>40</v>
      </c>
      <c r="B106" s="69" t="s">
        <v>525</v>
      </c>
      <c r="C106" s="17" t="s">
        <v>39</v>
      </c>
      <c r="D106" s="69" t="s">
        <v>526</v>
      </c>
      <c r="E106" s="18" t="s">
        <v>491</v>
      </c>
      <c r="F106" s="62" t="s">
        <v>522</v>
      </c>
      <c r="N106" s="231" t="s">
        <v>524</v>
      </c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</row>
    <row r="107" spans="1:28">
      <c r="A107" s="3" t="s">
        <v>41</v>
      </c>
      <c r="B107" s="153">
        <v>0.54200000000000004</v>
      </c>
      <c r="C107" s="191">
        <v>6500</v>
      </c>
      <c r="D107" s="153">
        <v>0.45800000000000002</v>
      </c>
      <c r="E107" s="191">
        <v>5500</v>
      </c>
      <c r="F107" s="59">
        <f xml:space="preserve"> B107*C107+D107*E107</f>
        <v>6042</v>
      </c>
      <c r="N107" s="33">
        <v>0</v>
      </c>
      <c r="O107" s="33">
        <v>0</v>
      </c>
      <c r="P107" s="33">
        <v>0</v>
      </c>
      <c r="Q107" s="65">
        <v>0.08</v>
      </c>
      <c r="R107" s="65">
        <v>0.08</v>
      </c>
      <c r="S107" s="65">
        <v>0.08</v>
      </c>
      <c r="T107" s="65">
        <v>0.08</v>
      </c>
      <c r="U107" s="65">
        <v>0.08</v>
      </c>
      <c r="V107" s="65">
        <v>0.08</v>
      </c>
      <c r="W107" s="65">
        <v>0.08</v>
      </c>
      <c r="X107" s="65">
        <v>0.08</v>
      </c>
      <c r="Y107" s="65">
        <v>0.08</v>
      </c>
      <c r="Z107" s="65">
        <v>0.08</v>
      </c>
      <c r="AA107" s="65">
        <v>0.08</v>
      </c>
      <c r="AB107" s="65">
        <v>0.08</v>
      </c>
    </row>
    <row r="108" spans="1:28">
      <c r="A108" s="3" t="s">
        <v>42</v>
      </c>
      <c r="B108" s="153">
        <v>0.53200000000000003</v>
      </c>
      <c r="C108" s="191">
        <v>25000</v>
      </c>
      <c r="D108" s="153">
        <v>0.46800000000000003</v>
      </c>
      <c r="E108" s="191">
        <v>22000</v>
      </c>
      <c r="F108" s="59">
        <f t="shared" ref="F108:F119" si="43" xml:space="preserve"> B108*C108+D108*E108</f>
        <v>23596</v>
      </c>
      <c r="N108" s="33">
        <v>0</v>
      </c>
      <c r="O108" s="33">
        <v>0</v>
      </c>
      <c r="P108" s="33">
        <v>0</v>
      </c>
      <c r="Q108" s="65">
        <v>0</v>
      </c>
      <c r="R108" s="65">
        <v>0</v>
      </c>
      <c r="S108" s="65">
        <v>0.02</v>
      </c>
      <c r="T108" s="65">
        <v>0.02</v>
      </c>
      <c r="U108" s="65">
        <v>0.03</v>
      </c>
      <c r="V108" s="65">
        <v>0.03</v>
      </c>
      <c r="W108" s="65">
        <v>0.03</v>
      </c>
      <c r="X108" s="65">
        <v>0.03</v>
      </c>
      <c r="Y108" s="65">
        <v>0.03</v>
      </c>
      <c r="Z108" s="65">
        <v>0.03</v>
      </c>
      <c r="AA108" s="65">
        <v>0.03</v>
      </c>
      <c r="AB108" s="65">
        <v>0.03</v>
      </c>
    </row>
    <row r="109" spans="1:28">
      <c r="A109" s="3" t="s">
        <v>43</v>
      </c>
      <c r="B109" s="153">
        <v>0.53100000000000003</v>
      </c>
      <c r="C109" s="191">
        <v>8500</v>
      </c>
      <c r="D109" s="153">
        <v>0.46899999999999997</v>
      </c>
      <c r="E109" s="191">
        <v>7500</v>
      </c>
      <c r="F109" s="59">
        <f t="shared" si="43"/>
        <v>8031</v>
      </c>
      <c r="N109" s="33">
        <v>0</v>
      </c>
      <c r="O109" s="33">
        <v>0</v>
      </c>
      <c r="P109" s="33">
        <v>0</v>
      </c>
      <c r="Q109" s="65">
        <v>0.08</v>
      </c>
      <c r="R109" s="65">
        <v>0.08</v>
      </c>
      <c r="S109" s="65">
        <v>0.08</v>
      </c>
      <c r="T109" s="65">
        <v>0.08</v>
      </c>
      <c r="U109" s="65">
        <v>0.08</v>
      </c>
      <c r="V109" s="65">
        <v>0.08</v>
      </c>
      <c r="W109" s="65">
        <v>0.08</v>
      </c>
      <c r="X109" s="65">
        <v>0.08</v>
      </c>
      <c r="Y109" s="65">
        <v>0.08</v>
      </c>
      <c r="Z109" s="65">
        <v>0.08</v>
      </c>
      <c r="AA109" s="65">
        <v>0.08</v>
      </c>
      <c r="AB109" s="65">
        <v>0.08</v>
      </c>
    </row>
    <row r="110" spans="1:28">
      <c r="A110" s="3" t="s">
        <v>44</v>
      </c>
      <c r="B110" s="153">
        <v>0.6</v>
      </c>
      <c r="C110" s="191">
        <v>600</v>
      </c>
      <c r="D110" s="153">
        <v>0.4</v>
      </c>
      <c r="E110" s="191">
        <v>400</v>
      </c>
      <c r="F110" s="59">
        <f t="shared" si="43"/>
        <v>520</v>
      </c>
      <c r="N110" s="33">
        <v>0</v>
      </c>
      <c r="O110" s="33">
        <v>0</v>
      </c>
      <c r="P110" s="33">
        <v>0</v>
      </c>
      <c r="Q110" s="65">
        <v>0.2</v>
      </c>
      <c r="R110" s="65">
        <v>0.2</v>
      </c>
      <c r="S110" s="65">
        <v>0.18</v>
      </c>
      <c r="T110" s="65">
        <v>0.18</v>
      </c>
      <c r="U110" s="65">
        <v>0.17</v>
      </c>
      <c r="V110" s="65">
        <v>0.17</v>
      </c>
      <c r="W110" s="65">
        <v>0.17</v>
      </c>
      <c r="X110" s="65">
        <v>0.17</v>
      </c>
      <c r="Y110" s="65">
        <v>0.17</v>
      </c>
      <c r="Z110" s="65">
        <v>0.17</v>
      </c>
      <c r="AA110" s="65">
        <v>0.17</v>
      </c>
      <c r="AB110" s="65">
        <v>0.17</v>
      </c>
    </row>
    <row r="111" spans="1:28">
      <c r="A111" s="3" t="s">
        <v>45</v>
      </c>
      <c r="B111" s="153">
        <v>0.55000000000000004</v>
      </c>
      <c r="C111" s="191">
        <v>2200</v>
      </c>
      <c r="D111" s="153">
        <v>0.45</v>
      </c>
      <c r="E111" s="191">
        <v>1800</v>
      </c>
      <c r="F111" s="59">
        <f t="shared" si="43"/>
        <v>2020</v>
      </c>
      <c r="N111" s="33">
        <v>0</v>
      </c>
      <c r="O111" s="33">
        <v>0</v>
      </c>
      <c r="P111" s="33">
        <v>0</v>
      </c>
      <c r="Q111" s="65">
        <v>0.02</v>
      </c>
      <c r="R111" s="65">
        <v>0.02</v>
      </c>
      <c r="S111" s="65">
        <v>0.03</v>
      </c>
      <c r="T111" s="65">
        <v>0.03</v>
      </c>
      <c r="U111" s="65">
        <v>0.03</v>
      </c>
      <c r="V111" s="65">
        <v>0.03</v>
      </c>
      <c r="W111" s="65">
        <v>0.03</v>
      </c>
      <c r="X111" s="65">
        <v>0.03</v>
      </c>
      <c r="Y111" s="65">
        <v>0.03</v>
      </c>
      <c r="Z111" s="65">
        <v>0.03</v>
      </c>
      <c r="AA111" s="65">
        <v>0.03</v>
      </c>
      <c r="AB111" s="65">
        <v>0.03</v>
      </c>
    </row>
    <row r="112" spans="1:28">
      <c r="A112" s="3" t="s">
        <v>46</v>
      </c>
      <c r="B112" s="153">
        <v>0.56299999999999994</v>
      </c>
      <c r="C112" s="191">
        <v>1800</v>
      </c>
      <c r="D112" s="153">
        <v>0.438</v>
      </c>
      <c r="E112" s="191">
        <v>1400</v>
      </c>
      <c r="F112" s="59">
        <f t="shared" si="43"/>
        <v>1626.6</v>
      </c>
      <c r="N112" s="33">
        <v>0</v>
      </c>
      <c r="O112" s="33">
        <v>0</v>
      </c>
      <c r="P112" s="33">
        <v>0</v>
      </c>
      <c r="Q112" s="65">
        <v>0.15</v>
      </c>
      <c r="R112" s="65">
        <v>0.15</v>
      </c>
      <c r="S112" s="65">
        <v>0.14000000000000001</v>
      </c>
      <c r="T112" s="65">
        <v>0.14000000000000001</v>
      </c>
      <c r="U112" s="65">
        <v>0.13</v>
      </c>
      <c r="V112" s="65">
        <v>0.13</v>
      </c>
      <c r="W112" s="65">
        <v>0.13</v>
      </c>
      <c r="X112" s="65">
        <v>0.13</v>
      </c>
      <c r="Y112" s="65">
        <v>0.13</v>
      </c>
      <c r="Z112" s="65">
        <v>0.13</v>
      </c>
      <c r="AA112" s="65">
        <v>0.13</v>
      </c>
      <c r="AB112" s="65">
        <v>0.13</v>
      </c>
    </row>
    <row r="113" spans="1:29">
      <c r="A113" s="3" t="s">
        <v>47</v>
      </c>
      <c r="B113" s="153">
        <v>0.58799999999999997</v>
      </c>
      <c r="C113" s="191">
        <v>500</v>
      </c>
      <c r="D113" s="153">
        <v>0.41199999999999998</v>
      </c>
      <c r="E113" s="191">
        <v>350</v>
      </c>
      <c r="F113" s="59">
        <f t="shared" si="43"/>
        <v>438.2</v>
      </c>
      <c r="N113" s="33">
        <v>0</v>
      </c>
      <c r="O113" s="33">
        <v>0</v>
      </c>
      <c r="P113" s="33">
        <v>0</v>
      </c>
      <c r="Q113" s="65">
        <v>0.1</v>
      </c>
      <c r="R113" s="65">
        <v>0.1</v>
      </c>
      <c r="S113" s="65">
        <v>0.09</v>
      </c>
      <c r="T113" s="65">
        <v>0.09</v>
      </c>
      <c r="U113" s="65">
        <v>0.08</v>
      </c>
      <c r="V113" s="65">
        <v>0.08</v>
      </c>
      <c r="W113" s="65">
        <v>0.08</v>
      </c>
      <c r="X113" s="65">
        <v>0.08</v>
      </c>
      <c r="Y113" s="65">
        <v>0.08</v>
      </c>
      <c r="Z113" s="65">
        <v>0.08</v>
      </c>
      <c r="AA113" s="65">
        <v>0.08</v>
      </c>
      <c r="AB113" s="65">
        <v>0.08</v>
      </c>
    </row>
    <row r="114" spans="1:29">
      <c r="A114" s="3" t="s">
        <v>48</v>
      </c>
      <c r="B114" s="153">
        <v>0.57099999999999995</v>
      </c>
      <c r="C114" s="191">
        <v>2000</v>
      </c>
      <c r="D114" s="153">
        <v>0.42899999999999999</v>
      </c>
      <c r="E114" s="191">
        <v>1500</v>
      </c>
      <c r="F114" s="59">
        <f t="shared" si="43"/>
        <v>1785.5</v>
      </c>
      <c r="N114" s="33">
        <v>0</v>
      </c>
      <c r="O114" s="33">
        <v>0</v>
      </c>
      <c r="P114" s="33">
        <v>0</v>
      </c>
      <c r="Q114" s="65">
        <v>7.0000000000000007E-2</v>
      </c>
      <c r="R114" s="65">
        <v>7.0000000000000007E-2</v>
      </c>
      <c r="S114" s="65">
        <v>7.0000000000000007E-2</v>
      </c>
      <c r="T114" s="65">
        <v>7.0000000000000007E-2</v>
      </c>
      <c r="U114" s="65">
        <v>7.0000000000000007E-2</v>
      </c>
      <c r="V114" s="65">
        <v>7.0000000000000007E-2</v>
      </c>
      <c r="W114" s="65">
        <v>7.0000000000000007E-2</v>
      </c>
      <c r="X114" s="65">
        <v>7.0000000000000007E-2</v>
      </c>
      <c r="Y114" s="65">
        <v>7.0000000000000007E-2</v>
      </c>
      <c r="Z114" s="65">
        <v>7.0000000000000007E-2</v>
      </c>
      <c r="AA114" s="65">
        <v>7.0000000000000007E-2</v>
      </c>
      <c r="AB114" s="65">
        <v>7.0000000000000007E-2</v>
      </c>
    </row>
    <row r="115" spans="1:29">
      <c r="A115" s="3" t="s">
        <v>49</v>
      </c>
      <c r="B115" s="153">
        <v>0.56399999999999995</v>
      </c>
      <c r="C115" s="191">
        <v>2200</v>
      </c>
      <c r="D115" s="153">
        <v>0.436</v>
      </c>
      <c r="E115" s="191">
        <v>1700</v>
      </c>
      <c r="F115" s="59">
        <f t="shared" si="43"/>
        <v>1982</v>
      </c>
      <c r="N115" s="33">
        <v>0</v>
      </c>
      <c r="O115" s="33">
        <v>0</v>
      </c>
      <c r="P115" s="33">
        <v>0</v>
      </c>
      <c r="Q115" s="65">
        <v>0.03</v>
      </c>
      <c r="R115" s="65">
        <v>0.03</v>
      </c>
      <c r="S115" s="65">
        <v>0.03</v>
      </c>
      <c r="T115" s="65">
        <v>0.03</v>
      </c>
      <c r="U115" s="65">
        <v>0.03</v>
      </c>
      <c r="V115" s="65">
        <v>0.03</v>
      </c>
      <c r="W115" s="65">
        <v>0.03</v>
      </c>
      <c r="X115" s="65">
        <v>0.03</v>
      </c>
      <c r="Y115" s="65">
        <v>0.03</v>
      </c>
      <c r="Z115" s="65">
        <v>0.03</v>
      </c>
      <c r="AA115" s="65">
        <v>0.03</v>
      </c>
      <c r="AB115" s="65">
        <v>0.03</v>
      </c>
    </row>
    <row r="116" spans="1:29">
      <c r="A116" s="3" t="s">
        <v>50</v>
      </c>
      <c r="B116" s="153">
        <v>0.58799999999999997</v>
      </c>
      <c r="C116" s="191">
        <v>1000</v>
      </c>
      <c r="D116" s="153">
        <v>0.41199999999999998</v>
      </c>
      <c r="E116" s="191">
        <v>700</v>
      </c>
      <c r="F116" s="59">
        <f t="shared" si="43"/>
        <v>876.4</v>
      </c>
      <c r="I116">
        <f>B107*C107*N107*$N$71*$N$122</f>
        <v>0</v>
      </c>
      <c r="N116" s="33">
        <v>0</v>
      </c>
      <c r="O116" s="33">
        <v>0</v>
      </c>
      <c r="P116" s="33">
        <v>0</v>
      </c>
      <c r="Q116" s="65">
        <v>0.13</v>
      </c>
      <c r="R116" s="65">
        <v>0.13</v>
      </c>
      <c r="S116" s="65">
        <v>0.12</v>
      </c>
      <c r="T116" s="65">
        <v>0.12</v>
      </c>
      <c r="U116" s="65">
        <v>0.11</v>
      </c>
      <c r="V116" s="65">
        <v>0.11</v>
      </c>
      <c r="W116" s="65">
        <v>0.11</v>
      </c>
      <c r="X116" s="65">
        <v>0.11</v>
      </c>
      <c r="Y116" s="65">
        <v>0.11</v>
      </c>
      <c r="Z116" s="65">
        <v>0.11</v>
      </c>
      <c r="AA116" s="65">
        <v>0.11</v>
      </c>
      <c r="AB116" s="65">
        <v>0.11</v>
      </c>
    </row>
    <row r="117" spans="1:29">
      <c r="A117" s="3" t="s">
        <v>51</v>
      </c>
      <c r="B117" s="153">
        <v>0.57099999999999995</v>
      </c>
      <c r="C117" s="191">
        <v>1200</v>
      </c>
      <c r="D117" s="153">
        <v>0.42899999999999999</v>
      </c>
      <c r="E117" s="191">
        <v>900</v>
      </c>
      <c r="F117" s="59">
        <f t="shared" si="43"/>
        <v>1071.3</v>
      </c>
      <c r="N117" s="33">
        <v>0</v>
      </c>
      <c r="O117" s="33">
        <v>0</v>
      </c>
      <c r="P117" s="33">
        <v>0</v>
      </c>
      <c r="Q117" s="65">
        <v>0.02</v>
      </c>
      <c r="R117" s="65">
        <v>0.02</v>
      </c>
      <c r="S117" s="65">
        <v>0.02</v>
      </c>
      <c r="T117" s="65">
        <v>0.02</v>
      </c>
      <c r="U117" s="65">
        <v>0.02</v>
      </c>
      <c r="V117" s="65">
        <v>0.02</v>
      </c>
      <c r="W117" s="65">
        <v>0.02</v>
      </c>
      <c r="X117" s="65">
        <v>0.02</v>
      </c>
      <c r="Y117" s="65">
        <v>0.02</v>
      </c>
      <c r="Z117" s="65">
        <v>0.02</v>
      </c>
      <c r="AA117" s="65">
        <v>0.02</v>
      </c>
      <c r="AB117" s="65">
        <v>0.02</v>
      </c>
    </row>
    <row r="118" spans="1:29">
      <c r="A118" s="3" t="s">
        <v>52</v>
      </c>
      <c r="B118" s="153">
        <v>0.55600000000000005</v>
      </c>
      <c r="C118" s="191">
        <v>2500</v>
      </c>
      <c r="D118" s="153">
        <v>0.44400000000000001</v>
      </c>
      <c r="E118" s="191">
        <v>2000</v>
      </c>
      <c r="F118" s="59">
        <f t="shared" si="43"/>
        <v>2278</v>
      </c>
      <c r="N118" s="33">
        <v>0</v>
      </c>
      <c r="O118" s="33">
        <v>0</v>
      </c>
      <c r="P118" s="33">
        <v>0</v>
      </c>
      <c r="Q118" s="65">
        <v>0.01</v>
      </c>
      <c r="R118" s="65">
        <v>0.01</v>
      </c>
      <c r="S118" s="65">
        <v>0.02</v>
      </c>
      <c r="T118" s="65">
        <v>0.02</v>
      </c>
      <c r="U118" s="65">
        <v>0.02</v>
      </c>
      <c r="V118" s="65">
        <v>0.02</v>
      </c>
      <c r="W118" s="65">
        <v>0.02</v>
      </c>
      <c r="X118" s="65">
        <v>0.02</v>
      </c>
      <c r="Y118" s="65">
        <v>0.02</v>
      </c>
      <c r="Z118" s="65">
        <v>0.02</v>
      </c>
      <c r="AA118" s="65">
        <v>0.02</v>
      </c>
      <c r="AB118" s="65">
        <v>0.02</v>
      </c>
    </row>
    <row r="119" spans="1:29">
      <c r="A119" s="3" t="s">
        <v>53</v>
      </c>
      <c r="B119" s="153">
        <v>0.58799999999999997</v>
      </c>
      <c r="C119" s="191">
        <v>1000</v>
      </c>
      <c r="D119" s="153">
        <v>0.41199999999999998</v>
      </c>
      <c r="E119" s="191">
        <v>700</v>
      </c>
      <c r="F119" s="59">
        <f t="shared" si="43"/>
        <v>876.4</v>
      </c>
      <c r="N119" s="33">
        <v>0</v>
      </c>
      <c r="O119" s="33">
        <v>0</v>
      </c>
      <c r="P119" s="33">
        <v>0</v>
      </c>
      <c r="Q119" s="65">
        <v>0</v>
      </c>
      <c r="R119" s="65">
        <v>0</v>
      </c>
      <c r="S119" s="65">
        <v>0.01</v>
      </c>
      <c r="T119" s="65">
        <v>0.01</v>
      </c>
      <c r="U119" s="65">
        <v>0.03</v>
      </c>
      <c r="V119" s="65">
        <v>0.03</v>
      </c>
      <c r="W119" s="65">
        <v>0.03</v>
      </c>
      <c r="X119" s="65">
        <v>0.03</v>
      </c>
      <c r="Y119" s="65">
        <v>0.03</v>
      </c>
      <c r="Z119" s="65">
        <v>0.03</v>
      </c>
      <c r="AA119" s="65">
        <v>0.03</v>
      </c>
      <c r="AB119" s="65">
        <v>0.03</v>
      </c>
    </row>
    <row r="121" spans="1:29">
      <c r="A121" s="21" t="s">
        <v>54</v>
      </c>
      <c r="B121" s="14"/>
      <c r="C121" s="14"/>
      <c r="N121" s="33">
        <v>0.14000000000000001</v>
      </c>
      <c r="O121" s="33">
        <v>0.14000000000000001</v>
      </c>
      <c r="P121" s="33">
        <v>0.14000000000000001</v>
      </c>
      <c r="Q121" s="33">
        <v>0.14000000000000001</v>
      </c>
      <c r="R121" s="33">
        <v>0.14000000000000001</v>
      </c>
      <c r="S121" s="33">
        <v>0.14000000000000001</v>
      </c>
      <c r="T121" s="33">
        <v>0.14000000000000001</v>
      </c>
      <c r="U121" s="33">
        <v>0.14000000000000001</v>
      </c>
      <c r="V121" s="33">
        <v>0.14000000000000001</v>
      </c>
      <c r="W121" s="33">
        <v>0.14000000000000001</v>
      </c>
      <c r="X121" s="33">
        <v>0.14000000000000001</v>
      </c>
      <c r="Y121" s="33">
        <v>0.14000000000000001</v>
      </c>
      <c r="Z121" s="33">
        <v>0.14000000000000001</v>
      </c>
      <c r="AA121" s="33">
        <v>0.14000000000000001</v>
      </c>
      <c r="AB121" s="33">
        <v>0.14000000000000001</v>
      </c>
    </row>
    <row r="122" spans="1:29">
      <c r="A122" s="21" t="s">
        <v>56</v>
      </c>
      <c r="B122" s="14"/>
      <c r="C122" s="14"/>
      <c r="N122">
        <v>1.1399999999999999</v>
      </c>
      <c r="O122">
        <v>1.2996000000000001</v>
      </c>
      <c r="P122">
        <v>1.4815</v>
      </c>
      <c r="Q122">
        <v>1.6890000000000001</v>
      </c>
      <c r="R122">
        <v>1.9254</v>
      </c>
      <c r="S122">
        <v>2.1949999999999998</v>
      </c>
      <c r="T122">
        <v>2.5023</v>
      </c>
      <c r="U122">
        <v>2.8525999999999998</v>
      </c>
      <c r="V122">
        <v>3.2519</v>
      </c>
      <c r="W122">
        <v>3.7071999999999998</v>
      </c>
      <c r="X122">
        <v>4.2262000000000004</v>
      </c>
      <c r="Y122">
        <v>4.8178999999999998</v>
      </c>
      <c r="Z122">
        <v>5.4923999999999999</v>
      </c>
      <c r="AA122">
        <v>6.2613000000000003</v>
      </c>
      <c r="AB122">
        <v>7.1379000000000001</v>
      </c>
    </row>
    <row r="123" spans="1:29" s="21" customFormat="1">
      <c r="A123" s="24" t="s">
        <v>523</v>
      </c>
      <c r="D123"/>
      <c r="E123"/>
      <c r="F123"/>
      <c r="G123"/>
      <c r="H123"/>
      <c r="I123"/>
      <c r="J123"/>
      <c r="K123"/>
      <c r="L123"/>
      <c r="M123"/>
      <c r="N123" s="141" t="e">
        <f>SUM(#REF!)</f>
        <v>#REF!</v>
      </c>
      <c r="O123" s="141" t="e">
        <f>SUM(#REF!)</f>
        <v>#REF!</v>
      </c>
      <c r="P123" s="141" t="e">
        <f>SUM(#REF!)</f>
        <v>#REF!</v>
      </c>
      <c r="Q123" s="141" t="e">
        <f>SUM(#REF!)</f>
        <v>#REF!</v>
      </c>
      <c r="R123" s="141" t="e">
        <f>SUM(#REF!)</f>
        <v>#REF!</v>
      </c>
      <c r="S123" s="141" t="e">
        <f>SUM(#REF!)</f>
        <v>#REF!</v>
      </c>
      <c r="T123" s="141" t="e">
        <f>SUM(#REF!)</f>
        <v>#REF!</v>
      </c>
      <c r="U123" s="141" t="e">
        <f>SUM(#REF!)</f>
        <v>#REF!</v>
      </c>
      <c r="V123" s="141" t="e">
        <f>SUM(#REF!)</f>
        <v>#REF!</v>
      </c>
      <c r="W123" s="141" t="e">
        <f>SUM(#REF!)</f>
        <v>#REF!</v>
      </c>
      <c r="X123" s="141" t="e">
        <f>SUM(#REF!)</f>
        <v>#REF!</v>
      </c>
      <c r="Y123" s="141" t="e">
        <f>SUM(#REF!)</f>
        <v>#REF!</v>
      </c>
      <c r="Z123" s="141" t="e">
        <f>SUM(#REF!)</f>
        <v>#REF!</v>
      </c>
      <c r="AA123" s="141" t="e">
        <f>SUM(#REF!)</f>
        <v>#REF!</v>
      </c>
      <c r="AB123" s="141" t="e">
        <f>SUM(#REF!)</f>
        <v>#REF!</v>
      </c>
      <c r="AC123"/>
    </row>
    <row r="124" spans="1:29">
      <c r="N124">
        <v>0</v>
      </c>
      <c r="O124">
        <v>0</v>
      </c>
      <c r="P124">
        <v>0</v>
      </c>
      <c r="Q124" s="207">
        <v>15</v>
      </c>
      <c r="R124" s="207">
        <v>30</v>
      </c>
      <c r="S124" s="207">
        <v>48.3</v>
      </c>
      <c r="T124" s="207">
        <v>84.53</v>
      </c>
      <c r="U124" s="207">
        <v>121.28</v>
      </c>
      <c r="V124" s="207">
        <v>151.59</v>
      </c>
      <c r="W124" s="207">
        <v>172.27</v>
      </c>
      <c r="X124" s="207">
        <v>203.27</v>
      </c>
      <c r="Y124" s="207">
        <v>235.8</v>
      </c>
      <c r="Z124" s="207">
        <v>255.98</v>
      </c>
      <c r="AA124" s="207">
        <v>294.38</v>
      </c>
      <c r="AB124" s="207">
        <v>338.53</v>
      </c>
    </row>
    <row r="125" spans="1:29" s="181" customFormat="1" ht="21">
      <c r="A125" s="229" t="s">
        <v>63</v>
      </c>
      <c r="B125" s="230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</row>
    <row r="127" spans="1:29">
      <c r="A127" s="7" t="s">
        <v>536</v>
      </c>
      <c r="B127" s="78" t="s">
        <v>437</v>
      </c>
      <c r="N127" s="143">
        <v>0</v>
      </c>
      <c r="O127" s="143">
        <v>0</v>
      </c>
      <c r="P127" s="143">
        <v>0</v>
      </c>
      <c r="Q127" s="152">
        <v>3000</v>
      </c>
      <c r="R127" s="152">
        <v>3500</v>
      </c>
      <c r="S127" s="152">
        <v>5500</v>
      </c>
      <c r="T127" s="152">
        <v>7000</v>
      </c>
      <c r="U127" s="152">
        <v>8500</v>
      </c>
      <c r="V127" s="152">
        <v>10000</v>
      </c>
      <c r="W127" s="152">
        <v>11500</v>
      </c>
      <c r="X127" s="152">
        <v>12500</v>
      </c>
      <c r="Y127" s="152">
        <v>13500</v>
      </c>
      <c r="Z127" s="152">
        <v>14000</v>
      </c>
      <c r="AA127" s="152">
        <v>14500</v>
      </c>
      <c r="AB127" s="152">
        <v>15000</v>
      </c>
    </row>
    <row r="128" spans="1:29">
      <c r="A128" s="7" t="s">
        <v>534</v>
      </c>
      <c r="B128" s="78" t="s">
        <v>57</v>
      </c>
      <c r="N128" s="145">
        <v>0</v>
      </c>
      <c r="O128" s="145">
        <v>0</v>
      </c>
      <c r="P128" s="145">
        <v>0</v>
      </c>
      <c r="Q128" s="153">
        <v>0.39900000000000002</v>
      </c>
      <c r="R128" s="153">
        <v>0.39900000000000002</v>
      </c>
      <c r="S128" s="153">
        <v>0.40699999999999997</v>
      </c>
      <c r="T128" s="153">
        <v>0.40799999999999997</v>
      </c>
      <c r="U128" s="153">
        <v>0.40600000000000003</v>
      </c>
      <c r="V128" s="153">
        <v>0.40600000000000003</v>
      </c>
      <c r="W128" s="153">
        <v>0.40600000000000003</v>
      </c>
      <c r="X128" s="153">
        <v>0.40600000000000003</v>
      </c>
      <c r="Y128" s="153">
        <v>0.40600000000000003</v>
      </c>
      <c r="Z128" s="153">
        <v>0.40600000000000003</v>
      </c>
      <c r="AA128" s="153">
        <v>0.40600000000000003</v>
      </c>
      <c r="AB128" s="153">
        <v>0.40600000000000003</v>
      </c>
    </row>
    <row r="129" spans="1:28">
      <c r="A129" s="7" t="s">
        <v>534</v>
      </c>
      <c r="B129" s="78" t="s">
        <v>437</v>
      </c>
      <c r="N129" s="143">
        <v>0</v>
      </c>
      <c r="O129" s="143">
        <v>0</v>
      </c>
      <c r="P129" s="143">
        <v>0</v>
      </c>
      <c r="Q129" s="152">
        <v>1197</v>
      </c>
      <c r="R129" s="152">
        <v>1397</v>
      </c>
      <c r="S129" s="152">
        <v>2239</v>
      </c>
      <c r="T129" s="152">
        <v>2856</v>
      </c>
      <c r="U129" s="152">
        <v>3451</v>
      </c>
      <c r="V129" s="152">
        <v>4060</v>
      </c>
      <c r="W129" s="152">
        <v>4669</v>
      </c>
      <c r="X129" s="152">
        <v>5075</v>
      </c>
      <c r="Y129" s="152">
        <v>5481</v>
      </c>
      <c r="Z129" s="152">
        <v>5684</v>
      </c>
      <c r="AA129" s="152">
        <v>5887</v>
      </c>
      <c r="AB129" s="152">
        <v>6090</v>
      </c>
    </row>
    <row r="130" spans="1:28">
      <c r="A130" s="7" t="s">
        <v>535</v>
      </c>
      <c r="B130" s="78" t="s">
        <v>57</v>
      </c>
      <c r="N130" s="145">
        <v>0</v>
      </c>
      <c r="O130" s="145">
        <v>0</v>
      </c>
      <c r="P130" s="145">
        <v>0</v>
      </c>
      <c r="Q130" s="153">
        <v>0.60099999999999998</v>
      </c>
      <c r="R130" s="153">
        <v>0.60099999999999998</v>
      </c>
      <c r="S130" s="153">
        <v>0.59299999999999997</v>
      </c>
      <c r="T130" s="153">
        <v>0.59199999999999997</v>
      </c>
      <c r="U130" s="153">
        <v>0.59399999999999997</v>
      </c>
      <c r="V130" s="153">
        <v>0.59399999999999997</v>
      </c>
      <c r="W130" s="153">
        <v>0.59399999999999997</v>
      </c>
      <c r="X130" s="153">
        <v>0.59399999999999997</v>
      </c>
      <c r="Y130" s="153">
        <v>0.59399999999999997</v>
      </c>
      <c r="Z130" s="153">
        <v>0.59399999999999997</v>
      </c>
      <c r="AA130" s="153">
        <v>0.59399999999999997</v>
      </c>
      <c r="AB130" s="153">
        <v>0.59399999999999997</v>
      </c>
    </row>
    <row r="131" spans="1:28">
      <c r="A131" s="7" t="s">
        <v>535</v>
      </c>
      <c r="B131" s="78" t="s">
        <v>437</v>
      </c>
      <c r="N131" s="143">
        <v>0</v>
      </c>
      <c r="O131" s="143">
        <v>0</v>
      </c>
      <c r="P131" s="143">
        <v>0</v>
      </c>
      <c r="Q131" s="152">
        <v>1803</v>
      </c>
      <c r="R131" s="152">
        <v>2103</v>
      </c>
      <c r="S131" s="152">
        <v>3261</v>
      </c>
      <c r="T131" s="152">
        <v>4144</v>
      </c>
      <c r="U131" s="152">
        <v>5049</v>
      </c>
      <c r="V131" s="152">
        <v>5940</v>
      </c>
      <c r="W131" s="152">
        <v>6831</v>
      </c>
      <c r="X131" s="152">
        <v>7425</v>
      </c>
      <c r="Y131" s="152">
        <v>8019</v>
      </c>
      <c r="Z131" s="152">
        <v>8316</v>
      </c>
      <c r="AA131" s="152">
        <v>8613</v>
      </c>
      <c r="AB131" s="152">
        <v>8910</v>
      </c>
    </row>
    <row r="133" spans="1:28" s="86" customFormat="1" ht="13.8" customHeight="1">
      <c r="A133" s="86" t="s">
        <v>620</v>
      </c>
      <c r="N133" s="87"/>
    </row>
    <row r="135" spans="1:28">
      <c r="A135" s="80" t="s">
        <v>547</v>
      </c>
    </row>
    <row r="136" spans="1:28">
      <c r="A136" s="68" t="s">
        <v>253</v>
      </c>
      <c r="N136" s="150">
        <v>0</v>
      </c>
      <c r="O136" s="150">
        <v>0</v>
      </c>
      <c r="P136" s="150">
        <v>0</v>
      </c>
      <c r="Q136" s="145">
        <v>0.08</v>
      </c>
      <c r="R136" s="145">
        <v>0.08</v>
      </c>
      <c r="S136" s="145">
        <v>7.0000000000000007E-2</v>
      </c>
      <c r="T136" s="145">
        <v>0.06</v>
      </c>
      <c r="U136" s="145">
        <v>0.06</v>
      </c>
      <c r="V136" s="145">
        <v>0.05</v>
      </c>
      <c r="W136" s="145">
        <v>0.05</v>
      </c>
      <c r="X136" s="145">
        <v>0.05</v>
      </c>
      <c r="Y136" s="145">
        <v>0.05</v>
      </c>
      <c r="Z136" s="145">
        <v>0.05</v>
      </c>
      <c r="AA136" s="145">
        <v>0.05</v>
      </c>
      <c r="AB136" s="145">
        <v>0.05</v>
      </c>
    </row>
    <row r="137" spans="1:28">
      <c r="A137" s="68" t="s">
        <v>255</v>
      </c>
      <c r="N137" s="150">
        <v>0</v>
      </c>
      <c r="O137" s="150">
        <v>0</v>
      </c>
      <c r="P137" s="150">
        <v>0</v>
      </c>
      <c r="Q137" s="145">
        <v>0.02</v>
      </c>
      <c r="R137" s="145">
        <v>0.02</v>
      </c>
      <c r="S137" s="145">
        <v>0.02</v>
      </c>
      <c r="T137" s="145">
        <v>0.02</v>
      </c>
      <c r="U137" s="145">
        <v>0.02</v>
      </c>
      <c r="V137" s="145">
        <v>0.02</v>
      </c>
      <c r="W137" s="145">
        <v>0.02</v>
      </c>
      <c r="X137" s="145">
        <v>0.02</v>
      </c>
      <c r="Y137" s="145">
        <v>0.02</v>
      </c>
      <c r="Z137" s="145">
        <v>0.02</v>
      </c>
      <c r="AA137" s="145">
        <v>0.02</v>
      </c>
      <c r="AB137" s="145">
        <v>0.02</v>
      </c>
    </row>
    <row r="138" spans="1:28">
      <c r="A138" s="68" t="s">
        <v>257</v>
      </c>
      <c r="N138" s="150">
        <v>0</v>
      </c>
      <c r="O138" s="150">
        <v>0</v>
      </c>
      <c r="P138" s="150">
        <v>0</v>
      </c>
      <c r="Q138" s="145">
        <v>0.08</v>
      </c>
      <c r="R138" s="145">
        <v>0.08</v>
      </c>
      <c r="S138" s="145">
        <v>7.0000000000000007E-2</v>
      </c>
      <c r="T138" s="145">
        <v>0.06</v>
      </c>
      <c r="U138" s="145">
        <v>0.06</v>
      </c>
      <c r="V138" s="145">
        <v>0.05</v>
      </c>
      <c r="W138" s="145">
        <v>0.05</v>
      </c>
      <c r="X138" s="145">
        <v>0.05</v>
      </c>
      <c r="Y138" s="145">
        <v>0.05</v>
      </c>
      <c r="Z138" s="145">
        <v>0.05</v>
      </c>
      <c r="AA138" s="145">
        <v>0.05</v>
      </c>
      <c r="AB138" s="145">
        <v>0.05</v>
      </c>
    </row>
    <row r="139" spans="1:28">
      <c r="A139" s="68" t="s">
        <v>259</v>
      </c>
      <c r="N139" s="150">
        <v>0</v>
      </c>
      <c r="O139" s="150">
        <v>0</v>
      </c>
      <c r="P139" s="150">
        <v>0</v>
      </c>
      <c r="Q139" s="145">
        <v>0.05</v>
      </c>
      <c r="R139" s="145">
        <v>0.05</v>
      </c>
      <c r="S139" s="145">
        <v>0.05</v>
      </c>
      <c r="T139" s="145">
        <v>0.05</v>
      </c>
      <c r="U139" s="145">
        <v>0.05</v>
      </c>
      <c r="V139" s="145">
        <v>0.04</v>
      </c>
      <c r="W139" s="145">
        <v>0.04</v>
      </c>
      <c r="X139" s="145">
        <v>0.04</v>
      </c>
      <c r="Y139" s="145">
        <v>0.04</v>
      </c>
      <c r="Z139" s="145">
        <v>0.04</v>
      </c>
      <c r="AA139" s="145">
        <v>0.04</v>
      </c>
      <c r="AB139" s="145">
        <v>0.04</v>
      </c>
    </row>
    <row r="140" spans="1:28">
      <c r="A140" s="68" t="s">
        <v>261</v>
      </c>
      <c r="N140" s="150">
        <v>0</v>
      </c>
      <c r="O140" s="150">
        <v>0</v>
      </c>
      <c r="P140" s="150">
        <v>0</v>
      </c>
      <c r="Q140" s="145">
        <v>0.25</v>
      </c>
      <c r="R140" s="145">
        <v>0.25</v>
      </c>
      <c r="S140" s="145">
        <v>0.22</v>
      </c>
      <c r="T140" s="145">
        <v>0.2</v>
      </c>
      <c r="U140" s="145">
        <v>0.18</v>
      </c>
      <c r="V140" s="145">
        <v>0.16</v>
      </c>
      <c r="W140" s="145">
        <v>0.16</v>
      </c>
      <c r="X140" s="145">
        <v>0.16</v>
      </c>
      <c r="Y140" s="145">
        <v>0.16</v>
      </c>
      <c r="Z140" s="145">
        <v>0.16</v>
      </c>
      <c r="AA140" s="145">
        <v>0.16</v>
      </c>
      <c r="AB140" s="145">
        <v>0.16</v>
      </c>
    </row>
    <row r="141" spans="1:28">
      <c r="A141" s="68" t="s">
        <v>263</v>
      </c>
      <c r="N141" s="150">
        <v>0</v>
      </c>
      <c r="O141" s="150">
        <v>0</v>
      </c>
      <c r="P141" s="150">
        <v>0</v>
      </c>
      <c r="Q141" s="145">
        <v>0.03</v>
      </c>
      <c r="R141" s="145">
        <v>0.03</v>
      </c>
      <c r="S141" s="145">
        <v>0.03</v>
      </c>
      <c r="T141" s="145">
        <v>0.03</v>
      </c>
      <c r="U141" s="145">
        <v>0.03</v>
      </c>
      <c r="V141" s="145">
        <v>0.03</v>
      </c>
      <c r="W141" s="145">
        <v>0.03</v>
      </c>
      <c r="X141" s="145">
        <v>0.03</v>
      </c>
      <c r="Y141" s="145">
        <v>0.03</v>
      </c>
      <c r="Z141" s="145">
        <v>0.03</v>
      </c>
      <c r="AA141" s="145">
        <v>0.03</v>
      </c>
      <c r="AB141" s="145">
        <v>0.03</v>
      </c>
    </row>
    <row r="142" spans="1:28">
      <c r="A142" s="68" t="s">
        <v>265</v>
      </c>
      <c r="N142" s="150">
        <v>0</v>
      </c>
      <c r="O142" s="150">
        <v>0</v>
      </c>
      <c r="P142" s="150">
        <v>0</v>
      </c>
      <c r="Q142" s="145">
        <v>0.01</v>
      </c>
      <c r="R142" s="145">
        <v>0.01</v>
      </c>
      <c r="S142" s="145">
        <v>0.01</v>
      </c>
      <c r="T142" s="145">
        <v>0.01</v>
      </c>
      <c r="U142" s="145">
        <v>0.01</v>
      </c>
      <c r="V142" s="145">
        <v>0.01</v>
      </c>
      <c r="W142" s="145">
        <v>0.01</v>
      </c>
      <c r="X142" s="145">
        <v>0.01</v>
      </c>
      <c r="Y142" s="145">
        <v>0.01</v>
      </c>
      <c r="Z142" s="145">
        <v>0.01</v>
      </c>
      <c r="AA142" s="145">
        <v>0.01</v>
      </c>
      <c r="AB142" s="145">
        <v>0.01</v>
      </c>
    </row>
    <row r="143" spans="1:28">
      <c r="A143" s="68" t="s">
        <v>267</v>
      </c>
      <c r="N143" s="150">
        <v>0</v>
      </c>
      <c r="O143" s="150">
        <v>0</v>
      </c>
      <c r="P143" s="150">
        <v>0</v>
      </c>
      <c r="Q143" s="145">
        <v>0.03</v>
      </c>
      <c r="R143" s="145">
        <v>0.03</v>
      </c>
      <c r="S143" s="145">
        <v>0.03</v>
      </c>
      <c r="T143" s="145">
        <v>0.03</v>
      </c>
      <c r="U143" s="145">
        <v>0.03</v>
      </c>
      <c r="V143" s="145">
        <v>0.03</v>
      </c>
      <c r="W143" s="145">
        <v>0.03</v>
      </c>
      <c r="X143" s="145">
        <v>0.03</v>
      </c>
      <c r="Y143" s="145">
        <v>0.03</v>
      </c>
      <c r="Z143" s="145">
        <v>0.03</v>
      </c>
      <c r="AA143" s="145">
        <v>0.03</v>
      </c>
      <c r="AB143" s="145">
        <v>0.03</v>
      </c>
    </row>
    <row r="144" spans="1:28">
      <c r="A144" s="68" t="s">
        <v>270</v>
      </c>
      <c r="N144" s="150">
        <v>0</v>
      </c>
      <c r="O144" s="150">
        <v>0</v>
      </c>
      <c r="P144" s="150">
        <v>0</v>
      </c>
      <c r="Q144" s="145">
        <v>0.03</v>
      </c>
      <c r="R144" s="145">
        <v>0.03</v>
      </c>
      <c r="S144" s="145">
        <v>0.03</v>
      </c>
      <c r="T144" s="145">
        <v>0.03</v>
      </c>
      <c r="U144" s="145">
        <v>0.03</v>
      </c>
      <c r="V144" s="145">
        <v>0.03</v>
      </c>
      <c r="W144" s="145">
        <v>0.03</v>
      </c>
      <c r="X144" s="145">
        <v>0.03</v>
      </c>
      <c r="Y144" s="145">
        <v>0.03</v>
      </c>
      <c r="Z144" s="145">
        <v>0.03</v>
      </c>
      <c r="AA144" s="145">
        <v>0.03</v>
      </c>
      <c r="AB144" s="145">
        <v>0.03</v>
      </c>
    </row>
    <row r="145" spans="1:28">
      <c r="A145" s="68" t="s">
        <v>285</v>
      </c>
      <c r="N145" s="150">
        <v>0</v>
      </c>
      <c r="O145" s="150">
        <v>0</v>
      </c>
      <c r="P145" s="150">
        <v>0</v>
      </c>
      <c r="Q145" s="150">
        <v>0</v>
      </c>
      <c r="R145" s="150">
        <v>0</v>
      </c>
      <c r="S145" s="145">
        <v>0.12</v>
      </c>
      <c r="T145" s="145">
        <v>0.12</v>
      </c>
      <c r="U145" s="145">
        <v>0.13</v>
      </c>
      <c r="V145" s="145">
        <v>0.14000000000000001</v>
      </c>
      <c r="W145" s="145">
        <v>0.14000000000000001</v>
      </c>
      <c r="X145" s="145">
        <v>0.14000000000000001</v>
      </c>
      <c r="Y145" s="145">
        <v>0.14000000000000001</v>
      </c>
      <c r="Z145" s="145">
        <v>0.14000000000000001</v>
      </c>
      <c r="AA145" s="145">
        <v>0.14000000000000001</v>
      </c>
      <c r="AB145" s="145">
        <v>0.14000000000000001</v>
      </c>
    </row>
    <row r="146" spans="1:28">
      <c r="A146" s="68" t="s">
        <v>498</v>
      </c>
      <c r="N146" s="150">
        <v>0</v>
      </c>
      <c r="O146" s="150">
        <v>0</v>
      </c>
      <c r="P146" s="150">
        <v>0</v>
      </c>
      <c r="Q146" s="150">
        <v>0</v>
      </c>
      <c r="R146" s="150">
        <v>0</v>
      </c>
      <c r="S146" s="150">
        <v>0</v>
      </c>
      <c r="T146" s="145">
        <v>0.06</v>
      </c>
      <c r="U146" s="145">
        <v>7.0000000000000007E-2</v>
      </c>
      <c r="V146" s="145">
        <v>0.08</v>
      </c>
      <c r="W146" s="145">
        <v>0.08</v>
      </c>
      <c r="X146" s="145">
        <v>0.08</v>
      </c>
      <c r="Y146" s="145">
        <v>0.08</v>
      </c>
      <c r="Z146" s="145">
        <v>0.08</v>
      </c>
      <c r="AA146" s="145">
        <v>0.08</v>
      </c>
      <c r="AB146" s="145">
        <v>0.08</v>
      </c>
    </row>
    <row r="147" spans="1:28">
      <c r="A147" s="68" t="s">
        <v>275</v>
      </c>
      <c r="N147" s="150">
        <v>0</v>
      </c>
      <c r="O147" s="150">
        <v>0</v>
      </c>
      <c r="P147" s="150">
        <v>0</v>
      </c>
      <c r="Q147" s="150">
        <v>0</v>
      </c>
      <c r="R147" s="150">
        <v>0</v>
      </c>
      <c r="S147" s="145">
        <v>0.08</v>
      </c>
      <c r="T147" s="145">
        <v>0.08</v>
      </c>
      <c r="U147" s="145">
        <v>0.08</v>
      </c>
      <c r="V147" s="145">
        <v>0.08</v>
      </c>
      <c r="W147" s="145">
        <v>0.08</v>
      </c>
      <c r="X147" s="145">
        <v>0.08</v>
      </c>
      <c r="Y147" s="145">
        <v>0.08</v>
      </c>
      <c r="Z147" s="145">
        <v>0.08</v>
      </c>
      <c r="AA147" s="145">
        <v>0.08</v>
      </c>
      <c r="AB147" s="145">
        <v>0.08</v>
      </c>
    </row>
    <row r="148" spans="1:28">
      <c r="A148" s="68" t="s">
        <v>277</v>
      </c>
      <c r="N148" s="150">
        <v>0</v>
      </c>
      <c r="O148" s="150">
        <v>0</v>
      </c>
      <c r="P148" s="150">
        <v>0</v>
      </c>
      <c r="Q148" s="150">
        <v>0</v>
      </c>
      <c r="R148" s="150">
        <v>0</v>
      </c>
      <c r="S148" s="150">
        <v>0</v>
      </c>
      <c r="T148" s="150">
        <v>0</v>
      </c>
      <c r="U148" s="150">
        <v>0</v>
      </c>
      <c r="V148" s="145">
        <v>0.01</v>
      </c>
      <c r="W148" s="145">
        <v>0.01</v>
      </c>
      <c r="X148" s="145">
        <v>0.01</v>
      </c>
      <c r="Y148" s="145">
        <v>0.01</v>
      </c>
      <c r="Z148" s="145">
        <v>0.01</v>
      </c>
      <c r="AA148" s="145">
        <v>0.01</v>
      </c>
      <c r="AB148" s="145">
        <v>0.01</v>
      </c>
    </row>
    <row r="149" spans="1:28">
      <c r="A149" s="68" t="s">
        <v>279</v>
      </c>
      <c r="N149" s="150">
        <v>0</v>
      </c>
      <c r="O149" s="150">
        <v>0</v>
      </c>
      <c r="P149" s="150">
        <v>0</v>
      </c>
      <c r="Q149" s="150">
        <v>0</v>
      </c>
      <c r="R149" s="150">
        <v>0</v>
      </c>
      <c r="S149" s="150">
        <v>0</v>
      </c>
      <c r="T149" s="145">
        <v>7.0000000000000007E-2</v>
      </c>
      <c r="U149" s="145">
        <v>0.08</v>
      </c>
      <c r="V149" s="145">
        <v>0.08</v>
      </c>
      <c r="W149" s="145">
        <v>0.08</v>
      </c>
      <c r="X149" s="145">
        <v>0.08</v>
      </c>
      <c r="Y149" s="145">
        <v>0.08</v>
      </c>
      <c r="Z149" s="145">
        <v>0.08</v>
      </c>
      <c r="AA149" s="145">
        <v>0.08</v>
      </c>
      <c r="AB149" s="145">
        <v>0.08</v>
      </c>
    </row>
    <row r="150" spans="1:28">
      <c r="A150" s="68" t="s">
        <v>281</v>
      </c>
      <c r="N150" s="150">
        <v>0</v>
      </c>
      <c r="O150" s="150">
        <v>0</v>
      </c>
      <c r="P150" s="150">
        <v>0</v>
      </c>
      <c r="Q150" s="150">
        <v>0</v>
      </c>
      <c r="R150" s="150">
        <v>0</v>
      </c>
      <c r="S150" s="150">
        <v>0</v>
      </c>
      <c r="T150" s="150">
        <v>0</v>
      </c>
      <c r="U150" s="145">
        <v>0.02</v>
      </c>
      <c r="V150" s="145">
        <v>0.02</v>
      </c>
      <c r="W150" s="145">
        <v>0.02</v>
      </c>
      <c r="X150" s="145">
        <v>0.02</v>
      </c>
      <c r="Y150" s="145">
        <v>0.02</v>
      </c>
      <c r="Z150" s="145">
        <v>0.02</v>
      </c>
      <c r="AA150" s="145">
        <v>0.02</v>
      </c>
      <c r="AB150" s="145">
        <v>0.02</v>
      </c>
    </row>
    <row r="151" spans="1:28">
      <c r="A151" s="68" t="s">
        <v>283</v>
      </c>
      <c r="N151" s="150">
        <v>0</v>
      </c>
      <c r="O151" s="150">
        <v>0</v>
      </c>
      <c r="P151" s="150">
        <v>0</v>
      </c>
      <c r="Q151" s="150">
        <v>0</v>
      </c>
      <c r="R151" s="150">
        <v>0</v>
      </c>
      <c r="S151" s="150">
        <v>0</v>
      </c>
      <c r="T151" s="145">
        <v>0.05</v>
      </c>
      <c r="U151" s="145">
        <v>0.06</v>
      </c>
      <c r="V151" s="145">
        <v>0.06</v>
      </c>
      <c r="W151" s="145">
        <v>0.06</v>
      </c>
      <c r="X151" s="145">
        <v>0.06</v>
      </c>
      <c r="Y151" s="145">
        <v>0.06</v>
      </c>
      <c r="Z151" s="145">
        <v>0.06</v>
      </c>
      <c r="AA151" s="145">
        <v>0.06</v>
      </c>
      <c r="AB151" s="145">
        <v>0.06</v>
      </c>
    </row>
    <row r="153" spans="1:28" s="86" customFormat="1" ht="13.8" customHeight="1">
      <c r="A153" s="86" t="s">
        <v>621</v>
      </c>
      <c r="N153" s="87"/>
    </row>
    <row r="155" spans="1:28">
      <c r="A155" s="80" t="s">
        <v>547</v>
      </c>
    </row>
    <row r="156" spans="1:28">
      <c r="A156" s="68" t="s">
        <v>253</v>
      </c>
      <c r="N156" s="150">
        <v>0</v>
      </c>
      <c r="O156" s="150">
        <v>0</v>
      </c>
      <c r="P156" s="150">
        <v>0</v>
      </c>
      <c r="Q156" s="145">
        <v>0.1</v>
      </c>
      <c r="R156" s="145">
        <v>0.1</v>
      </c>
      <c r="S156" s="145">
        <v>0.08</v>
      </c>
      <c r="T156" s="145">
        <v>7.0000000000000007E-2</v>
      </c>
      <c r="U156" s="145">
        <v>0.06</v>
      </c>
      <c r="V156" s="145">
        <v>0.05</v>
      </c>
      <c r="W156" s="145">
        <v>0.05</v>
      </c>
      <c r="X156" s="145">
        <v>0.05</v>
      </c>
      <c r="Y156" s="145">
        <v>0.05</v>
      </c>
      <c r="Z156" s="145">
        <v>0.05</v>
      </c>
      <c r="AA156" s="145">
        <v>0.05</v>
      </c>
      <c r="AB156" s="145">
        <v>0.05</v>
      </c>
    </row>
    <row r="157" spans="1:28">
      <c r="A157" s="68" t="s">
        <v>255</v>
      </c>
      <c r="N157" s="150">
        <v>0</v>
      </c>
      <c r="O157" s="150">
        <v>0</v>
      </c>
      <c r="P157" s="150">
        <v>0</v>
      </c>
      <c r="Q157" s="145">
        <v>0.05</v>
      </c>
      <c r="R157" s="145">
        <v>0.05</v>
      </c>
      <c r="S157" s="145">
        <v>0.04</v>
      </c>
      <c r="T157" s="145">
        <v>0.04</v>
      </c>
      <c r="U157" s="145">
        <v>0.04</v>
      </c>
      <c r="V157" s="145">
        <v>0.03</v>
      </c>
      <c r="W157" s="145">
        <v>0.03</v>
      </c>
      <c r="X157" s="145">
        <v>0.03</v>
      </c>
      <c r="Y157" s="145">
        <v>0.03</v>
      </c>
      <c r="Z157" s="145">
        <v>0.03</v>
      </c>
      <c r="AA157" s="145">
        <v>0.03</v>
      </c>
      <c r="AB157" s="145">
        <v>0.03</v>
      </c>
    </row>
    <row r="158" spans="1:28">
      <c r="A158" s="68" t="s">
        <v>257</v>
      </c>
      <c r="N158" s="150">
        <v>0</v>
      </c>
      <c r="O158" s="150">
        <v>0</v>
      </c>
      <c r="P158" s="150">
        <v>0</v>
      </c>
      <c r="Q158" s="145">
        <v>0.15</v>
      </c>
      <c r="R158" s="145">
        <v>0.15</v>
      </c>
      <c r="S158" s="145">
        <v>0.12</v>
      </c>
      <c r="T158" s="145">
        <v>0.1</v>
      </c>
      <c r="U158" s="145">
        <v>0.09</v>
      </c>
      <c r="V158" s="145">
        <v>0.08</v>
      </c>
      <c r="W158" s="145">
        <v>0.08</v>
      </c>
      <c r="X158" s="145">
        <v>0.08</v>
      </c>
      <c r="Y158" s="145">
        <v>0.08</v>
      </c>
      <c r="Z158" s="145">
        <v>0.08</v>
      </c>
      <c r="AA158" s="145">
        <v>0.08</v>
      </c>
      <c r="AB158" s="145">
        <v>0.08</v>
      </c>
    </row>
    <row r="159" spans="1:28">
      <c r="A159" s="68" t="s">
        <v>259</v>
      </c>
      <c r="N159" s="150">
        <v>0</v>
      </c>
      <c r="O159" s="150">
        <v>0</v>
      </c>
      <c r="P159" s="150">
        <v>0</v>
      </c>
      <c r="Q159" s="145">
        <v>0.08</v>
      </c>
      <c r="R159" s="145">
        <v>0.08</v>
      </c>
      <c r="S159" s="145">
        <v>7.0000000000000007E-2</v>
      </c>
      <c r="T159" s="145">
        <v>0.06</v>
      </c>
      <c r="U159" s="145">
        <v>0.06</v>
      </c>
      <c r="V159" s="145">
        <v>0.05</v>
      </c>
      <c r="W159" s="145">
        <v>0.05</v>
      </c>
      <c r="X159" s="145">
        <v>0.05</v>
      </c>
      <c r="Y159" s="145">
        <v>0.05</v>
      </c>
      <c r="Z159" s="145">
        <v>0.05</v>
      </c>
      <c r="AA159" s="145">
        <v>0.05</v>
      </c>
      <c r="AB159" s="145">
        <v>0.05</v>
      </c>
    </row>
    <row r="160" spans="1:28">
      <c r="A160" s="68" t="s">
        <v>261</v>
      </c>
      <c r="N160" s="150">
        <v>0</v>
      </c>
      <c r="O160" s="150">
        <v>0</v>
      </c>
      <c r="P160" s="150">
        <v>0</v>
      </c>
      <c r="Q160" s="145">
        <v>0.2</v>
      </c>
      <c r="R160" s="145">
        <v>0.2</v>
      </c>
      <c r="S160" s="145">
        <v>0.18</v>
      </c>
      <c r="T160" s="145">
        <v>0.15</v>
      </c>
      <c r="U160" s="145">
        <v>0.14000000000000001</v>
      </c>
      <c r="V160" s="145">
        <v>0.12</v>
      </c>
      <c r="W160" s="145">
        <v>0.12</v>
      </c>
      <c r="X160" s="145">
        <v>0.12</v>
      </c>
      <c r="Y160" s="145">
        <v>0.12</v>
      </c>
      <c r="Z160" s="145">
        <v>0.12</v>
      </c>
      <c r="AA160" s="145">
        <v>0.12</v>
      </c>
      <c r="AB160" s="145">
        <v>0.12</v>
      </c>
    </row>
    <row r="161" spans="1:28">
      <c r="A161" s="68" t="s">
        <v>263</v>
      </c>
      <c r="N161" s="150">
        <v>0</v>
      </c>
      <c r="O161" s="150">
        <v>0</v>
      </c>
      <c r="P161" s="150">
        <v>0</v>
      </c>
      <c r="Q161" s="145">
        <v>0.03</v>
      </c>
      <c r="R161" s="145">
        <v>0.03</v>
      </c>
      <c r="S161" s="145">
        <v>0.03</v>
      </c>
      <c r="T161" s="145">
        <v>0.03</v>
      </c>
      <c r="U161" s="145">
        <v>0.03</v>
      </c>
      <c r="V161" s="145">
        <v>0.02</v>
      </c>
      <c r="W161" s="145">
        <v>0.02</v>
      </c>
      <c r="X161" s="145">
        <v>0.02</v>
      </c>
      <c r="Y161" s="145">
        <v>0.02</v>
      </c>
      <c r="Z161" s="145">
        <v>0.02</v>
      </c>
      <c r="AA161" s="145">
        <v>0.02</v>
      </c>
      <c r="AB161" s="145">
        <v>0.02</v>
      </c>
    </row>
    <row r="162" spans="1:28">
      <c r="A162" s="68" t="s">
        <v>265</v>
      </c>
      <c r="N162" s="150">
        <v>0</v>
      </c>
      <c r="O162" s="150">
        <v>0</v>
      </c>
      <c r="P162" s="150">
        <v>0</v>
      </c>
      <c r="Q162" s="145">
        <v>0.01</v>
      </c>
      <c r="R162" s="145">
        <v>0.01</v>
      </c>
      <c r="S162" s="145">
        <v>0.01</v>
      </c>
      <c r="T162" s="145">
        <v>0.01</v>
      </c>
      <c r="U162" s="145">
        <v>0.01</v>
      </c>
      <c r="V162" s="145">
        <v>0.01</v>
      </c>
      <c r="W162" s="145">
        <v>0.01</v>
      </c>
      <c r="X162" s="145">
        <v>0.01</v>
      </c>
      <c r="Y162" s="145">
        <v>0.01</v>
      </c>
      <c r="Z162" s="145">
        <v>0.01</v>
      </c>
      <c r="AA162" s="145">
        <v>0.01</v>
      </c>
      <c r="AB162" s="145">
        <v>0.01</v>
      </c>
    </row>
    <row r="163" spans="1:28">
      <c r="A163" s="68" t="s">
        <v>267</v>
      </c>
      <c r="N163" s="150">
        <v>0</v>
      </c>
      <c r="O163" s="150">
        <v>0</v>
      </c>
      <c r="P163" s="150">
        <v>0</v>
      </c>
      <c r="Q163" s="145">
        <v>0.05</v>
      </c>
      <c r="R163" s="145">
        <v>0.05</v>
      </c>
      <c r="S163" s="145">
        <v>0.05</v>
      </c>
      <c r="T163" s="145">
        <v>0.04</v>
      </c>
      <c r="U163" s="145">
        <v>0.04</v>
      </c>
      <c r="V163" s="145">
        <v>0.04</v>
      </c>
      <c r="W163" s="145">
        <v>0.04</v>
      </c>
      <c r="X163" s="145">
        <v>0.04</v>
      </c>
      <c r="Y163" s="145">
        <v>0.04</v>
      </c>
      <c r="Z163" s="145">
        <v>0.04</v>
      </c>
      <c r="AA163" s="145">
        <v>0.04</v>
      </c>
      <c r="AB163" s="145">
        <v>0.04</v>
      </c>
    </row>
    <row r="164" spans="1:28">
      <c r="A164" s="68" t="s">
        <v>270</v>
      </c>
      <c r="N164" s="150">
        <v>0</v>
      </c>
      <c r="O164" s="150">
        <v>0</v>
      </c>
      <c r="P164" s="150">
        <v>0</v>
      </c>
      <c r="Q164" s="145">
        <v>0.04</v>
      </c>
      <c r="R164" s="145">
        <v>0.04</v>
      </c>
      <c r="S164" s="145">
        <v>0.04</v>
      </c>
      <c r="T164" s="145">
        <v>0.03</v>
      </c>
      <c r="U164" s="145">
        <v>0.03</v>
      </c>
      <c r="V164" s="145">
        <v>0.03</v>
      </c>
      <c r="W164" s="145">
        <v>0.03</v>
      </c>
      <c r="X164" s="145">
        <v>0.03</v>
      </c>
      <c r="Y164" s="145">
        <v>0.03</v>
      </c>
      <c r="Z164" s="145">
        <v>0.03</v>
      </c>
      <c r="AA164" s="145">
        <v>0.03</v>
      </c>
      <c r="AB164" s="145">
        <v>0.03</v>
      </c>
    </row>
    <row r="165" spans="1:28">
      <c r="A165" s="68" t="s">
        <v>285</v>
      </c>
      <c r="N165" s="150">
        <v>0</v>
      </c>
      <c r="O165" s="150">
        <v>0</v>
      </c>
      <c r="P165" s="150">
        <v>0</v>
      </c>
      <c r="Q165" s="150">
        <v>0</v>
      </c>
      <c r="R165" s="150">
        <v>0</v>
      </c>
      <c r="S165" s="145">
        <v>0.1</v>
      </c>
      <c r="T165" s="145">
        <v>0.12</v>
      </c>
      <c r="U165" s="145">
        <v>0.13</v>
      </c>
      <c r="V165" s="145">
        <v>0.15</v>
      </c>
      <c r="W165" s="145">
        <v>0.15</v>
      </c>
      <c r="X165" s="145">
        <v>0.15</v>
      </c>
      <c r="Y165" s="145">
        <v>0.15</v>
      </c>
      <c r="Z165" s="145">
        <v>0.15</v>
      </c>
      <c r="AA165" s="145">
        <v>0.15</v>
      </c>
      <c r="AB165" s="145">
        <v>0.15</v>
      </c>
    </row>
    <row r="166" spans="1:28">
      <c r="A166" s="68" t="s">
        <v>498</v>
      </c>
      <c r="N166" s="150">
        <v>0</v>
      </c>
      <c r="O166" s="150">
        <v>0</v>
      </c>
      <c r="P166" s="150">
        <v>0</v>
      </c>
      <c r="Q166" s="150">
        <v>0</v>
      </c>
      <c r="R166" s="150">
        <v>0</v>
      </c>
      <c r="S166" s="150">
        <v>0</v>
      </c>
      <c r="T166" s="145">
        <v>0.12</v>
      </c>
      <c r="U166" s="145">
        <v>0.13</v>
      </c>
      <c r="V166" s="145">
        <v>0.14000000000000001</v>
      </c>
      <c r="W166" s="145">
        <v>0.14000000000000001</v>
      </c>
      <c r="X166" s="145">
        <v>0.14000000000000001</v>
      </c>
      <c r="Y166" s="145">
        <v>0.14000000000000001</v>
      </c>
      <c r="Z166" s="145">
        <v>0.14000000000000001</v>
      </c>
      <c r="AA166" s="145">
        <v>0.14000000000000001</v>
      </c>
      <c r="AB166" s="145">
        <v>0.14000000000000001</v>
      </c>
    </row>
    <row r="167" spans="1:28">
      <c r="A167" s="68" t="s">
        <v>275</v>
      </c>
      <c r="N167" s="150">
        <v>0</v>
      </c>
      <c r="O167" s="150">
        <v>0</v>
      </c>
      <c r="P167" s="150">
        <v>0</v>
      </c>
      <c r="Q167" s="150">
        <v>0</v>
      </c>
      <c r="R167" s="150">
        <v>0</v>
      </c>
      <c r="S167" s="145">
        <v>0.08</v>
      </c>
      <c r="T167" s="145">
        <v>0.08</v>
      </c>
      <c r="U167" s="145">
        <v>0.08</v>
      </c>
      <c r="V167" s="145">
        <v>0.08</v>
      </c>
      <c r="W167" s="145">
        <v>0.08</v>
      </c>
      <c r="X167" s="145">
        <v>0.08</v>
      </c>
      <c r="Y167" s="145">
        <v>0.08</v>
      </c>
      <c r="Z167" s="145">
        <v>0.08</v>
      </c>
      <c r="AA167" s="145">
        <v>0.08</v>
      </c>
      <c r="AB167" s="145">
        <v>0.08</v>
      </c>
    </row>
    <row r="168" spans="1:28">
      <c r="A168" s="68" t="s">
        <v>277</v>
      </c>
      <c r="N168" s="150">
        <v>0</v>
      </c>
      <c r="O168" s="150">
        <v>0</v>
      </c>
      <c r="P168" s="150">
        <v>0</v>
      </c>
      <c r="Q168" s="150">
        <v>0</v>
      </c>
      <c r="R168" s="150">
        <v>0</v>
      </c>
      <c r="S168" s="150">
        <v>0</v>
      </c>
      <c r="T168" s="150">
        <v>0</v>
      </c>
      <c r="U168" s="150">
        <v>0</v>
      </c>
      <c r="V168" s="153">
        <v>5.0000000000000001E-3</v>
      </c>
      <c r="W168" s="153">
        <v>5.0000000000000001E-3</v>
      </c>
      <c r="X168" s="153">
        <v>5.0000000000000001E-3</v>
      </c>
      <c r="Y168" s="153">
        <v>5.0000000000000001E-3</v>
      </c>
      <c r="Z168" s="153">
        <v>5.0000000000000001E-3</v>
      </c>
      <c r="AA168" s="153">
        <v>5.0000000000000001E-3</v>
      </c>
      <c r="AB168" s="153">
        <v>5.0000000000000001E-3</v>
      </c>
    </row>
    <row r="169" spans="1:28">
      <c r="A169" s="68" t="s">
        <v>279</v>
      </c>
      <c r="N169" s="150">
        <v>0</v>
      </c>
      <c r="O169" s="150">
        <v>0</v>
      </c>
      <c r="P169" s="150">
        <v>0</v>
      </c>
      <c r="Q169" s="150">
        <v>0</v>
      </c>
      <c r="R169" s="150">
        <v>0</v>
      </c>
      <c r="S169" s="150">
        <v>0</v>
      </c>
      <c r="T169" s="145">
        <v>0.1</v>
      </c>
      <c r="U169" s="145">
        <v>0.12</v>
      </c>
      <c r="V169" s="145">
        <v>0.14000000000000001</v>
      </c>
      <c r="W169" s="145">
        <v>0.14000000000000001</v>
      </c>
      <c r="X169" s="145">
        <v>0.14000000000000001</v>
      </c>
      <c r="Y169" s="145">
        <v>0.14000000000000001</v>
      </c>
      <c r="Z169" s="145">
        <v>0.14000000000000001</v>
      </c>
      <c r="AA169" s="145">
        <v>0.14000000000000001</v>
      </c>
      <c r="AB169" s="145">
        <v>0.14000000000000001</v>
      </c>
    </row>
    <row r="170" spans="1:28">
      <c r="A170" s="68" t="s">
        <v>281</v>
      </c>
      <c r="N170" s="150">
        <v>0</v>
      </c>
      <c r="O170" s="150">
        <v>0</v>
      </c>
      <c r="P170" s="150">
        <v>0</v>
      </c>
      <c r="Q170" s="150">
        <v>0</v>
      </c>
      <c r="R170" s="150">
        <v>0</v>
      </c>
      <c r="S170" s="150">
        <v>0</v>
      </c>
      <c r="T170" s="150">
        <v>0</v>
      </c>
      <c r="U170" s="145">
        <v>0.02</v>
      </c>
      <c r="V170" s="145">
        <v>0.02</v>
      </c>
      <c r="W170" s="145">
        <v>0.02</v>
      </c>
      <c r="X170" s="145">
        <v>0.02</v>
      </c>
      <c r="Y170" s="145">
        <v>0.02</v>
      </c>
      <c r="Z170" s="145">
        <v>0.02</v>
      </c>
      <c r="AA170" s="145">
        <v>0.02</v>
      </c>
      <c r="AB170" s="145">
        <v>0.02</v>
      </c>
    </row>
    <row r="171" spans="1:28">
      <c r="A171" s="68" t="s">
        <v>283</v>
      </c>
      <c r="N171" s="150">
        <v>0</v>
      </c>
      <c r="O171" s="150">
        <v>0</v>
      </c>
      <c r="P171" s="150">
        <v>0</v>
      </c>
      <c r="Q171" s="150">
        <v>0</v>
      </c>
      <c r="R171" s="150">
        <v>0</v>
      </c>
      <c r="S171" s="150">
        <v>0</v>
      </c>
      <c r="T171" s="145">
        <v>0.05</v>
      </c>
      <c r="U171" s="145">
        <v>0.06</v>
      </c>
      <c r="V171" s="145">
        <v>0.06</v>
      </c>
      <c r="W171" s="145">
        <v>0.06</v>
      </c>
      <c r="X171" s="145">
        <v>0.06</v>
      </c>
      <c r="Y171" s="145">
        <v>0.06</v>
      </c>
      <c r="Z171" s="145">
        <v>0.06</v>
      </c>
      <c r="AA171" s="145">
        <v>0.06</v>
      </c>
      <c r="AB171" s="145">
        <v>0.06</v>
      </c>
    </row>
    <row r="172" spans="1:28"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</row>
    <row r="173" spans="1:28" s="86" customFormat="1" ht="13.8" customHeight="1">
      <c r="A173" s="86" t="s">
        <v>623</v>
      </c>
      <c r="N173" s="87"/>
    </row>
    <row r="175" spans="1:28">
      <c r="A175" s="80" t="s">
        <v>547</v>
      </c>
    </row>
    <row r="176" spans="1:28">
      <c r="A176" s="68" t="s">
        <v>253</v>
      </c>
      <c r="N176" s="188">
        <v>0</v>
      </c>
      <c r="O176" s="188">
        <v>0</v>
      </c>
      <c r="P176" s="188">
        <v>0</v>
      </c>
      <c r="Q176" s="189">
        <v>144000</v>
      </c>
      <c r="R176" s="189">
        <v>162720</v>
      </c>
      <c r="S176" s="189">
        <v>183874</v>
      </c>
      <c r="T176" s="189">
        <v>207778</v>
      </c>
      <c r="U176" s="189">
        <v>234788</v>
      </c>
      <c r="V176" s="189">
        <v>265312</v>
      </c>
      <c r="W176" s="189">
        <v>299802</v>
      </c>
      <c r="X176" s="189">
        <v>338777</v>
      </c>
      <c r="Y176" s="189">
        <v>382818</v>
      </c>
      <c r="Z176" s="189">
        <v>432584</v>
      </c>
      <c r="AA176" s="189">
        <v>488820</v>
      </c>
      <c r="AB176" s="189">
        <v>552366</v>
      </c>
    </row>
    <row r="177" spans="1:28">
      <c r="A177" s="68" t="s">
        <v>255</v>
      </c>
      <c r="N177" s="188">
        <v>0</v>
      </c>
      <c r="O177" s="188">
        <v>0</v>
      </c>
      <c r="P177" s="188">
        <v>0</v>
      </c>
      <c r="Q177" s="189">
        <v>28750</v>
      </c>
      <c r="R177" s="189">
        <v>32488</v>
      </c>
      <c r="S177" s="189">
        <v>36610</v>
      </c>
      <c r="T177" s="189">
        <v>41484</v>
      </c>
      <c r="U177" s="189">
        <v>46877</v>
      </c>
      <c r="V177" s="189">
        <v>52971</v>
      </c>
      <c r="W177" s="189">
        <v>59858</v>
      </c>
      <c r="X177" s="189">
        <v>67639</v>
      </c>
      <c r="Y177" s="189">
        <v>76433</v>
      </c>
      <c r="Z177" s="189">
        <v>86367</v>
      </c>
      <c r="AA177" s="189">
        <v>97695</v>
      </c>
      <c r="AB177" s="189">
        <v>110280</v>
      </c>
    </row>
    <row r="178" spans="1:28">
      <c r="A178" s="68" t="s">
        <v>257</v>
      </c>
      <c r="N178" s="188">
        <v>0</v>
      </c>
      <c r="O178" s="188">
        <v>0</v>
      </c>
      <c r="P178" s="188">
        <v>0</v>
      </c>
      <c r="Q178" s="189">
        <v>57500</v>
      </c>
      <c r="R178" s="189">
        <v>64975</v>
      </c>
      <c r="S178" s="189">
        <v>73422</v>
      </c>
      <c r="T178" s="189">
        <v>82967</v>
      </c>
      <c r="U178" s="189">
        <v>93753</v>
      </c>
      <c r="V178" s="189">
        <v>105940</v>
      </c>
      <c r="W178" s="189">
        <v>119713</v>
      </c>
      <c r="X178" s="189">
        <v>135276</v>
      </c>
      <c r="Y178" s="189">
        <v>152862</v>
      </c>
      <c r="Z178" s="189">
        <v>172734</v>
      </c>
      <c r="AA178" s="189">
        <v>195189</v>
      </c>
      <c r="AB178" s="189">
        <v>220563</v>
      </c>
    </row>
    <row r="179" spans="1:28">
      <c r="A179" s="68" t="s">
        <v>259</v>
      </c>
      <c r="N179" s="188">
        <v>0</v>
      </c>
      <c r="O179" s="188">
        <v>0</v>
      </c>
      <c r="P179" s="188">
        <v>0</v>
      </c>
      <c r="Q179" s="189">
        <v>86250</v>
      </c>
      <c r="R179" s="189">
        <v>97463</v>
      </c>
      <c r="S179" s="189">
        <v>110133</v>
      </c>
      <c r="T179" s="189">
        <v>124450</v>
      </c>
      <c r="U179" s="189">
        <v>140628</v>
      </c>
      <c r="V179" s="189">
        <v>158909</v>
      </c>
      <c r="W179" s="189">
        <v>179568</v>
      </c>
      <c r="X179" s="189">
        <v>202911</v>
      </c>
      <c r="Y179" s="189">
        <v>229289</v>
      </c>
      <c r="Z179" s="189">
        <v>259096</v>
      </c>
      <c r="AA179" s="189">
        <v>292779</v>
      </c>
      <c r="AB179" s="189">
        <v>330840</v>
      </c>
    </row>
    <row r="180" spans="1:28">
      <c r="A180" s="68" t="s">
        <v>261</v>
      </c>
      <c r="N180" s="188">
        <v>0</v>
      </c>
      <c r="O180" s="188">
        <v>0</v>
      </c>
      <c r="P180" s="188">
        <v>0</v>
      </c>
      <c r="Q180" s="189">
        <v>92000</v>
      </c>
      <c r="R180" s="189">
        <v>103960</v>
      </c>
      <c r="S180" s="189">
        <v>117475</v>
      </c>
      <c r="T180" s="189">
        <v>132747</v>
      </c>
      <c r="U180" s="189">
        <v>149004</v>
      </c>
      <c r="V180" s="189">
        <v>169504</v>
      </c>
      <c r="W180" s="189">
        <v>191539</v>
      </c>
      <c r="X180" s="189">
        <v>216439</v>
      </c>
      <c r="Y180" s="189">
        <v>244576</v>
      </c>
      <c r="Z180" s="189">
        <v>276372</v>
      </c>
      <c r="AA180" s="189">
        <v>312300</v>
      </c>
      <c r="AB180" s="189">
        <v>352899</v>
      </c>
    </row>
    <row r="181" spans="1:28">
      <c r="A181" s="68" t="s">
        <v>263</v>
      </c>
      <c r="N181" s="188">
        <v>0</v>
      </c>
      <c r="O181" s="188">
        <v>0</v>
      </c>
      <c r="P181" s="188">
        <v>0</v>
      </c>
      <c r="Q181" s="189">
        <v>74750</v>
      </c>
      <c r="R181" s="189">
        <v>84468</v>
      </c>
      <c r="S181" s="189">
        <v>95449</v>
      </c>
      <c r="T181" s="189">
        <v>107858</v>
      </c>
      <c r="U181" s="189">
        <v>121879</v>
      </c>
      <c r="V181" s="189">
        <v>137723</v>
      </c>
      <c r="W181" s="189">
        <v>155627</v>
      </c>
      <c r="X181" s="189">
        <v>175859</v>
      </c>
      <c r="Y181" s="189">
        <v>198720</v>
      </c>
      <c r="Z181" s="189">
        <v>224554</v>
      </c>
      <c r="AA181" s="189">
        <v>253745</v>
      </c>
      <c r="AB181" s="189">
        <v>286732</v>
      </c>
    </row>
    <row r="182" spans="1:28">
      <c r="A182" s="68" t="s">
        <v>265</v>
      </c>
      <c r="N182" s="188">
        <v>0</v>
      </c>
      <c r="O182" s="188">
        <v>0</v>
      </c>
      <c r="P182" s="188">
        <v>0</v>
      </c>
      <c r="Q182" s="189">
        <v>11500</v>
      </c>
      <c r="R182" s="189">
        <v>12995</v>
      </c>
      <c r="S182" s="189">
        <v>14684</v>
      </c>
      <c r="T182" s="189">
        <v>16593</v>
      </c>
      <c r="U182" s="189">
        <v>18750</v>
      </c>
      <c r="V182" s="189">
        <v>21186</v>
      </c>
      <c r="W182" s="189">
        <v>23939</v>
      </c>
      <c r="X182" s="189">
        <v>27052</v>
      </c>
      <c r="Y182" s="189">
        <v>30573</v>
      </c>
      <c r="Z182" s="189">
        <v>34552</v>
      </c>
      <c r="AA182" s="189">
        <v>39043</v>
      </c>
      <c r="AB182" s="189">
        <v>44119</v>
      </c>
    </row>
    <row r="183" spans="1:28">
      <c r="A183" s="68" t="s">
        <v>267</v>
      </c>
      <c r="N183" s="188">
        <v>0</v>
      </c>
      <c r="O183" s="188">
        <v>0</v>
      </c>
      <c r="P183" s="188">
        <v>0</v>
      </c>
      <c r="Q183" s="189">
        <v>108000</v>
      </c>
      <c r="R183" s="189">
        <v>122040</v>
      </c>
      <c r="S183" s="189">
        <v>137905</v>
      </c>
      <c r="T183" s="189">
        <v>155833</v>
      </c>
      <c r="U183" s="189">
        <v>176092</v>
      </c>
      <c r="V183" s="189">
        <v>199483</v>
      </c>
      <c r="W183" s="189">
        <v>224850</v>
      </c>
      <c r="X183" s="189">
        <v>254081</v>
      </c>
      <c r="Y183" s="189">
        <v>287112</v>
      </c>
      <c r="Z183" s="189">
        <v>324437</v>
      </c>
      <c r="AA183" s="189">
        <v>366613</v>
      </c>
      <c r="AB183" s="189">
        <v>414272</v>
      </c>
    </row>
    <row r="184" spans="1:28">
      <c r="A184" s="68" t="s">
        <v>270</v>
      </c>
      <c r="N184" s="188">
        <v>0</v>
      </c>
      <c r="O184" s="188">
        <v>0</v>
      </c>
      <c r="P184" s="188">
        <v>0</v>
      </c>
      <c r="Q184" s="189">
        <v>46000</v>
      </c>
      <c r="R184" s="189">
        <v>51980</v>
      </c>
      <c r="S184" s="189">
        <v>58737</v>
      </c>
      <c r="T184" s="189">
        <v>66473</v>
      </c>
      <c r="U184" s="189">
        <v>74002</v>
      </c>
      <c r="V184" s="189">
        <v>84751</v>
      </c>
      <c r="W184" s="189">
        <v>95770</v>
      </c>
      <c r="X184" s="189">
        <v>108220</v>
      </c>
      <c r="Y184" s="189">
        <v>122288</v>
      </c>
      <c r="Z184" s="189">
        <v>138185</v>
      </c>
      <c r="AA184" s="189">
        <v>156149</v>
      </c>
      <c r="AB184" s="189">
        <v>176449</v>
      </c>
    </row>
    <row r="185" spans="1:28">
      <c r="A185" s="68" t="s">
        <v>285</v>
      </c>
      <c r="N185" s="188">
        <v>0</v>
      </c>
      <c r="O185" s="188">
        <v>0</v>
      </c>
      <c r="P185" s="188">
        <v>0</v>
      </c>
      <c r="Q185" s="188">
        <v>0</v>
      </c>
      <c r="R185" s="188">
        <v>0</v>
      </c>
      <c r="S185" s="189">
        <v>172500</v>
      </c>
      <c r="T185" s="189">
        <v>194925</v>
      </c>
      <c r="U185" s="189">
        <v>220265</v>
      </c>
      <c r="V185" s="189">
        <v>248900</v>
      </c>
      <c r="W185" s="189">
        <v>281257</v>
      </c>
      <c r="X185" s="189">
        <v>317820</v>
      </c>
      <c r="Y185" s="189">
        <v>359136</v>
      </c>
      <c r="Z185" s="189">
        <v>405824</v>
      </c>
      <c r="AA185" s="189">
        <v>458581</v>
      </c>
      <c r="AB185" s="189">
        <v>518196</v>
      </c>
    </row>
    <row r="186" spans="1:28">
      <c r="A186" s="68" t="s">
        <v>498</v>
      </c>
      <c r="N186" s="188">
        <v>0</v>
      </c>
      <c r="O186" s="188">
        <v>0</v>
      </c>
      <c r="P186" s="188">
        <v>0</v>
      </c>
      <c r="Q186" s="188">
        <v>0</v>
      </c>
      <c r="R186" s="188">
        <v>0</v>
      </c>
      <c r="S186" s="188">
        <v>0</v>
      </c>
      <c r="T186" s="189">
        <v>69000</v>
      </c>
      <c r="U186" s="189">
        <v>77970</v>
      </c>
      <c r="V186" s="189">
        <v>88006</v>
      </c>
      <c r="W186" s="189">
        <v>99560</v>
      </c>
      <c r="X186" s="189">
        <v>112503</v>
      </c>
      <c r="Y186" s="189">
        <v>127129</v>
      </c>
      <c r="Z186" s="189">
        <v>143655</v>
      </c>
      <c r="AA186" s="189">
        <v>162331</v>
      </c>
      <c r="AB186" s="189">
        <v>183433</v>
      </c>
    </row>
    <row r="187" spans="1:28">
      <c r="A187" s="68" t="s">
        <v>275</v>
      </c>
      <c r="N187" s="188">
        <v>0</v>
      </c>
      <c r="O187" s="188">
        <v>0</v>
      </c>
      <c r="P187" s="188">
        <v>0</v>
      </c>
      <c r="Q187" s="188">
        <v>0</v>
      </c>
      <c r="R187" s="188">
        <v>0</v>
      </c>
      <c r="S187" s="189">
        <v>97750</v>
      </c>
      <c r="T187" s="189">
        <v>110458</v>
      </c>
      <c r="U187" s="189">
        <v>124818</v>
      </c>
      <c r="V187" s="189">
        <v>141043</v>
      </c>
      <c r="W187" s="189">
        <v>159379</v>
      </c>
      <c r="X187" s="189">
        <v>180098</v>
      </c>
      <c r="Y187" s="189">
        <v>203511</v>
      </c>
      <c r="Z187" s="189">
        <v>229968</v>
      </c>
      <c r="AA187" s="189">
        <v>259863</v>
      </c>
      <c r="AB187" s="189">
        <v>293646</v>
      </c>
    </row>
    <row r="188" spans="1:28">
      <c r="A188" s="68" t="s">
        <v>277</v>
      </c>
      <c r="N188" s="188">
        <v>0</v>
      </c>
      <c r="O188" s="188">
        <v>0</v>
      </c>
      <c r="P188" s="188">
        <v>0</v>
      </c>
      <c r="Q188" s="188">
        <v>0</v>
      </c>
      <c r="R188" s="188">
        <v>0</v>
      </c>
      <c r="S188" s="188">
        <v>0</v>
      </c>
      <c r="T188" s="188">
        <v>0</v>
      </c>
      <c r="U188" s="188">
        <v>0</v>
      </c>
      <c r="V188" s="189">
        <v>23000</v>
      </c>
      <c r="W188" s="189">
        <v>25990</v>
      </c>
      <c r="X188" s="189">
        <v>29369</v>
      </c>
      <c r="Y188" s="189">
        <v>33186</v>
      </c>
      <c r="Z188" s="189">
        <v>37500</v>
      </c>
      <c r="AA188" s="189">
        <v>42375</v>
      </c>
      <c r="AB188" s="189">
        <v>47884</v>
      </c>
    </row>
    <row r="189" spans="1:28">
      <c r="A189" s="68" t="s">
        <v>279</v>
      </c>
      <c r="N189" s="188">
        <v>0</v>
      </c>
      <c r="O189" s="188">
        <v>0</v>
      </c>
      <c r="P189" s="188">
        <v>0</v>
      </c>
      <c r="Q189" s="188">
        <v>0</v>
      </c>
      <c r="R189" s="188">
        <v>0</v>
      </c>
      <c r="S189" s="188">
        <v>0</v>
      </c>
      <c r="T189" s="189">
        <v>51750</v>
      </c>
      <c r="U189" s="189">
        <v>58478</v>
      </c>
      <c r="V189" s="189">
        <v>66080</v>
      </c>
      <c r="W189" s="189">
        <v>74671</v>
      </c>
      <c r="X189" s="189">
        <v>84377</v>
      </c>
      <c r="Y189" s="189">
        <v>95347</v>
      </c>
      <c r="Z189" s="189">
        <v>107741</v>
      </c>
      <c r="AA189" s="189">
        <v>121747</v>
      </c>
      <c r="AB189" s="189">
        <v>137575</v>
      </c>
    </row>
    <row r="190" spans="1:28">
      <c r="A190" s="68" t="s">
        <v>281</v>
      </c>
      <c r="N190" s="188">
        <v>0</v>
      </c>
      <c r="O190" s="188">
        <v>0</v>
      </c>
      <c r="P190" s="188">
        <v>0</v>
      </c>
      <c r="Q190" s="188">
        <v>0</v>
      </c>
      <c r="R190" s="188">
        <v>0</v>
      </c>
      <c r="S190" s="188">
        <v>0</v>
      </c>
      <c r="T190" s="188">
        <v>0</v>
      </c>
      <c r="U190" s="189">
        <v>126500</v>
      </c>
      <c r="V190" s="189">
        <v>142945</v>
      </c>
      <c r="W190" s="189">
        <v>161528</v>
      </c>
      <c r="X190" s="189">
        <v>182527</v>
      </c>
      <c r="Y190" s="189">
        <v>206255</v>
      </c>
      <c r="Z190" s="189">
        <v>233067</v>
      </c>
      <c r="AA190" s="189">
        <v>263366</v>
      </c>
      <c r="AB190" s="189">
        <v>297604</v>
      </c>
    </row>
    <row r="191" spans="1:28">
      <c r="A191" s="68" t="s">
        <v>283</v>
      </c>
      <c r="N191" s="188">
        <v>0</v>
      </c>
      <c r="O191" s="188">
        <v>0</v>
      </c>
      <c r="P191" s="188">
        <v>0</v>
      </c>
      <c r="Q191" s="188">
        <v>0</v>
      </c>
      <c r="R191" s="188">
        <v>0</v>
      </c>
      <c r="S191" s="188">
        <v>0</v>
      </c>
      <c r="T191" s="189">
        <v>109250</v>
      </c>
      <c r="U191" s="189">
        <v>123453</v>
      </c>
      <c r="V191" s="189">
        <v>139501</v>
      </c>
      <c r="W191" s="189">
        <v>157637</v>
      </c>
      <c r="X191" s="189">
        <v>178129</v>
      </c>
      <c r="Y191" s="189">
        <v>201286</v>
      </c>
      <c r="Z191" s="189">
        <v>227453</v>
      </c>
      <c r="AA191" s="189">
        <v>257021</v>
      </c>
      <c r="AB191" s="189">
        <v>290434</v>
      </c>
    </row>
    <row r="193" spans="1:28" s="86" customFormat="1">
      <c r="A193" s="86" t="s">
        <v>622</v>
      </c>
    </row>
    <row r="195" spans="1:28">
      <c r="A195" s="80" t="s">
        <v>547</v>
      </c>
    </row>
    <row r="196" spans="1:28">
      <c r="A196" s="68" t="s">
        <v>253</v>
      </c>
      <c r="N196" s="188">
        <v>0</v>
      </c>
      <c r="O196" s="188">
        <v>0</v>
      </c>
      <c r="P196" s="188">
        <v>0</v>
      </c>
      <c r="Q196" s="189">
        <v>120000</v>
      </c>
      <c r="R196" s="189">
        <v>135600</v>
      </c>
      <c r="S196" s="189">
        <v>153228</v>
      </c>
      <c r="T196" s="189">
        <v>173148</v>
      </c>
      <c r="U196" s="189">
        <v>195657</v>
      </c>
      <c r="V196" s="189">
        <v>221093</v>
      </c>
      <c r="W196" s="189">
        <v>249835</v>
      </c>
      <c r="X196" s="189">
        <v>282314</v>
      </c>
      <c r="Y196" s="189">
        <v>319015</v>
      </c>
      <c r="Z196" s="189">
        <v>360487</v>
      </c>
      <c r="AA196" s="189">
        <v>407350</v>
      </c>
      <c r="AB196" s="189">
        <v>460305</v>
      </c>
    </row>
    <row r="197" spans="1:28">
      <c r="A197" s="68" t="s">
        <v>255</v>
      </c>
      <c r="N197" s="188">
        <v>0</v>
      </c>
      <c r="O197" s="188">
        <v>0</v>
      </c>
      <c r="P197" s="188">
        <v>0</v>
      </c>
      <c r="Q197" s="189">
        <v>25000</v>
      </c>
      <c r="R197" s="189">
        <v>28250</v>
      </c>
      <c r="S197" s="189">
        <v>31922</v>
      </c>
      <c r="T197" s="189">
        <v>36073</v>
      </c>
      <c r="U197" s="189">
        <v>40763</v>
      </c>
      <c r="V197" s="189">
        <v>46062</v>
      </c>
      <c r="W197" s="189">
        <v>52050</v>
      </c>
      <c r="X197" s="189">
        <v>58817</v>
      </c>
      <c r="Y197" s="189">
        <v>66463</v>
      </c>
      <c r="Z197" s="189">
        <v>75102</v>
      </c>
      <c r="AA197" s="189">
        <v>84865</v>
      </c>
      <c r="AB197" s="189">
        <v>95896</v>
      </c>
    </row>
    <row r="198" spans="1:28">
      <c r="A198" s="68" t="s">
        <v>257</v>
      </c>
      <c r="N198" s="188">
        <v>0</v>
      </c>
      <c r="O198" s="188">
        <v>0</v>
      </c>
      <c r="P198" s="188">
        <v>0</v>
      </c>
      <c r="Q198" s="189">
        <v>50000</v>
      </c>
      <c r="R198" s="189">
        <v>56500</v>
      </c>
      <c r="S198" s="189">
        <v>63845</v>
      </c>
      <c r="T198" s="189">
        <v>72145</v>
      </c>
      <c r="U198" s="189">
        <v>81524</v>
      </c>
      <c r="V198" s="189">
        <v>92122</v>
      </c>
      <c r="W198" s="189">
        <v>104098</v>
      </c>
      <c r="X198" s="189">
        <v>117631</v>
      </c>
      <c r="Y198" s="189">
        <v>132923</v>
      </c>
      <c r="Z198" s="189">
        <v>150203</v>
      </c>
      <c r="AA198" s="189">
        <v>169729</v>
      </c>
      <c r="AB198" s="189">
        <v>191794</v>
      </c>
    </row>
    <row r="199" spans="1:28">
      <c r="A199" s="68" t="s">
        <v>259</v>
      </c>
      <c r="N199" s="188">
        <v>0</v>
      </c>
      <c r="O199" s="188">
        <v>0</v>
      </c>
      <c r="P199" s="188">
        <v>0</v>
      </c>
      <c r="Q199" s="189">
        <v>75000</v>
      </c>
      <c r="R199" s="189">
        <v>84750</v>
      </c>
      <c r="S199" s="189">
        <v>95768</v>
      </c>
      <c r="T199" s="189">
        <v>108217</v>
      </c>
      <c r="U199" s="189">
        <v>122285</v>
      </c>
      <c r="V199" s="189">
        <v>138182</v>
      </c>
      <c r="W199" s="189">
        <v>156146</v>
      </c>
      <c r="X199" s="189">
        <v>176444</v>
      </c>
      <c r="Y199" s="189">
        <v>199382</v>
      </c>
      <c r="Z199" s="189">
        <v>225301</v>
      </c>
      <c r="AA199" s="189">
        <v>254590</v>
      </c>
      <c r="AB199" s="189">
        <v>287687</v>
      </c>
    </row>
    <row r="200" spans="1:28">
      <c r="A200" s="68" t="s">
        <v>261</v>
      </c>
      <c r="N200" s="188">
        <v>0</v>
      </c>
      <c r="O200" s="188">
        <v>0</v>
      </c>
      <c r="P200" s="188">
        <v>0</v>
      </c>
      <c r="Q200" s="189">
        <v>80000</v>
      </c>
      <c r="R200" s="189">
        <v>90400</v>
      </c>
      <c r="S200" s="189">
        <v>102152</v>
      </c>
      <c r="T200" s="189">
        <v>115432</v>
      </c>
      <c r="U200" s="189">
        <v>130438</v>
      </c>
      <c r="V200" s="189">
        <v>147395</v>
      </c>
      <c r="W200" s="189">
        <v>166556</v>
      </c>
      <c r="X200" s="189">
        <v>188208</v>
      </c>
      <c r="Y200" s="189">
        <v>212675</v>
      </c>
      <c r="Z200" s="189">
        <v>240323</v>
      </c>
      <c r="AA200" s="189">
        <v>271565</v>
      </c>
      <c r="AB200" s="189">
        <v>306869</v>
      </c>
    </row>
    <row r="201" spans="1:28">
      <c r="A201" s="68" t="s">
        <v>263</v>
      </c>
      <c r="N201" s="188">
        <v>0</v>
      </c>
      <c r="O201" s="188">
        <v>0</v>
      </c>
      <c r="P201" s="188">
        <v>0</v>
      </c>
      <c r="Q201" s="189">
        <v>65000</v>
      </c>
      <c r="R201" s="189">
        <v>73450</v>
      </c>
      <c r="S201" s="189">
        <v>82999</v>
      </c>
      <c r="T201" s="189">
        <v>93789</v>
      </c>
      <c r="U201" s="189">
        <v>105982</v>
      </c>
      <c r="V201" s="189">
        <v>119759</v>
      </c>
      <c r="W201" s="189">
        <v>135328</v>
      </c>
      <c r="X201" s="189">
        <v>152921</v>
      </c>
      <c r="Y201" s="189">
        <v>172800</v>
      </c>
      <c r="Z201" s="189">
        <v>195264</v>
      </c>
      <c r="AA201" s="189">
        <v>220648</v>
      </c>
      <c r="AB201" s="189">
        <v>249332</v>
      </c>
    </row>
    <row r="202" spans="1:28">
      <c r="A202" s="68" t="s">
        <v>265</v>
      </c>
      <c r="N202" s="188">
        <v>0</v>
      </c>
      <c r="O202" s="188">
        <v>0</v>
      </c>
      <c r="P202" s="188">
        <v>0</v>
      </c>
      <c r="Q202" s="189">
        <v>10000</v>
      </c>
      <c r="R202" s="189">
        <v>11300</v>
      </c>
      <c r="S202" s="189">
        <v>12769</v>
      </c>
      <c r="T202" s="189">
        <v>14429</v>
      </c>
      <c r="U202" s="189">
        <v>16304</v>
      </c>
      <c r="V202" s="189">
        <v>18423</v>
      </c>
      <c r="W202" s="189">
        <v>20817</v>
      </c>
      <c r="X202" s="189">
        <v>23523</v>
      </c>
      <c r="Y202" s="189">
        <v>26585</v>
      </c>
      <c r="Z202" s="189">
        <v>30045</v>
      </c>
      <c r="AA202" s="189">
        <v>33950</v>
      </c>
      <c r="AB202" s="189">
        <v>38364</v>
      </c>
    </row>
    <row r="203" spans="1:28">
      <c r="A203" s="68" t="s">
        <v>267</v>
      </c>
      <c r="N203" s="188">
        <v>0</v>
      </c>
      <c r="O203" s="188">
        <v>0</v>
      </c>
      <c r="P203" s="188">
        <v>0</v>
      </c>
      <c r="Q203" s="189">
        <v>90000</v>
      </c>
      <c r="R203" s="189">
        <v>101700</v>
      </c>
      <c r="S203" s="189">
        <v>114921</v>
      </c>
      <c r="T203" s="189">
        <v>129861</v>
      </c>
      <c r="U203" s="189">
        <v>146743</v>
      </c>
      <c r="V203" s="189">
        <v>165819</v>
      </c>
      <c r="W203" s="189">
        <v>187375</v>
      </c>
      <c r="X203" s="189">
        <v>211734</v>
      </c>
      <c r="Y203" s="189">
        <v>239260</v>
      </c>
      <c r="Z203" s="189">
        <v>270364</v>
      </c>
      <c r="AA203" s="189">
        <v>305511</v>
      </c>
      <c r="AB203" s="189">
        <v>345227</v>
      </c>
    </row>
    <row r="204" spans="1:28">
      <c r="A204" s="68" t="s">
        <v>270</v>
      </c>
      <c r="N204" s="188">
        <v>0</v>
      </c>
      <c r="O204" s="188">
        <v>0</v>
      </c>
      <c r="P204" s="188">
        <v>0</v>
      </c>
      <c r="Q204" s="189">
        <v>40000</v>
      </c>
      <c r="R204" s="189">
        <v>45200</v>
      </c>
      <c r="S204" s="189">
        <v>51076</v>
      </c>
      <c r="T204" s="189">
        <v>57716</v>
      </c>
      <c r="U204" s="189">
        <v>65219</v>
      </c>
      <c r="V204" s="189">
        <v>73697</v>
      </c>
      <c r="W204" s="189">
        <v>83278</v>
      </c>
      <c r="X204" s="189">
        <v>94104</v>
      </c>
      <c r="Y204" s="189">
        <v>106337</v>
      </c>
      <c r="Z204" s="189">
        <v>120161</v>
      </c>
      <c r="AA204" s="189">
        <v>135782</v>
      </c>
      <c r="AB204" s="189">
        <v>153434</v>
      </c>
    </row>
    <row r="205" spans="1:28">
      <c r="A205" s="68" t="s">
        <v>285</v>
      </c>
      <c r="N205" s="188">
        <v>0</v>
      </c>
      <c r="O205" s="188">
        <v>0</v>
      </c>
      <c r="P205" s="188">
        <v>0</v>
      </c>
      <c r="Q205" s="188">
        <v>0</v>
      </c>
      <c r="R205" s="188">
        <v>0</v>
      </c>
      <c r="S205" s="189">
        <v>150000</v>
      </c>
      <c r="T205" s="189">
        <v>169500</v>
      </c>
      <c r="U205" s="189">
        <v>191535</v>
      </c>
      <c r="V205" s="189">
        <v>216435</v>
      </c>
      <c r="W205" s="189">
        <v>244571</v>
      </c>
      <c r="X205" s="189">
        <v>276365</v>
      </c>
      <c r="Y205" s="189">
        <v>312292</v>
      </c>
      <c r="Z205" s="189">
        <v>352890</v>
      </c>
      <c r="AA205" s="189">
        <v>398766</v>
      </c>
      <c r="AB205" s="189">
        <v>450605</v>
      </c>
    </row>
    <row r="206" spans="1:28">
      <c r="A206" s="68" t="s">
        <v>498</v>
      </c>
      <c r="N206" s="188">
        <v>0</v>
      </c>
      <c r="O206" s="188">
        <v>0</v>
      </c>
      <c r="P206" s="188">
        <v>0</v>
      </c>
      <c r="Q206" s="188">
        <v>0</v>
      </c>
      <c r="R206" s="188">
        <v>0</v>
      </c>
      <c r="S206" s="188">
        <v>0</v>
      </c>
      <c r="T206" s="189">
        <v>60000</v>
      </c>
      <c r="U206" s="189">
        <v>67800</v>
      </c>
      <c r="V206" s="189">
        <v>76614</v>
      </c>
      <c r="W206" s="189">
        <v>86574</v>
      </c>
      <c r="X206" s="189">
        <v>97829</v>
      </c>
      <c r="Y206" s="189">
        <v>110547</v>
      </c>
      <c r="Z206" s="189">
        <v>124918</v>
      </c>
      <c r="AA206" s="189">
        <v>141157</v>
      </c>
      <c r="AB206" s="189">
        <v>159507</v>
      </c>
    </row>
    <row r="207" spans="1:28">
      <c r="A207" s="68" t="s">
        <v>275</v>
      </c>
      <c r="N207" s="188">
        <v>0</v>
      </c>
      <c r="O207" s="188">
        <v>0</v>
      </c>
      <c r="P207" s="188">
        <v>0</v>
      </c>
      <c r="Q207" s="188">
        <v>0</v>
      </c>
      <c r="R207" s="188">
        <v>0</v>
      </c>
      <c r="S207" s="189">
        <v>85000</v>
      </c>
      <c r="T207" s="189">
        <v>96050</v>
      </c>
      <c r="U207" s="189">
        <v>108537</v>
      </c>
      <c r="V207" s="189">
        <v>122646</v>
      </c>
      <c r="W207" s="189">
        <v>138590</v>
      </c>
      <c r="X207" s="189">
        <v>156607</v>
      </c>
      <c r="Y207" s="189">
        <v>176966</v>
      </c>
      <c r="Z207" s="189">
        <v>199972</v>
      </c>
      <c r="AA207" s="189">
        <v>225968</v>
      </c>
      <c r="AB207" s="189">
        <v>255344</v>
      </c>
    </row>
    <row r="208" spans="1:28">
      <c r="A208" s="68" t="s">
        <v>277</v>
      </c>
      <c r="N208" s="188">
        <v>0</v>
      </c>
      <c r="O208" s="188">
        <v>0</v>
      </c>
      <c r="P208" s="188">
        <v>0</v>
      </c>
      <c r="Q208" s="188">
        <v>0</v>
      </c>
      <c r="R208" s="188">
        <v>0</v>
      </c>
      <c r="S208" s="188">
        <v>0</v>
      </c>
      <c r="T208" s="188">
        <v>0</v>
      </c>
      <c r="U208" s="188">
        <v>0</v>
      </c>
      <c r="V208" s="189">
        <v>20000</v>
      </c>
      <c r="W208" s="189">
        <v>22600</v>
      </c>
      <c r="X208" s="189">
        <v>25538</v>
      </c>
      <c r="Y208" s="189">
        <v>28857</v>
      </c>
      <c r="Z208" s="189">
        <v>32609</v>
      </c>
      <c r="AA208" s="189">
        <v>36848</v>
      </c>
      <c r="AB208" s="189">
        <v>41638</v>
      </c>
    </row>
    <row r="209" spans="1:28">
      <c r="A209" s="68" t="s">
        <v>279</v>
      </c>
      <c r="N209" s="188">
        <v>0</v>
      </c>
      <c r="O209" s="188">
        <v>0</v>
      </c>
      <c r="P209" s="188">
        <v>0</v>
      </c>
      <c r="Q209" s="188">
        <v>0</v>
      </c>
      <c r="R209" s="188">
        <v>0</v>
      </c>
      <c r="S209" s="188">
        <v>0</v>
      </c>
      <c r="T209" s="189">
        <v>45000</v>
      </c>
      <c r="U209" s="189">
        <v>50850</v>
      </c>
      <c r="V209" s="189">
        <v>57461</v>
      </c>
      <c r="W209" s="189">
        <v>64931</v>
      </c>
      <c r="X209" s="189">
        <v>73372</v>
      </c>
      <c r="Y209" s="189">
        <v>82910</v>
      </c>
      <c r="Z209" s="189">
        <v>93688</v>
      </c>
      <c r="AA209" s="189">
        <v>105867</v>
      </c>
      <c r="AB209" s="189">
        <v>119630</v>
      </c>
    </row>
    <row r="210" spans="1:28">
      <c r="A210" s="68" t="s">
        <v>281</v>
      </c>
      <c r="N210" s="188">
        <v>0</v>
      </c>
      <c r="O210" s="188">
        <v>0</v>
      </c>
      <c r="P210" s="188">
        <v>0</v>
      </c>
      <c r="Q210" s="188">
        <v>0</v>
      </c>
      <c r="R210" s="188">
        <v>0</v>
      </c>
      <c r="S210" s="188">
        <v>0</v>
      </c>
      <c r="T210" s="188">
        <v>0</v>
      </c>
      <c r="U210" s="189">
        <v>110000</v>
      </c>
      <c r="V210" s="189">
        <v>124300</v>
      </c>
      <c r="W210" s="189">
        <v>140459</v>
      </c>
      <c r="X210" s="189">
        <v>158719</v>
      </c>
      <c r="Y210" s="189">
        <v>179352</v>
      </c>
      <c r="Z210" s="189">
        <v>202667</v>
      </c>
      <c r="AA210" s="189">
        <v>229014</v>
      </c>
      <c r="AB210" s="189">
        <v>258786</v>
      </c>
    </row>
    <row r="211" spans="1:28">
      <c r="A211" s="68" t="s">
        <v>283</v>
      </c>
      <c r="N211" s="188">
        <v>0</v>
      </c>
      <c r="O211" s="188">
        <v>0</v>
      </c>
      <c r="P211" s="188">
        <v>0</v>
      </c>
      <c r="Q211" s="188">
        <v>0</v>
      </c>
      <c r="R211" s="188">
        <v>0</v>
      </c>
      <c r="S211" s="188">
        <v>0</v>
      </c>
      <c r="T211" s="189">
        <v>95000</v>
      </c>
      <c r="U211" s="189">
        <v>107350</v>
      </c>
      <c r="V211" s="189">
        <v>121305</v>
      </c>
      <c r="W211" s="189">
        <v>137075</v>
      </c>
      <c r="X211" s="189">
        <v>154895</v>
      </c>
      <c r="Y211" s="189">
        <v>175031</v>
      </c>
      <c r="Z211" s="189">
        <v>197785</v>
      </c>
      <c r="AA211" s="189">
        <v>223497</v>
      </c>
      <c r="AB211" s="189">
        <v>252551</v>
      </c>
    </row>
    <row r="213" spans="1:28" s="86" customFormat="1">
      <c r="A213" s="86" t="s">
        <v>624</v>
      </c>
    </row>
    <row r="215" spans="1:28">
      <c r="A215" s="80" t="s">
        <v>547</v>
      </c>
      <c r="N215" s="234" t="s">
        <v>548</v>
      </c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234"/>
      <c r="AB215" s="234"/>
    </row>
    <row r="216" spans="1:28">
      <c r="A216" s="68" t="s">
        <v>253</v>
      </c>
      <c r="N216" s="143">
        <v>0</v>
      </c>
      <c r="O216" s="143">
        <v>0</v>
      </c>
      <c r="P216" s="143">
        <v>0</v>
      </c>
      <c r="Q216" s="143">
        <v>65</v>
      </c>
      <c r="R216" s="143">
        <v>65</v>
      </c>
      <c r="S216" s="143">
        <v>65</v>
      </c>
      <c r="T216" s="143">
        <v>65</v>
      </c>
      <c r="U216" s="143">
        <v>65</v>
      </c>
      <c r="V216" s="143">
        <v>65</v>
      </c>
      <c r="W216" s="143">
        <v>65</v>
      </c>
      <c r="X216" s="143">
        <v>65</v>
      </c>
      <c r="Y216" s="143">
        <v>65</v>
      </c>
      <c r="Z216" s="143">
        <v>65</v>
      </c>
      <c r="AA216" s="143">
        <v>65</v>
      </c>
      <c r="AB216" s="143">
        <v>65</v>
      </c>
    </row>
    <row r="217" spans="1:28">
      <c r="A217" s="68" t="s">
        <v>255</v>
      </c>
      <c r="N217" s="143">
        <v>0</v>
      </c>
      <c r="O217" s="143">
        <v>0</v>
      </c>
      <c r="P217" s="143">
        <v>0</v>
      </c>
      <c r="Q217" s="143">
        <v>25</v>
      </c>
      <c r="R217" s="143">
        <v>25</v>
      </c>
      <c r="S217" s="143">
        <v>25</v>
      </c>
      <c r="T217" s="143">
        <v>25</v>
      </c>
      <c r="U217" s="143">
        <v>25</v>
      </c>
      <c r="V217" s="143">
        <v>25</v>
      </c>
      <c r="W217" s="143">
        <v>25</v>
      </c>
      <c r="X217" s="143">
        <v>25</v>
      </c>
      <c r="Y217" s="143">
        <v>25</v>
      </c>
      <c r="Z217" s="143">
        <v>25</v>
      </c>
      <c r="AA217" s="143">
        <v>25</v>
      </c>
      <c r="AB217" s="143">
        <v>25</v>
      </c>
    </row>
    <row r="218" spans="1:28">
      <c r="A218" s="68" t="s">
        <v>257</v>
      </c>
      <c r="N218" s="143">
        <v>0</v>
      </c>
      <c r="O218" s="143">
        <v>0</v>
      </c>
      <c r="P218" s="143">
        <v>0</v>
      </c>
      <c r="Q218" s="143">
        <v>35</v>
      </c>
      <c r="R218" s="143">
        <v>35</v>
      </c>
      <c r="S218" s="143">
        <v>35</v>
      </c>
      <c r="T218" s="143">
        <v>35</v>
      </c>
      <c r="U218" s="143">
        <v>35</v>
      </c>
      <c r="V218" s="143">
        <v>35</v>
      </c>
      <c r="W218" s="143">
        <v>35</v>
      </c>
      <c r="X218" s="143">
        <v>35</v>
      </c>
      <c r="Y218" s="143">
        <v>35</v>
      </c>
      <c r="Z218" s="143">
        <v>35</v>
      </c>
      <c r="AA218" s="143">
        <v>35</v>
      </c>
      <c r="AB218" s="143">
        <v>35</v>
      </c>
    </row>
    <row r="219" spans="1:28">
      <c r="A219" s="68" t="s">
        <v>259</v>
      </c>
      <c r="N219" s="143">
        <v>0</v>
      </c>
      <c r="O219" s="143">
        <v>0</v>
      </c>
      <c r="P219" s="143">
        <v>0</v>
      </c>
      <c r="Q219" s="143">
        <v>50</v>
      </c>
      <c r="R219" s="143">
        <v>50</v>
      </c>
      <c r="S219" s="143">
        <v>50</v>
      </c>
      <c r="T219" s="143">
        <v>50</v>
      </c>
      <c r="U219" s="143">
        <v>50</v>
      </c>
      <c r="V219" s="143">
        <v>50</v>
      </c>
      <c r="W219" s="143">
        <v>50</v>
      </c>
      <c r="X219" s="143">
        <v>50</v>
      </c>
      <c r="Y219" s="143">
        <v>50</v>
      </c>
      <c r="Z219" s="143">
        <v>50</v>
      </c>
      <c r="AA219" s="143">
        <v>50</v>
      </c>
      <c r="AB219" s="143">
        <v>50</v>
      </c>
    </row>
    <row r="220" spans="1:28">
      <c r="A220" s="68" t="s">
        <v>261</v>
      </c>
      <c r="N220" s="143">
        <v>0</v>
      </c>
      <c r="O220" s="143">
        <v>0</v>
      </c>
      <c r="P220" s="143">
        <v>0</v>
      </c>
      <c r="Q220" s="143">
        <v>60</v>
      </c>
      <c r="R220" s="143">
        <v>60</v>
      </c>
      <c r="S220" s="143">
        <v>60</v>
      </c>
      <c r="T220" s="143">
        <v>60</v>
      </c>
      <c r="U220" s="143">
        <v>60</v>
      </c>
      <c r="V220" s="143">
        <v>60</v>
      </c>
      <c r="W220" s="143">
        <v>60</v>
      </c>
      <c r="X220" s="143">
        <v>60</v>
      </c>
      <c r="Y220" s="143">
        <v>60</v>
      </c>
      <c r="Z220" s="143">
        <v>60</v>
      </c>
      <c r="AA220" s="143">
        <v>60</v>
      </c>
      <c r="AB220" s="143">
        <v>60</v>
      </c>
    </row>
    <row r="221" spans="1:28">
      <c r="A221" s="68" t="s">
        <v>263</v>
      </c>
      <c r="N221" s="143">
        <v>0</v>
      </c>
      <c r="O221" s="143">
        <v>0</v>
      </c>
      <c r="P221" s="143">
        <v>0</v>
      </c>
      <c r="Q221" s="143">
        <v>55</v>
      </c>
      <c r="R221" s="143">
        <v>55</v>
      </c>
      <c r="S221" s="143">
        <v>55</v>
      </c>
      <c r="T221" s="143">
        <v>55</v>
      </c>
      <c r="U221" s="143">
        <v>55</v>
      </c>
      <c r="V221" s="143">
        <v>55</v>
      </c>
      <c r="W221" s="143">
        <v>55</v>
      </c>
      <c r="X221" s="143">
        <v>55</v>
      </c>
      <c r="Y221" s="143">
        <v>55</v>
      </c>
      <c r="Z221" s="143">
        <v>55</v>
      </c>
      <c r="AA221" s="143">
        <v>55</v>
      </c>
      <c r="AB221" s="143">
        <v>55</v>
      </c>
    </row>
    <row r="222" spans="1:28">
      <c r="A222" s="68" t="s">
        <v>265</v>
      </c>
      <c r="N222" s="143">
        <v>0</v>
      </c>
      <c r="O222" s="143">
        <v>0</v>
      </c>
      <c r="P222" s="143">
        <v>0</v>
      </c>
      <c r="Q222" s="143">
        <v>20</v>
      </c>
      <c r="R222" s="143">
        <v>20</v>
      </c>
      <c r="S222" s="143">
        <v>20</v>
      </c>
      <c r="T222" s="143">
        <v>20</v>
      </c>
      <c r="U222" s="143">
        <v>20</v>
      </c>
      <c r="V222" s="143">
        <v>20</v>
      </c>
      <c r="W222" s="143">
        <v>20</v>
      </c>
      <c r="X222" s="143">
        <v>20</v>
      </c>
      <c r="Y222" s="143">
        <v>20</v>
      </c>
      <c r="Z222" s="143">
        <v>20</v>
      </c>
      <c r="AA222" s="143">
        <v>20</v>
      </c>
      <c r="AB222" s="143">
        <v>20</v>
      </c>
    </row>
    <row r="223" spans="1:28">
      <c r="A223" s="68" t="s">
        <v>267</v>
      </c>
      <c r="N223" s="143">
        <v>0</v>
      </c>
      <c r="O223" s="143">
        <v>0</v>
      </c>
      <c r="P223" s="143">
        <v>0</v>
      </c>
      <c r="Q223" s="143">
        <v>50</v>
      </c>
      <c r="R223" s="143">
        <v>50</v>
      </c>
      <c r="S223" s="143">
        <v>50</v>
      </c>
      <c r="T223" s="143">
        <v>50</v>
      </c>
      <c r="U223" s="143">
        <v>50</v>
      </c>
      <c r="V223" s="143">
        <v>50</v>
      </c>
      <c r="W223" s="143">
        <v>50</v>
      </c>
      <c r="X223" s="143">
        <v>50</v>
      </c>
      <c r="Y223" s="143">
        <v>50</v>
      </c>
      <c r="Z223" s="143">
        <v>50</v>
      </c>
      <c r="AA223" s="143">
        <v>50</v>
      </c>
      <c r="AB223" s="143">
        <v>50</v>
      </c>
    </row>
    <row r="224" spans="1:28">
      <c r="A224" s="68" t="s">
        <v>270</v>
      </c>
      <c r="N224" s="143">
        <v>0</v>
      </c>
      <c r="O224" s="143">
        <v>0</v>
      </c>
      <c r="P224" s="143">
        <v>0</v>
      </c>
      <c r="Q224" s="143">
        <v>55</v>
      </c>
      <c r="R224" s="143">
        <v>55</v>
      </c>
      <c r="S224" s="143">
        <v>55</v>
      </c>
      <c r="T224" s="143">
        <v>55</v>
      </c>
      <c r="U224" s="143">
        <v>55</v>
      </c>
      <c r="V224" s="143">
        <v>55</v>
      </c>
      <c r="W224" s="143">
        <v>55</v>
      </c>
      <c r="X224" s="143">
        <v>55</v>
      </c>
      <c r="Y224" s="143">
        <v>55</v>
      </c>
      <c r="Z224" s="143">
        <v>55</v>
      </c>
      <c r="AA224" s="143">
        <v>55</v>
      </c>
      <c r="AB224" s="143">
        <v>55</v>
      </c>
    </row>
    <row r="225" spans="1:28">
      <c r="A225" s="68" t="s">
        <v>285</v>
      </c>
      <c r="N225" s="143">
        <v>0</v>
      </c>
      <c r="O225" s="143">
        <v>0</v>
      </c>
      <c r="P225" s="143">
        <v>0</v>
      </c>
      <c r="Q225" s="143">
        <v>0</v>
      </c>
      <c r="R225" s="143">
        <v>0</v>
      </c>
      <c r="S225" s="143">
        <v>30</v>
      </c>
      <c r="T225" s="143">
        <v>30</v>
      </c>
      <c r="U225" s="143">
        <v>30</v>
      </c>
      <c r="V225" s="143">
        <v>30</v>
      </c>
      <c r="W225" s="143">
        <v>30</v>
      </c>
      <c r="X225" s="143">
        <v>30</v>
      </c>
      <c r="Y225" s="143">
        <v>30</v>
      </c>
      <c r="Z225" s="143">
        <v>30</v>
      </c>
      <c r="AA225" s="143">
        <v>30</v>
      </c>
      <c r="AB225" s="143">
        <v>30</v>
      </c>
    </row>
    <row r="226" spans="1:28">
      <c r="A226" s="68" t="s">
        <v>498</v>
      </c>
      <c r="N226" s="143">
        <v>0</v>
      </c>
      <c r="O226" s="143">
        <v>0</v>
      </c>
      <c r="P226" s="143">
        <v>0</v>
      </c>
      <c r="Q226" s="143">
        <v>0</v>
      </c>
      <c r="R226" s="143">
        <v>0</v>
      </c>
      <c r="S226" s="143">
        <v>35</v>
      </c>
      <c r="T226" s="143">
        <v>35</v>
      </c>
      <c r="U226" s="143">
        <v>35</v>
      </c>
      <c r="V226" s="143">
        <v>35</v>
      </c>
      <c r="W226" s="143">
        <v>35</v>
      </c>
      <c r="X226" s="143">
        <v>35</v>
      </c>
      <c r="Y226" s="143">
        <v>35</v>
      </c>
      <c r="Z226" s="143">
        <v>35</v>
      </c>
      <c r="AA226" s="143">
        <v>35</v>
      </c>
      <c r="AB226" s="143">
        <v>35</v>
      </c>
    </row>
    <row r="227" spans="1:28">
      <c r="A227" s="68" t="s">
        <v>275</v>
      </c>
      <c r="N227" s="143">
        <v>0</v>
      </c>
      <c r="O227" s="143">
        <v>0</v>
      </c>
      <c r="P227" s="143">
        <v>0</v>
      </c>
      <c r="Q227" s="143">
        <v>0</v>
      </c>
      <c r="R227" s="143">
        <v>0</v>
      </c>
      <c r="S227" s="143">
        <v>0</v>
      </c>
      <c r="T227" s="143">
        <v>10</v>
      </c>
      <c r="U227" s="143">
        <v>10</v>
      </c>
      <c r="V227" s="143">
        <v>10</v>
      </c>
      <c r="W227" s="143">
        <v>10</v>
      </c>
      <c r="X227" s="143">
        <v>10</v>
      </c>
      <c r="Y227" s="143">
        <v>10</v>
      </c>
      <c r="Z227" s="143">
        <v>10</v>
      </c>
      <c r="AA227" s="143">
        <v>10</v>
      </c>
      <c r="AB227" s="143">
        <v>10</v>
      </c>
    </row>
    <row r="228" spans="1:28">
      <c r="A228" s="68" t="s">
        <v>277</v>
      </c>
      <c r="N228" s="143">
        <v>0</v>
      </c>
      <c r="O228" s="143">
        <v>0</v>
      </c>
      <c r="P228" s="143">
        <v>0</v>
      </c>
      <c r="Q228" s="143">
        <v>0</v>
      </c>
      <c r="R228" s="143">
        <v>0</v>
      </c>
      <c r="S228" s="143">
        <v>0</v>
      </c>
      <c r="T228" s="143">
        <v>40</v>
      </c>
      <c r="U228" s="143">
        <v>40</v>
      </c>
      <c r="V228" s="143">
        <v>40</v>
      </c>
      <c r="W228" s="143">
        <v>40</v>
      </c>
      <c r="X228" s="143">
        <v>40</v>
      </c>
      <c r="Y228" s="143">
        <v>40</v>
      </c>
      <c r="Z228" s="143">
        <v>40</v>
      </c>
      <c r="AA228" s="143">
        <v>40</v>
      </c>
      <c r="AB228" s="143">
        <v>40</v>
      </c>
    </row>
    <row r="229" spans="1:28">
      <c r="A229" s="68" t="s">
        <v>279</v>
      </c>
      <c r="N229" s="143">
        <v>0</v>
      </c>
      <c r="O229" s="143">
        <v>0</v>
      </c>
      <c r="P229" s="143">
        <v>0</v>
      </c>
      <c r="Q229" s="143">
        <v>0</v>
      </c>
      <c r="R229" s="143">
        <v>0</v>
      </c>
      <c r="S229" s="143">
        <v>0</v>
      </c>
      <c r="T229" s="143">
        <v>25</v>
      </c>
      <c r="U229" s="143">
        <v>25</v>
      </c>
      <c r="V229" s="143">
        <v>25</v>
      </c>
      <c r="W229" s="143">
        <v>25</v>
      </c>
      <c r="X229" s="143">
        <v>25</v>
      </c>
      <c r="Y229" s="143">
        <v>25</v>
      </c>
      <c r="Z229" s="143">
        <v>25</v>
      </c>
      <c r="AA229" s="143">
        <v>25</v>
      </c>
      <c r="AB229" s="143">
        <v>25</v>
      </c>
    </row>
    <row r="230" spans="1:28">
      <c r="A230" s="68" t="s">
        <v>281</v>
      </c>
      <c r="N230" s="143">
        <v>0</v>
      </c>
      <c r="O230" s="143">
        <v>0</v>
      </c>
      <c r="P230" s="143">
        <v>0</v>
      </c>
      <c r="Q230" s="143">
        <v>0</v>
      </c>
      <c r="R230" s="143">
        <v>0</v>
      </c>
      <c r="S230" s="143">
        <v>0</v>
      </c>
      <c r="T230" s="143">
        <v>0</v>
      </c>
      <c r="U230" s="143">
        <v>0</v>
      </c>
      <c r="V230" s="143">
        <v>30</v>
      </c>
      <c r="W230" s="143">
        <v>30</v>
      </c>
      <c r="X230" s="143">
        <v>30</v>
      </c>
      <c r="Y230" s="143">
        <v>30</v>
      </c>
      <c r="Z230" s="143">
        <v>30</v>
      </c>
      <c r="AA230" s="143">
        <v>30</v>
      </c>
      <c r="AB230" s="143">
        <v>30</v>
      </c>
    </row>
    <row r="231" spans="1:28">
      <c r="A231" s="68" t="s">
        <v>283</v>
      </c>
      <c r="N231" s="143">
        <v>0</v>
      </c>
      <c r="O231" s="143">
        <v>0</v>
      </c>
      <c r="P231" s="143">
        <v>0</v>
      </c>
      <c r="Q231" s="143">
        <v>0</v>
      </c>
      <c r="R231" s="143">
        <v>0</v>
      </c>
      <c r="S231" s="143">
        <v>0</v>
      </c>
      <c r="T231" s="143">
        <v>0</v>
      </c>
      <c r="U231" s="143">
        <v>0</v>
      </c>
      <c r="V231" s="143">
        <v>0</v>
      </c>
      <c r="W231" s="143">
        <v>60</v>
      </c>
      <c r="X231" s="143">
        <v>60</v>
      </c>
      <c r="Y231" s="143">
        <v>60</v>
      </c>
      <c r="Z231" s="143">
        <v>60</v>
      </c>
      <c r="AA231" s="143">
        <v>60</v>
      </c>
      <c r="AB231" s="143">
        <v>60</v>
      </c>
    </row>
    <row r="233" spans="1:28" s="86" customFormat="1">
      <c r="A233" s="86" t="s">
        <v>625</v>
      </c>
    </row>
    <row r="235" spans="1:28">
      <c r="A235" s="80" t="s">
        <v>547</v>
      </c>
      <c r="N235" s="234" t="s">
        <v>549</v>
      </c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  <c r="AB235" s="234"/>
    </row>
    <row r="236" spans="1:28">
      <c r="A236" s="68" t="s">
        <v>253</v>
      </c>
      <c r="N236" s="143">
        <v>0</v>
      </c>
      <c r="O236" s="143">
        <v>0</v>
      </c>
      <c r="P236" s="143">
        <v>0</v>
      </c>
      <c r="Q236" s="143">
        <v>35</v>
      </c>
      <c r="R236" s="143">
        <v>35</v>
      </c>
      <c r="S236" s="143">
        <v>35</v>
      </c>
      <c r="T236" s="143">
        <v>35</v>
      </c>
      <c r="U236" s="143">
        <v>35</v>
      </c>
      <c r="V236" s="143">
        <v>35</v>
      </c>
      <c r="W236" s="143">
        <v>35</v>
      </c>
      <c r="X236" s="143">
        <v>35</v>
      </c>
      <c r="Y236" s="143">
        <v>35</v>
      </c>
      <c r="Z236" s="143">
        <v>35</v>
      </c>
      <c r="AA236" s="143">
        <v>35</v>
      </c>
      <c r="AB236" s="143">
        <v>35</v>
      </c>
    </row>
    <row r="237" spans="1:28">
      <c r="A237" s="68" t="s">
        <v>255</v>
      </c>
      <c r="N237" s="143">
        <v>0</v>
      </c>
      <c r="O237" s="143">
        <v>0</v>
      </c>
      <c r="P237" s="143">
        <v>0</v>
      </c>
      <c r="Q237" s="143">
        <v>75</v>
      </c>
      <c r="R237" s="143">
        <v>75</v>
      </c>
      <c r="S237" s="143">
        <v>75</v>
      </c>
      <c r="T237" s="143">
        <v>75</v>
      </c>
      <c r="U237" s="143">
        <v>75</v>
      </c>
      <c r="V237" s="143">
        <v>75</v>
      </c>
      <c r="W237" s="143">
        <v>75</v>
      </c>
      <c r="X237" s="143">
        <v>75</v>
      </c>
      <c r="Y237" s="143">
        <v>75</v>
      </c>
      <c r="Z237" s="143">
        <v>75</v>
      </c>
      <c r="AA237" s="143">
        <v>75</v>
      </c>
      <c r="AB237" s="143">
        <v>75</v>
      </c>
    </row>
    <row r="238" spans="1:28">
      <c r="A238" s="68" t="s">
        <v>257</v>
      </c>
      <c r="N238" s="143">
        <v>0</v>
      </c>
      <c r="O238" s="143">
        <v>0</v>
      </c>
      <c r="P238" s="143">
        <v>0</v>
      </c>
      <c r="Q238" s="143">
        <v>65</v>
      </c>
      <c r="R238" s="143">
        <v>65</v>
      </c>
      <c r="S238" s="143">
        <v>65</v>
      </c>
      <c r="T238" s="143">
        <v>65</v>
      </c>
      <c r="U238" s="143">
        <v>65</v>
      </c>
      <c r="V238" s="143">
        <v>65</v>
      </c>
      <c r="W238" s="143">
        <v>65</v>
      </c>
      <c r="X238" s="143">
        <v>65</v>
      </c>
      <c r="Y238" s="143">
        <v>65</v>
      </c>
      <c r="Z238" s="143">
        <v>65</v>
      </c>
      <c r="AA238" s="143">
        <v>65</v>
      </c>
      <c r="AB238" s="143">
        <v>65</v>
      </c>
    </row>
    <row r="239" spans="1:28">
      <c r="A239" s="68" t="s">
        <v>259</v>
      </c>
      <c r="N239" s="143">
        <v>0</v>
      </c>
      <c r="O239" s="143">
        <v>0</v>
      </c>
      <c r="P239" s="143">
        <v>0</v>
      </c>
      <c r="Q239" s="143">
        <v>50</v>
      </c>
      <c r="R239" s="143">
        <v>50</v>
      </c>
      <c r="S239" s="143">
        <v>50</v>
      </c>
      <c r="T239" s="143">
        <v>50</v>
      </c>
      <c r="U239" s="143">
        <v>50</v>
      </c>
      <c r="V239" s="143">
        <v>50</v>
      </c>
      <c r="W239" s="143">
        <v>50</v>
      </c>
      <c r="X239" s="143">
        <v>50</v>
      </c>
      <c r="Y239" s="143">
        <v>50</v>
      </c>
      <c r="Z239" s="143">
        <v>50</v>
      </c>
      <c r="AA239" s="143">
        <v>50</v>
      </c>
      <c r="AB239" s="143">
        <v>50</v>
      </c>
    </row>
    <row r="240" spans="1:28">
      <c r="A240" s="68" t="s">
        <v>261</v>
      </c>
      <c r="N240" s="143">
        <v>0</v>
      </c>
      <c r="O240" s="143">
        <v>0</v>
      </c>
      <c r="P240" s="143">
        <v>0</v>
      </c>
      <c r="Q240" s="143">
        <v>40</v>
      </c>
      <c r="R240" s="143">
        <v>40</v>
      </c>
      <c r="S240" s="143">
        <v>40</v>
      </c>
      <c r="T240" s="143">
        <v>40</v>
      </c>
      <c r="U240" s="143">
        <v>40</v>
      </c>
      <c r="V240" s="143">
        <v>40</v>
      </c>
      <c r="W240" s="143">
        <v>40</v>
      </c>
      <c r="X240" s="143">
        <v>40</v>
      </c>
      <c r="Y240" s="143">
        <v>40</v>
      </c>
      <c r="Z240" s="143">
        <v>40</v>
      </c>
      <c r="AA240" s="143">
        <v>40</v>
      </c>
      <c r="AB240" s="143">
        <v>40</v>
      </c>
    </row>
    <row r="241" spans="1:28">
      <c r="A241" s="68" t="s">
        <v>263</v>
      </c>
      <c r="N241" s="143">
        <v>0</v>
      </c>
      <c r="O241" s="143">
        <v>0</v>
      </c>
      <c r="P241" s="143">
        <v>0</v>
      </c>
      <c r="Q241" s="143">
        <v>45</v>
      </c>
      <c r="R241" s="143">
        <v>45</v>
      </c>
      <c r="S241" s="143">
        <v>45</v>
      </c>
      <c r="T241" s="143">
        <v>45</v>
      </c>
      <c r="U241" s="143">
        <v>45</v>
      </c>
      <c r="V241" s="143">
        <v>45</v>
      </c>
      <c r="W241" s="143">
        <v>45</v>
      </c>
      <c r="X241" s="143">
        <v>45</v>
      </c>
      <c r="Y241" s="143">
        <v>45</v>
      </c>
      <c r="Z241" s="143">
        <v>45</v>
      </c>
      <c r="AA241" s="143">
        <v>45</v>
      </c>
      <c r="AB241" s="143">
        <v>45</v>
      </c>
    </row>
    <row r="242" spans="1:28">
      <c r="A242" s="68" t="s">
        <v>265</v>
      </c>
      <c r="N242" s="143">
        <v>0</v>
      </c>
      <c r="O242" s="143">
        <v>0</v>
      </c>
      <c r="P242" s="143">
        <v>0</v>
      </c>
      <c r="Q242" s="143">
        <v>80</v>
      </c>
      <c r="R242" s="143">
        <v>80</v>
      </c>
      <c r="S242" s="143">
        <v>80</v>
      </c>
      <c r="T242" s="143">
        <v>80</v>
      </c>
      <c r="U242" s="143">
        <v>80</v>
      </c>
      <c r="V242" s="143">
        <v>80</v>
      </c>
      <c r="W242" s="143">
        <v>80</v>
      </c>
      <c r="X242" s="143">
        <v>80</v>
      </c>
      <c r="Y242" s="143">
        <v>80</v>
      </c>
      <c r="Z242" s="143">
        <v>80</v>
      </c>
      <c r="AA242" s="143">
        <v>80</v>
      </c>
      <c r="AB242" s="143">
        <v>80</v>
      </c>
    </row>
    <row r="243" spans="1:28">
      <c r="A243" s="68" t="s">
        <v>267</v>
      </c>
      <c r="N243" s="143">
        <v>0</v>
      </c>
      <c r="O243" s="143">
        <v>0</v>
      </c>
      <c r="P243" s="143">
        <v>0</v>
      </c>
      <c r="Q243" s="143">
        <v>50</v>
      </c>
      <c r="R243" s="143">
        <v>50</v>
      </c>
      <c r="S243" s="143">
        <v>50</v>
      </c>
      <c r="T243" s="143">
        <v>50</v>
      </c>
      <c r="U243" s="143">
        <v>50</v>
      </c>
      <c r="V243" s="143">
        <v>50</v>
      </c>
      <c r="W243" s="143">
        <v>50</v>
      </c>
      <c r="X243" s="143">
        <v>50</v>
      </c>
      <c r="Y243" s="143">
        <v>50</v>
      </c>
      <c r="Z243" s="143">
        <v>50</v>
      </c>
      <c r="AA243" s="143">
        <v>50</v>
      </c>
      <c r="AB243" s="143">
        <v>50</v>
      </c>
    </row>
    <row r="244" spans="1:28">
      <c r="A244" s="68" t="s">
        <v>270</v>
      </c>
      <c r="N244" s="143">
        <v>0</v>
      </c>
      <c r="O244" s="143">
        <v>0</v>
      </c>
      <c r="P244" s="143">
        <v>0</v>
      </c>
      <c r="Q244" s="143">
        <v>45</v>
      </c>
      <c r="R244" s="143">
        <v>45</v>
      </c>
      <c r="S244" s="143">
        <v>45</v>
      </c>
      <c r="T244" s="143">
        <v>45</v>
      </c>
      <c r="U244" s="143">
        <v>45</v>
      </c>
      <c r="V244" s="143">
        <v>45</v>
      </c>
      <c r="W244" s="143">
        <v>45</v>
      </c>
      <c r="X244" s="143">
        <v>45</v>
      </c>
      <c r="Y244" s="143">
        <v>45</v>
      </c>
      <c r="Z244" s="143">
        <v>45</v>
      </c>
      <c r="AA244" s="143">
        <v>45</v>
      </c>
      <c r="AB244" s="143">
        <v>45</v>
      </c>
    </row>
    <row r="245" spans="1:28">
      <c r="A245" s="68" t="s">
        <v>285</v>
      </c>
      <c r="N245" s="143">
        <v>0</v>
      </c>
      <c r="O245" s="143">
        <v>0</v>
      </c>
      <c r="P245" s="143">
        <v>0</v>
      </c>
      <c r="Q245" s="143">
        <v>0</v>
      </c>
      <c r="R245" s="143">
        <v>0</v>
      </c>
      <c r="S245" s="143">
        <v>70</v>
      </c>
      <c r="T245" s="143">
        <v>70</v>
      </c>
      <c r="U245" s="143">
        <v>70</v>
      </c>
      <c r="V245" s="143">
        <v>70</v>
      </c>
      <c r="W245" s="143">
        <v>70</v>
      </c>
      <c r="X245" s="143">
        <v>70</v>
      </c>
      <c r="Y245" s="143">
        <v>70</v>
      </c>
      <c r="Z245" s="143">
        <v>70</v>
      </c>
      <c r="AA245" s="143">
        <v>70</v>
      </c>
      <c r="AB245" s="143">
        <v>70</v>
      </c>
    </row>
    <row r="246" spans="1:28">
      <c r="A246" s="68" t="s">
        <v>498</v>
      </c>
      <c r="N246" s="143">
        <v>0</v>
      </c>
      <c r="O246" s="143">
        <v>0</v>
      </c>
      <c r="P246" s="143">
        <v>0</v>
      </c>
      <c r="Q246" s="143">
        <v>0</v>
      </c>
      <c r="R246" s="143">
        <v>0</v>
      </c>
      <c r="S246" s="143">
        <v>65</v>
      </c>
      <c r="T246" s="143">
        <v>65</v>
      </c>
      <c r="U246" s="143">
        <v>65</v>
      </c>
      <c r="V246" s="143">
        <v>65</v>
      </c>
      <c r="W246" s="143">
        <v>65</v>
      </c>
      <c r="X246" s="143">
        <v>65</v>
      </c>
      <c r="Y246" s="143">
        <v>65</v>
      </c>
      <c r="Z246" s="143">
        <v>65</v>
      </c>
      <c r="AA246" s="143">
        <v>65</v>
      </c>
      <c r="AB246" s="143">
        <v>65</v>
      </c>
    </row>
    <row r="247" spans="1:28">
      <c r="A247" s="68" t="s">
        <v>275</v>
      </c>
      <c r="N247" s="143">
        <v>0</v>
      </c>
      <c r="O247" s="143">
        <v>0</v>
      </c>
      <c r="P247" s="143">
        <v>0</v>
      </c>
      <c r="Q247" s="143">
        <v>0</v>
      </c>
      <c r="R247" s="143">
        <v>0</v>
      </c>
      <c r="S247" s="143">
        <v>0</v>
      </c>
      <c r="T247" s="143">
        <v>90</v>
      </c>
      <c r="U247" s="143">
        <v>90</v>
      </c>
      <c r="V247" s="143">
        <v>90</v>
      </c>
      <c r="W247" s="143">
        <v>90</v>
      </c>
      <c r="X247" s="143">
        <v>90</v>
      </c>
      <c r="Y247" s="143">
        <v>90</v>
      </c>
      <c r="Z247" s="143">
        <v>90</v>
      </c>
      <c r="AA247" s="143">
        <v>90</v>
      </c>
      <c r="AB247" s="143">
        <v>90</v>
      </c>
    </row>
    <row r="248" spans="1:28">
      <c r="A248" s="68" t="s">
        <v>277</v>
      </c>
      <c r="N248" s="143">
        <v>0</v>
      </c>
      <c r="O248" s="143">
        <v>0</v>
      </c>
      <c r="P248" s="143">
        <v>0</v>
      </c>
      <c r="Q248" s="143">
        <v>0</v>
      </c>
      <c r="R248" s="143">
        <v>0</v>
      </c>
      <c r="S248" s="143">
        <v>0</v>
      </c>
      <c r="T248" s="143">
        <v>60</v>
      </c>
      <c r="U248" s="143">
        <v>60</v>
      </c>
      <c r="V248" s="143">
        <v>60</v>
      </c>
      <c r="W248" s="143">
        <v>60</v>
      </c>
      <c r="X248" s="143">
        <v>60</v>
      </c>
      <c r="Y248" s="143">
        <v>60</v>
      </c>
      <c r="Z248" s="143">
        <v>60</v>
      </c>
      <c r="AA248" s="143">
        <v>60</v>
      </c>
      <c r="AB248" s="143">
        <v>60</v>
      </c>
    </row>
    <row r="249" spans="1:28">
      <c r="A249" s="68" t="s">
        <v>279</v>
      </c>
      <c r="N249" s="143">
        <v>0</v>
      </c>
      <c r="O249" s="143">
        <v>0</v>
      </c>
      <c r="P249" s="143">
        <v>0</v>
      </c>
      <c r="Q249" s="143">
        <v>0</v>
      </c>
      <c r="R249" s="143">
        <v>0</v>
      </c>
      <c r="S249" s="143">
        <v>0</v>
      </c>
      <c r="T249" s="143">
        <v>75</v>
      </c>
      <c r="U249" s="143">
        <v>75</v>
      </c>
      <c r="V249" s="143">
        <v>75</v>
      </c>
      <c r="W249" s="143">
        <v>75</v>
      </c>
      <c r="X249" s="143">
        <v>75</v>
      </c>
      <c r="Y249" s="143">
        <v>75</v>
      </c>
      <c r="Z249" s="143">
        <v>75</v>
      </c>
      <c r="AA249" s="143">
        <v>75</v>
      </c>
      <c r="AB249" s="143">
        <v>75</v>
      </c>
    </row>
    <row r="250" spans="1:28">
      <c r="A250" s="68" t="s">
        <v>281</v>
      </c>
      <c r="N250" s="143">
        <v>0</v>
      </c>
      <c r="O250" s="143">
        <v>0</v>
      </c>
      <c r="P250" s="143">
        <v>0</v>
      </c>
      <c r="Q250" s="143">
        <v>0</v>
      </c>
      <c r="R250" s="143">
        <v>0</v>
      </c>
      <c r="S250" s="143">
        <v>0</v>
      </c>
      <c r="T250" s="143">
        <v>0</v>
      </c>
      <c r="U250" s="143">
        <v>70</v>
      </c>
      <c r="V250" s="143">
        <v>70</v>
      </c>
      <c r="W250" s="143">
        <v>70</v>
      </c>
      <c r="X250" s="143">
        <v>70</v>
      </c>
      <c r="Y250" s="143">
        <v>70</v>
      </c>
      <c r="Z250" s="143">
        <v>70</v>
      </c>
      <c r="AA250" s="143">
        <v>70</v>
      </c>
      <c r="AB250" s="143">
        <v>70</v>
      </c>
    </row>
    <row r="251" spans="1:28">
      <c r="A251" s="68" t="s">
        <v>283</v>
      </c>
      <c r="N251" s="143">
        <v>0</v>
      </c>
      <c r="O251" s="143">
        <v>0</v>
      </c>
      <c r="P251" s="143">
        <v>0</v>
      </c>
      <c r="Q251" s="143">
        <v>0</v>
      </c>
      <c r="R251" s="143">
        <v>0</v>
      </c>
      <c r="S251" s="143">
        <v>0</v>
      </c>
      <c r="T251" s="143">
        <v>0</v>
      </c>
      <c r="U251" s="143">
        <v>0</v>
      </c>
      <c r="V251" s="143">
        <v>40</v>
      </c>
      <c r="W251" s="143">
        <v>40</v>
      </c>
      <c r="X251" s="143">
        <v>40</v>
      </c>
      <c r="Y251" s="143">
        <v>40</v>
      </c>
      <c r="Z251" s="143">
        <v>40</v>
      </c>
      <c r="AA251" s="143">
        <v>40</v>
      </c>
      <c r="AB251" s="143">
        <v>40</v>
      </c>
    </row>
    <row r="253" spans="1:28" s="86" customFormat="1">
      <c r="A253" s="86" t="s">
        <v>626</v>
      </c>
    </row>
    <row r="255" spans="1:28">
      <c r="A255" s="23" t="s">
        <v>58</v>
      </c>
    </row>
    <row r="256" spans="1:28">
      <c r="A256" s="3" t="s">
        <v>59</v>
      </c>
      <c r="N256" s="59">
        <v>1</v>
      </c>
      <c r="O256" s="59">
        <v>1</v>
      </c>
      <c r="P256" s="59">
        <v>1</v>
      </c>
      <c r="Q256" s="59">
        <v>1</v>
      </c>
      <c r="R256" s="59">
        <v>1</v>
      </c>
      <c r="S256" s="59">
        <v>1</v>
      </c>
      <c r="T256" s="59">
        <v>1</v>
      </c>
      <c r="U256" s="59">
        <v>1</v>
      </c>
      <c r="V256" s="59">
        <v>1</v>
      </c>
      <c r="W256" s="59">
        <v>1</v>
      </c>
      <c r="X256" s="59">
        <v>1</v>
      </c>
      <c r="Y256" s="59">
        <v>1</v>
      </c>
      <c r="Z256" s="59">
        <v>1</v>
      </c>
      <c r="AA256" s="59">
        <v>1</v>
      </c>
      <c r="AB256" s="59">
        <v>1</v>
      </c>
    </row>
    <row r="257" spans="1:28">
      <c r="A257" s="3" t="s">
        <v>614</v>
      </c>
      <c r="N257" s="59">
        <v>1.5</v>
      </c>
      <c r="O257" s="59">
        <v>1.5</v>
      </c>
      <c r="P257" s="59">
        <v>1.5</v>
      </c>
      <c r="Q257" s="59">
        <v>1.5</v>
      </c>
      <c r="R257" s="59">
        <v>1.5</v>
      </c>
      <c r="S257" s="59">
        <v>1.5</v>
      </c>
      <c r="T257" s="59">
        <v>1.5</v>
      </c>
      <c r="U257" s="59">
        <v>1.5</v>
      </c>
      <c r="V257" s="59">
        <v>1.5</v>
      </c>
      <c r="W257" s="59">
        <v>1.5</v>
      </c>
      <c r="X257" s="59">
        <v>1.5</v>
      </c>
      <c r="Y257" s="59">
        <v>1.5</v>
      </c>
      <c r="Z257" s="59">
        <v>1.5</v>
      </c>
      <c r="AA257" s="59">
        <v>1.5</v>
      </c>
      <c r="AB257" s="59">
        <v>1.5</v>
      </c>
    </row>
    <row r="258" spans="1:28">
      <c r="A258" s="3" t="s">
        <v>60</v>
      </c>
      <c r="N258" s="59">
        <v>4</v>
      </c>
      <c r="O258" s="59">
        <v>4</v>
      </c>
      <c r="P258" s="59">
        <v>4</v>
      </c>
      <c r="Q258" s="59">
        <v>4</v>
      </c>
      <c r="R258" s="59">
        <v>4</v>
      </c>
      <c r="S258" s="59">
        <v>4</v>
      </c>
      <c r="T258" s="59">
        <v>4</v>
      </c>
      <c r="U258" s="59">
        <v>4</v>
      </c>
      <c r="V258" s="59">
        <v>4</v>
      </c>
      <c r="W258" s="59">
        <v>4</v>
      </c>
      <c r="X258" s="59">
        <v>4</v>
      </c>
      <c r="Y258" s="59">
        <v>4</v>
      </c>
      <c r="Z258" s="59">
        <v>4</v>
      </c>
      <c r="AA258" s="59">
        <v>4</v>
      </c>
      <c r="AB258" s="59">
        <v>4</v>
      </c>
    </row>
    <row r="259" spans="1:28">
      <c r="A259" s="3" t="s">
        <v>61</v>
      </c>
      <c r="N259" s="59">
        <v>6</v>
      </c>
      <c r="O259" s="59">
        <v>6</v>
      </c>
      <c r="P259" s="59">
        <v>6</v>
      </c>
      <c r="Q259" s="59">
        <v>6</v>
      </c>
      <c r="R259" s="59">
        <v>6</v>
      </c>
      <c r="S259" s="59">
        <v>6</v>
      </c>
      <c r="T259" s="59">
        <v>6</v>
      </c>
      <c r="U259" s="59">
        <v>6</v>
      </c>
      <c r="V259" s="59">
        <v>6</v>
      </c>
      <c r="W259" s="59">
        <v>6</v>
      </c>
      <c r="X259" s="59">
        <v>6</v>
      </c>
      <c r="Y259" s="59">
        <v>6</v>
      </c>
      <c r="Z259" s="59">
        <v>6</v>
      </c>
      <c r="AA259" s="59">
        <v>6</v>
      </c>
      <c r="AB259" s="59">
        <v>6</v>
      </c>
    </row>
    <row r="261" spans="1:28" s="86" customFormat="1">
      <c r="A261" s="86" t="s">
        <v>627</v>
      </c>
    </row>
    <row r="263" spans="1:28">
      <c r="A263" s="235" t="s">
        <v>547</v>
      </c>
      <c r="B263" s="214" t="s">
        <v>630</v>
      </c>
      <c r="C263" s="214"/>
      <c r="D263" s="214"/>
      <c r="E263" s="214"/>
      <c r="F263" s="214" t="s">
        <v>631</v>
      </c>
      <c r="G263" s="214"/>
      <c r="H263" s="214"/>
      <c r="I263" s="214"/>
    </row>
    <row r="264" spans="1:28">
      <c r="A264" s="236"/>
      <c r="B264" s="34" t="s">
        <v>616</v>
      </c>
      <c r="C264" s="34" t="s">
        <v>617</v>
      </c>
      <c r="D264" s="34" t="s">
        <v>618</v>
      </c>
      <c r="E264" s="34" t="s">
        <v>619</v>
      </c>
      <c r="F264" s="34" t="s">
        <v>616</v>
      </c>
      <c r="G264" s="34" t="s">
        <v>617</v>
      </c>
      <c r="H264" s="34" t="s">
        <v>618</v>
      </c>
      <c r="I264" s="34" t="s">
        <v>619</v>
      </c>
      <c r="N264" s="225" t="s">
        <v>629</v>
      </c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</row>
    <row r="265" spans="1:28">
      <c r="A265" s="68" t="s">
        <v>253</v>
      </c>
      <c r="B265" s="91">
        <v>20</v>
      </c>
      <c r="C265" s="91">
        <v>30</v>
      </c>
      <c r="D265" s="91">
        <v>35</v>
      </c>
      <c r="E265" s="91">
        <v>15</v>
      </c>
      <c r="F265" s="92">
        <v>1</v>
      </c>
      <c r="G265" s="92">
        <v>1.5</v>
      </c>
      <c r="H265" s="92">
        <v>4</v>
      </c>
      <c r="I265" s="92">
        <v>6</v>
      </c>
      <c r="N265" s="59">
        <f>SUMPRODUCT(B265:E265,F265:I265)/100</f>
        <v>2.95</v>
      </c>
      <c r="O265" s="59">
        <v>2.95</v>
      </c>
      <c r="P265" s="59">
        <v>2.95</v>
      </c>
      <c r="Q265" s="59">
        <v>2.95</v>
      </c>
      <c r="R265" s="59">
        <v>2.95</v>
      </c>
      <c r="S265" s="59">
        <v>2.95</v>
      </c>
      <c r="T265" s="59">
        <v>2.95</v>
      </c>
      <c r="U265" s="59">
        <v>2.95</v>
      </c>
      <c r="V265" s="59">
        <v>2.95</v>
      </c>
      <c r="W265" s="59">
        <v>2.95</v>
      </c>
      <c r="X265" s="59">
        <v>2.95</v>
      </c>
      <c r="Y265" s="59">
        <v>2.95</v>
      </c>
      <c r="Z265" s="59">
        <v>2.95</v>
      </c>
      <c r="AA265" s="59">
        <v>2.95</v>
      </c>
      <c r="AB265" s="59">
        <v>2.95</v>
      </c>
    </row>
    <row r="266" spans="1:28">
      <c r="A266" s="68" t="s">
        <v>255</v>
      </c>
      <c r="B266" s="75">
        <v>40</v>
      </c>
      <c r="C266" s="75">
        <v>40</v>
      </c>
      <c r="D266" s="75">
        <v>15</v>
      </c>
      <c r="E266" s="75">
        <v>5</v>
      </c>
      <c r="F266" s="2">
        <v>1</v>
      </c>
      <c r="G266" s="2">
        <v>1.5</v>
      </c>
      <c r="H266" s="2">
        <v>4</v>
      </c>
      <c r="I266" s="2">
        <v>6</v>
      </c>
      <c r="N266" s="59">
        <f t="shared" ref="N266:N280" si="44">SUMPRODUCT(B266:E266,F266:I266)/100</f>
        <v>1.9</v>
      </c>
      <c r="O266" s="59">
        <v>1.9</v>
      </c>
      <c r="P266" s="59">
        <v>1.9</v>
      </c>
      <c r="Q266" s="59">
        <v>1.9</v>
      </c>
      <c r="R266" s="59">
        <v>1.9</v>
      </c>
      <c r="S266" s="59">
        <v>1.9</v>
      </c>
      <c r="T266" s="59">
        <v>1.9</v>
      </c>
      <c r="U266" s="59">
        <v>1.9</v>
      </c>
      <c r="V266" s="59">
        <v>1.9</v>
      </c>
      <c r="W266" s="59">
        <v>1.9</v>
      </c>
      <c r="X266" s="59">
        <v>1.9</v>
      </c>
      <c r="Y266" s="59">
        <v>1.9</v>
      </c>
      <c r="Z266" s="59">
        <v>1.9</v>
      </c>
      <c r="AA266" s="59">
        <v>1.9</v>
      </c>
      <c r="AB266" s="59">
        <v>1.9</v>
      </c>
    </row>
    <row r="267" spans="1:28">
      <c r="A267" s="68" t="s">
        <v>257</v>
      </c>
      <c r="B267" s="75">
        <v>45</v>
      </c>
      <c r="C267" s="75">
        <v>35</v>
      </c>
      <c r="D267" s="75">
        <v>15</v>
      </c>
      <c r="E267" s="75">
        <v>5</v>
      </c>
      <c r="F267" s="2">
        <v>1</v>
      </c>
      <c r="G267" s="2">
        <v>1.5</v>
      </c>
      <c r="H267" s="2">
        <v>4</v>
      </c>
      <c r="I267" s="2">
        <v>6</v>
      </c>
      <c r="N267" s="59">
        <f t="shared" si="44"/>
        <v>1.875</v>
      </c>
      <c r="O267" s="59">
        <v>1.875</v>
      </c>
      <c r="P267" s="59">
        <v>1.875</v>
      </c>
      <c r="Q267" s="59">
        <v>1.875</v>
      </c>
      <c r="R267" s="59">
        <v>1.875</v>
      </c>
      <c r="S267" s="59">
        <v>1.875</v>
      </c>
      <c r="T267" s="59">
        <v>1.875</v>
      </c>
      <c r="U267" s="59">
        <v>1.875</v>
      </c>
      <c r="V267" s="59">
        <v>1.875</v>
      </c>
      <c r="W267" s="59">
        <v>1.875</v>
      </c>
      <c r="X267" s="59">
        <v>1.875</v>
      </c>
      <c r="Y267" s="59">
        <v>1.875</v>
      </c>
      <c r="Z267" s="59">
        <v>1.875</v>
      </c>
      <c r="AA267" s="59">
        <v>1.875</v>
      </c>
      <c r="AB267" s="59">
        <v>1.875</v>
      </c>
    </row>
    <row r="268" spans="1:28">
      <c r="A268" s="68" t="s">
        <v>259</v>
      </c>
      <c r="B268" s="75">
        <v>50</v>
      </c>
      <c r="C268" s="75">
        <v>30</v>
      </c>
      <c r="D268" s="75">
        <v>15</v>
      </c>
      <c r="E268" s="75">
        <v>5</v>
      </c>
      <c r="F268" s="2">
        <v>1</v>
      </c>
      <c r="G268" s="2">
        <v>1.5</v>
      </c>
      <c r="H268" s="2">
        <v>4</v>
      </c>
      <c r="I268" s="2">
        <v>6</v>
      </c>
      <c r="N268" s="59">
        <f t="shared" si="44"/>
        <v>1.85</v>
      </c>
      <c r="O268" s="59">
        <v>1.85</v>
      </c>
      <c r="P268" s="59">
        <v>1.85</v>
      </c>
      <c r="Q268" s="59">
        <v>1.85</v>
      </c>
      <c r="R268" s="59">
        <v>1.85</v>
      </c>
      <c r="S268" s="59">
        <v>1.85</v>
      </c>
      <c r="T268" s="59">
        <v>1.85</v>
      </c>
      <c r="U268" s="59">
        <v>1.85</v>
      </c>
      <c r="V268" s="59">
        <v>1.85</v>
      </c>
      <c r="W268" s="59">
        <v>1.85</v>
      </c>
      <c r="X268" s="59">
        <v>1.85</v>
      </c>
      <c r="Y268" s="59">
        <v>1.85</v>
      </c>
      <c r="Z268" s="59">
        <v>1.85</v>
      </c>
      <c r="AA268" s="59">
        <v>1.85</v>
      </c>
      <c r="AB268" s="59">
        <v>1.85</v>
      </c>
    </row>
    <row r="269" spans="1:28">
      <c r="A269" s="68" t="s">
        <v>261</v>
      </c>
      <c r="B269" s="75">
        <v>25</v>
      </c>
      <c r="C269" s="75">
        <v>35</v>
      </c>
      <c r="D269" s="75">
        <v>30</v>
      </c>
      <c r="E269" s="75">
        <v>10</v>
      </c>
      <c r="F269" s="2">
        <v>1</v>
      </c>
      <c r="G269" s="2">
        <v>1.5</v>
      </c>
      <c r="H269" s="2">
        <v>4</v>
      </c>
      <c r="I269" s="2">
        <v>6</v>
      </c>
      <c r="N269" s="59">
        <f t="shared" si="44"/>
        <v>2.5750000000000002</v>
      </c>
      <c r="O269" s="59">
        <v>2.5750000000000002</v>
      </c>
      <c r="P269" s="59">
        <v>2.5750000000000002</v>
      </c>
      <c r="Q269" s="59">
        <v>2.5750000000000002</v>
      </c>
      <c r="R269" s="59">
        <v>2.5750000000000002</v>
      </c>
      <c r="S269" s="59">
        <v>2.5750000000000002</v>
      </c>
      <c r="T269" s="59">
        <v>2.5750000000000002</v>
      </c>
      <c r="U269" s="59">
        <v>2.5750000000000002</v>
      </c>
      <c r="V269" s="59">
        <v>2.5750000000000002</v>
      </c>
      <c r="W269" s="59">
        <v>2.5750000000000002</v>
      </c>
      <c r="X269" s="59">
        <v>2.5750000000000002</v>
      </c>
      <c r="Y269" s="59">
        <v>2.5750000000000002</v>
      </c>
      <c r="Z269" s="59">
        <v>2.5750000000000002</v>
      </c>
      <c r="AA269" s="59">
        <v>2.5750000000000002</v>
      </c>
      <c r="AB269" s="59">
        <v>2.5750000000000002</v>
      </c>
    </row>
    <row r="270" spans="1:28">
      <c r="A270" s="68" t="s">
        <v>263</v>
      </c>
      <c r="B270" s="75">
        <v>55</v>
      </c>
      <c r="C270" s="75">
        <v>30</v>
      </c>
      <c r="D270" s="75">
        <v>10</v>
      </c>
      <c r="E270" s="75">
        <v>5</v>
      </c>
      <c r="F270" s="2">
        <v>1</v>
      </c>
      <c r="G270" s="2">
        <v>1.5</v>
      </c>
      <c r="H270" s="2">
        <v>4</v>
      </c>
      <c r="I270" s="2">
        <v>6</v>
      </c>
      <c r="N270" s="59">
        <f t="shared" si="44"/>
        <v>1.7</v>
      </c>
      <c r="O270" s="59">
        <v>1.7</v>
      </c>
      <c r="P270" s="59">
        <v>1.7</v>
      </c>
      <c r="Q270" s="59">
        <v>1.7</v>
      </c>
      <c r="R270" s="59">
        <v>1.7</v>
      </c>
      <c r="S270" s="59">
        <v>1.7</v>
      </c>
      <c r="T270" s="59">
        <v>1.7</v>
      </c>
      <c r="U270" s="59">
        <v>1.7</v>
      </c>
      <c r="V270" s="59">
        <v>1.7</v>
      </c>
      <c r="W270" s="59">
        <v>1.7</v>
      </c>
      <c r="X270" s="59">
        <v>1.7</v>
      </c>
      <c r="Y270" s="59">
        <v>1.7</v>
      </c>
      <c r="Z270" s="59">
        <v>1.7</v>
      </c>
      <c r="AA270" s="59">
        <v>1.7</v>
      </c>
      <c r="AB270" s="59">
        <v>1.7</v>
      </c>
    </row>
    <row r="271" spans="1:28">
      <c r="A271" s="68" t="s">
        <v>265</v>
      </c>
      <c r="B271" s="75">
        <v>90</v>
      </c>
      <c r="C271" s="75">
        <v>10</v>
      </c>
      <c r="D271" s="75">
        <v>0</v>
      </c>
      <c r="E271" s="75">
        <v>0</v>
      </c>
      <c r="F271" s="2">
        <v>1</v>
      </c>
      <c r="G271" s="2">
        <v>1.5</v>
      </c>
      <c r="H271" s="2">
        <v>4</v>
      </c>
      <c r="I271" s="2">
        <v>6</v>
      </c>
      <c r="N271" s="59">
        <f t="shared" si="44"/>
        <v>1.05</v>
      </c>
      <c r="O271" s="59">
        <v>1.05</v>
      </c>
      <c r="P271" s="59">
        <v>1.05</v>
      </c>
      <c r="Q271" s="59">
        <v>1.05</v>
      </c>
      <c r="R271" s="59">
        <v>1.05</v>
      </c>
      <c r="S271" s="59">
        <v>1.05</v>
      </c>
      <c r="T271" s="59">
        <v>1.05</v>
      </c>
      <c r="U271" s="59">
        <v>1.05</v>
      </c>
      <c r="V271" s="59">
        <v>1.05</v>
      </c>
      <c r="W271" s="59">
        <v>1.05</v>
      </c>
      <c r="X271" s="59">
        <v>1.05</v>
      </c>
      <c r="Y271" s="59">
        <v>1.05</v>
      </c>
      <c r="Z271" s="59">
        <v>1.05</v>
      </c>
      <c r="AA271" s="59">
        <v>1.05</v>
      </c>
      <c r="AB271" s="59">
        <v>1.05</v>
      </c>
    </row>
    <row r="272" spans="1:28">
      <c r="A272" s="68" t="s">
        <v>267</v>
      </c>
      <c r="B272" s="75">
        <v>20</v>
      </c>
      <c r="C272" s="75">
        <v>35</v>
      </c>
      <c r="D272" s="75">
        <v>30</v>
      </c>
      <c r="E272" s="75">
        <v>15</v>
      </c>
      <c r="F272" s="2">
        <v>1</v>
      </c>
      <c r="G272" s="2">
        <v>1.5</v>
      </c>
      <c r="H272" s="2">
        <v>4</v>
      </c>
      <c r="I272" s="2">
        <v>6</v>
      </c>
      <c r="N272" s="59">
        <f t="shared" si="44"/>
        <v>2.8250000000000002</v>
      </c>
      <c r="O272" s="59">
        <v>2.8250000000000002</v>
      </c>
      <c r="P272" s="59">
        <v>2.8250000000000002</v>
      </c>
      <c r="Q272" s="59">
        <v>2.8250000000000002</v>
      </c>
      <c r="R272" s="59">
        <v>2.8250000000000002</v>
      </c>
      <c r="S272" s="59">
        <v>2.8250000000000002</v>
      </c>
      <c r="T272" s="59">
        <v>2.8250000000000002</v>
      </c>
      <c r="U272" s="59">
        <v>2.8250000000000002</v>
      </c>
      <c r="V272" s="59">
        <v>2.8250000000000002</v>
      </c>
      <c r="W272" s="59">
        <v>2.8250000000000002</v>
      </c>
      <c r="X272" s="59">
        <v>2.8250000000000002</v>
      </c>
      <c r="Y272" s="59">
        <v>2.8250000000000002</v>
      </c>
      <c r="Z272" s="59">
        <v>2.8250000000000002</v>
      </c>
      <c r="AA272" s="59">
        <v>2.8250000000000002</v>
      </c>
      <c r="AB272" s="59">
        <v>2.8250000000000002</v>
      </c>
    </row>
    <row r="273" spans="1:28">
      <c r="A273" s="68" t="s">
        <v>270</v>
      </c>
      <c r="B273" s="75">
        <v>60</v>
      </c>
      <c r="C273" s="75">
        <v>30</v>
      </c>
      <c r="D273" s="75">
        <v>8</v>
      </c>
      <c r="E273" s="75">
        <v>2</v>
      </c>
      <c r="F273" s="2">
        <v>1</v>
      </c>
      <c r="G273" s="2">
        <v>1.5</v>
      </c>
      <c r="H273" s="2">
        <v>4</v>
      </c>
      <c r="I273" s="2">
        <v>6</v>
      </c>
      <c r="N273" s="59">
        <f t="shared" si="44"/>
        <v>1.49</v>
      </c>
      <c r="O273" s="59">
        <v>1.49</v>
      </c>
      <c r="P273" s="59">
        <v>1.49</v>
      </c>
      <c r="Q273" s="59">
        <v>1.49</v>
      </c>
      <c r="R273" s="59">
        <v>1.49</v>
      </c>
      <c r="S273" s="59">
        <v>1.49</v>
      </c>
      <c r="T273" s="59">
        <v>1.49</v>
      </c>
      <c r="U273" s="59">
        <v>1.49</v>
      </c>
      <c r="V273" s="59">
        <v>1.49</v>
      </c>
      <c r="W273" s="59">
        <v>1.49</v>
      </c>
      <c r="X273" s="59">
        <v>1.49</v>
      </c>
      <c r="Y273" s="59">
        <v>1.49</v>
      </c>
      <c r="Z273" s="59">
        <v>1.49</v>
      </c>
      <c r="AA273" s="59">
        <v>1.49</v>
      </c>
      <c r="AB273" s="59">
        <v>1.49</v>
      </c>
    </row>
    <row r="274" spans="1:28">
      <c r="A274" s="68" t="s">
        <v>285</v>
      </c>
      <c r="B274" s="75">
        <v>10</v>
      </c>
      <c r="C274" s="75">
        <v>30</v>
      </c>
      <c r="D274" s="75">
        <v>40</v>
      </c>
      <c r="E274" s="75">
        <v>20</v>
      </c>
      <c r="F274" s="2">
        <v>1</v>
      </c>
      <c r="G274" s="2">
        <v>1.5</v>
      </c>
      <c r="H274" s="2">
        <v>4</v>
      </c>
      <c r="I274" s="2">
        <v>6</v>
      </c>
      <c r="N274" s="59">
        <f t="shared" si="44"/>
        <v>3.35</v>
      </c>
      <c r="O274" s="59">
        <v>3.35</v>
      </c>
      <c r="P274" s="59">
        <v>3.35</v>
      </c>
      <c r="Q274" s="59">
        <v>3.35</v>
      </c>
      <c r="R274" s="59">
        <v>3.35</v>
      </c>
      <c r="S274" s="59">
        <v>3.35</v>
      </c>
      <c r="T274" s="59">
        <v>3.35</v>
      </c>
      <c r="U274" s="59">
        <v>3.35</v>
      </c>
      <c r="V274" s="59">
        <v>3.35</v>
      </c>
      <c r="W274" s="59">
        <v>3.35</v>
      </c>
      <c r="X274" s="59">
        <v>3.35</v>
      </c>
      <c r="Y274" s="59">
        <v>3.35</v>
      </c>
      <c r="Z274" s="59">
        <v>3.35</v>
      </c>
      <c r="AA274" s="59">
        <v>3.35</v>
      </c>
      <c r="AB274" s="59">
        <v>3.35</v>
      </c>
    </row>
    <row r="275" spans="1:28">
      <c r="A275" s="68" t="s">
        <v>498</v>
      </c>
      <c r="B275" s="75">
        <v>20</v>
      </c>
      <c r="C275" s="75">
        <v>40</v>
      </c>
      <c r="D275" s="75">
        <v>30</v>
      </c>
      <c r="E275" s="75">
        <v>10</v>
      </c>
      <c r="F275" s="2">
        <v>1</v>
      </c>
      <c r="G275" s="2">
        <v>1.5</v>
      </c>
      <c r="H275" s="2">
        <v>4</v>
      </c>
      <c r="I275" s="2">
        <v>6</v>
      </c>
      <c r="N275" s="59">
        <f t="shared" si="44"/>
        <v>2.6</v>
      </c>
      <c r="O275" s="59">
        <v>2.6</v>
      </c>
      <c r="P275" s="59">
        <v>2.6</v>
      </c>
      <c r="Q275" s="59">
        <v>2.6</v>
      </c>
      <c r="R275" s="59">
        <v>2.6</v>
      </c>
      <c r="S275" s="59">
        <v>2.6</v>
      </c>
      <c r="T275" s="59">
        <v>2.6</v>
      </c>
      <c r="U275" s="59">
        <v>2.6</v>
      </c>
      <c r="V275" s="59">
        <v>2.6</v>
      </c>
      <c r="W275" s="59">
        <v>2.6</v>
      </c>
      <c r="X275" s="59">
        <v>2.6</v>
      </c>
      <c r="Y275" s="59">
        <v>2.6</v>
      </c>
      <c r="Z275" s="59">
        <v>2.6</v>
      </c>
      <c r="AA275" s="59">
        <v>2.6</v>
      </c>
      <c r="AB275" s="59">
        <v>2.6</v>
      </c>
    </row>
    <row r="276" spans="1:28">
      <c r="A276" s="68" t="s">
        <v>275</v>
      </c>
      <c r="B276" s="75">
        <v>25</v>
      </c>
      <c r="C276" s="75">
        <v>35</v>
      </c>
      <c r="D276" s="75">
        <v>30</v>
      </c>
      <c r="E276" s="75">
        <v>10</v>
      </c>
      <c r="F276" s="2">
        <v>1</v>
      </c>
      <c r="G276" s="2">
        <v>1.5</v>
      </c>
      <c r="H276" s="2">
        <v>4</v>
      </c>
      <c r="I276" s="2">
        <v>6</v>
      </c>
      <c r="N276" s="59">
        <f t="shared" si="44"/>
        <v>2.5750000000000002</v>
      </c>
      <c r="O276" s="59">
        <v>2.5750000000000002</v>
      </c>
      <c r="P276" s="59">
        <v>2.5750000000000002</v>
      </c>
      <c r="Q276" s="59">
        <v>2.5750000000000002</v>
      </c>
      <c r="R276" s="59">
        <v>2.5750000000000002</v>
      </c>
      <c r="S276" s="59">
        <v>2.5750000000000002</v>
      </c>
      <c r="T276" s="59">
        <v>2.5750000000000002</v>
      </c>
      <c r="U276" s="59">
        <v>2.5750000000000002</v>
      </c>
      <c r="V276" s="59">
        <v>2.5750000000000002</v>
      </c>
      <c r="W276" s="59">
        <v>2.5750000000000002</v>
      </c>
      <c r="X276" s="59">
        <v>2.5750000000000002</v>
      </c>
      <c r="Y276" s="59">
        <v>2.5750000000000002</v>
      </c>
      <c r="Z276" s="59">
        <v>2.5750000000000002</v>
      </c>
      <c r="AA276" s="59">
        <v>2.5750000000000002</v>
      </c>
      <c r="AB276" s="59">
        <v>2.5750000000000002</v>
      </c>
    </row>
    <row r="277" spans="1:28">
      <c r="A277" s="68" t="s">
        <v>277</v>
      </c>
      <c r="B277" s="75">
        <v>80</v>
      </c>
      <c r="C277" s="75">
        <v>15</v>
      </c>
      <c r="D277" s="75">
        <v>5</v>
      </c>
      <c r="E277" s="75">
        <v>0</v>
      </c>
      <c r="F277" s="2">
        <v>1</v>
      </c>
      <c r="G277" s="2">
        <v>1.5</v>
      </c>
      <c r="H277" s="2">
        <v>4</v>
      </c>
      <c r="I277" s="2">
        <v>6</v>
      </c>
      <c r="N277" s="59">
        <f t="shared" si="44"/>
        <v>1.2250000000000001</v>
      </c>
      <c r="O277" s="59">
        <v>1.2250000000000001</v>
      </c>
      <c r="P277" s="59">
        <v>1.2250000000000001</v>
      </c>
      <c r="Q277" s="59">
        <v>1.2250000000000001</v>
      </c>
      <c r="R277" s="59">
        <v>1.2250000000000001</v>
      </c>
      <c r="S277" s="59">
        <v>1.2250000000000001</v>
      </c>
      <c r="T277" s="59">
        <v>1.2250000000000001</v>
      </c>
      <c r="U277" s="59">
        <v>1.2250000000000001</v>
      </c>
      <c r="V277" s="59">
        <v>1.2250000000000001</v>
      </c>
      <c r="W277" s="59">
        <v>1.2250000000000001</v>
      </c>
      <c r="X277" s="59">
        <v>1.2250000000000001</v>
      </c>
      <c r="Y277" s="59">
        <v>1.2250000000000001</v>
      </c>
      <c r="Z277" s="59">
        <v>1.2250000000000001</v>
      </c>
      <c r="AA277" s="59">
        <v>1.2250000000000001</v>
      </c>
      <c r="AB277" s="59">
        <v>1.2250000000000001</v>
      </c>
    </row>
    <row r="278" spans="1:28">
      <c r="A278" s="68" t="s">
        <v>279</v>
      </c>
      <c r="B278" s="75">
        <v>70</v>
      </c>
      <c r="C278" s="75">
        <v>25</v>
      </c>
      <c r="D278" s="75">
        <v>5</v>
      </c>
      <c r="E278" s="75">
        <v>0</v>
      </c>
      <c r="F278" s="2">
        <v>1</v>
      </c>
      <c r="G278" s="2">
        <v>1.5</v>
      </c>
      <c r="H278" s="2">
        <v>4</v>
      </c>
      <c r="I278" s="2">
        <v>6</v>
      </c>
      <c r="N278" s="59">
        <f t="shared" si="44"/>
        <v>1.2749999999999999</v>
      </c>
      <c r="O278" s="59">
        <v>1.2749999999999999</v>
      </c>
      <c r="P278" s="59">
        <v>1.2749999999999999</v>
      </c>
      <c r="Q278" s="59">
        <v>1.2749999999999999</v>
      </c>
      <c r="R278" s="59">
        <v>1.2749999999999999</v>
      </c>
      <c r="S278" s="59">
        <v>1.2749999999999999</v>
      </c>
      <c r="T278" s="59">
        <v>1.2749999999999999</v>
      </c>
      <c r="U278" s="59">
        <v>1.2749999999999999</v>
      </c>
      <c r="V278" s="59">
        <v>1.2749999999999999</v>
      </c>
      <c r="W278" s="59">
        <v>1.2749999999999999</v>
      </c>
      <c r="X278" s="59">
        <v>1.2749999999999999</v>
      </c>
      <c r="Y278" s="59">
        <v>1.2749999999999999</v>
      </c>
      <c r="Z278" s="59">
        <v>1.2749999999999999</v>
      </c>
      <c r="AA278" s="59">
        <v>1.2749999999999999</v>
      </c>
      <c r="AB278" s="59">
        <v>1.2749999999999999</v>
      </c>
    </row>
    <row r="279" spans="1:28">
      <c r="A279" s="68" t="s">
        <v>281</v>
      </c>
      <c r="B279" s="75">
        <v>60</v>
      </c>
      <c r="C279" s="75">
        <v>25</v>
      </c>
      <c r="D279" s="75">
        <v>10</v>
      </c>
      <c r="E279" s="75">
        <v>5</v>
      </c>
      <c r="F279" s="2">
        <v>1</v>
      </c>
      <c r="G279" s="2">
        <v>1.5</v>
      </c>
      <c r="H279" s="2">
        <v>4</v>
      </c>
      <c r="I279" s="2">
        <v>6</v>
      </c>
      <c r="N279" s="59">
        <f t="shared" si="44"/>
        <v>1.675</v>
      </c>
      <c r="O279" s="59">
        <v>1.675</v>
      </c>
      <c r="P279" s="59">
        <v>1.675</v>
      </c>
      <c r="Q279" s="59">
        <v>1.675</v>
      </c>
      <c r="R279" s="59">
        <v>1.675</v>
      </c>
      <c r="S279" s="59">
        <v>1.675</v>
      </c>
      <c r="T279" s="59">
        <v>1.675</v>
      </c>
      <c r="U279" s="59">
        <v>1.675</v>
      </c>
      <c r="V279" s="59">
        <v>1.675</v>
      </c>
      <c r="W279" s="59">
        <v>1.675</v>
      </c>
      <c r="X279" s="59">
        <v>1.675</v>
      </c>
      <c r="Y279" s="59">
        <v>1.675</v>
      </c>
      <c r="Z279" s="59">
        <v>1.675</v>
      </c>
      <c r="AA279" s="59">
        <v>1.675</v>
      </c>
      <c r="AB279" s="59">
        <v>1.675</v>
      </c>
    </row>
    <row r="280" spans="1:28">
      <c r="A280" s="68" t="s">
        <v>283</v>
      </c>
      <c r="B280" s="75">
        <v>15</v>
      </c>
      <c r="C280" s="75">
        <v>30</v>
      </c>
      <c r="D280" s="75">
        <v>35</v>
      </c>
      <c r="E280" s="75">
        <v>20</v>
      </c>
      <c r="F280" s="2">
        <v>1</v>
      </c>
      <c r="G280" s="2">
        <v>1.5</v>
      </c>
      <c r="H280" s="2">
        <v>4</v>
      </c>
      <c r="I280" s="2">
        <v>6</v>
      </c>
      <c r="N280" s="59">
        <f t="shared" si="44"/>
        <v>3.2</v>
      </c>
      <c r="O280" s="59">
        <v>3.2</v>
      </c>
      <c r="P280" s="59">
        <v>3.2</v>
      </c>
      <c r="Q280" s="59">
        <v>3.2</v>
      </c>
      <c r="R280" s="59">
        <v>3.2</v>
      </c>
      <c r="S280" s="59">
        <v>3.2</v>
      </c>
      <c r="T280" s="59">
        <v>3.2</v>
      </c>
      <c r="U280" s="59">
        <v>3.2</v>
      </c>
      <c r="V280" s="59">
        <v>3.2</v>
      </c>
      <c r="W280" s="59">
        <v>3.2</v>
      </c>
      <c r="X280" s="59">
        <v>3.2</v>
      </c>
      <c r="Y280" s="59">
        <v>3.2</v>
      </c>
      <c r="Z280" s="59">
        <v>3.2</v>
      </c>
      <c r="AA280" s="59">
        <v>3.2</v>
      </c>
      <c r="AB280" s="59">
        <v>3.2</v>
      </c>
    </row>
    <row r="282" spans="1:28" s="89" customFormat="1">
      <c r="A282" s="88" t="s">
        <v>628</v>
      </c>
    </row>
    <row r="284" spans="1:28">
      <c r="A284" s="9" t="s">
        <v>644</v>
      </c>
    </row>
    <row r="285" spans="1:28">
      <c r="A285" s="68" t="s">
        <v>253</v>
      </c>
      <c r="N285" s="141">
        <f t="shared" ref="N285:P285" si="45">N265*((N236*N196*N156*N129)+(N216*N176*N136*N131))/1000000000</f>
        <v>0</v>
      </c>
      <c r="O285" s="141">
        <f t="shared" si="45"/>
        <v>0</v>
      </c>
      <c r="P285" s="141">
        <f t="shared" si="45"/>
        <v>0</v>
      </c>
      <c r="Q285" s="141">
        <f>Q265*((Q236*Q196*Q156*Q129)+(Q216*Q176*Q136*Q131))/1000000000</f>
        <v>5.4658378799999996</v>
      </c>
      <c r="R285" s="141">
        <f>R265*((R236*R196*R156*R129)+(R216*R176*R136*R131))/1000000000</f>
        <v>7.2052482444000008</v>
      </c>
      <c r="S285" s="141">
        <f t="shared" ref="S285:AB285" si="46">S265*((S236*S196*S156*S129)+(S216*S176*S136*S131))/1000000000</f>
        <v>10.882127106585001</v>
      </c>
      <c r="T285" s="141">
        <f t="shared" si="46"/>
        <v>13.48024952568</v>
      </c>
      <c r="U285" s="141">
        <f t="shared" si="46"/>
        <v>17.821480502924999</v>
      </c>
      <c r="V285" s="141">
        <f t="shared" si="46"/>
        <v>19.743506078749999</v>
      </c>
      <c r="W285" s="141">
        <f t="shared" si="46"/>
        <v>25.656647304362505</v>
      </c>
      <c r="X285" s="141">
        <f t="shared" si="46"/>
        <v>31.513120396562499</v>
      </c>
      <c r="Y285" s="141">
        <f t="shared" si="46"/>
        <v>38.458616456362506</v>
      </c>
      <c r="Z285" s="141">
        <f t="shared" si="46"/>
        <v>45.067775273150005</v>
      </c>
      <c r="AA285" s="141">
        <f t="shared" si="46"/>
        <v>52.745389888375001</v>
      </c>
      <c r="AB285" s="141">
        <f t="shared" si="46"/>
        <v>61.657474998375001</v>
      </c>
    </row>
    <row r="286" spans="1:28">
      <c r="A286" s="68" t="s">
        <v>255</v>
      </c>
      <c r="N286" s="141">
        <f t="shared" ref="N286:P286" si="47">N266*((N237*N197*N157*N129)+(N217*N177*N137*N131))/1000000000</f>
        <v>0</v>
      </c>
      <c r="O286" s="141">
        <f t="shared" si="47"/>
        <v>0</v>
      </c>
      <c r="P286" s="141">
        <f t="shared" si="47"/>
        <v>0</v>
      </c>
      <c r="Q286" s="141">
        <f>Q266*((Q237*Q197*Q157*Q129)+(Q217*Q177*Q137*Q131))/1000000000</f>
        <v>0.26246006249999998</v>
      </c>
      <c r="R286" s="141">
        <f t="shared" ref="R286:AB286" si="48">R266*((R237*R197*R157*R129)+(R217*R177*R137*R131))/1000000000</f>
        <v>0.34609605705000002</v>
      </c>
      <c r="S286" s="141">
        <f t="shared" si="48"/>
        <v>0.52081409010000002</v>
      </c>
      <c r="T286" s="141">
        <f t="shared" si="48"/>
        <v>0.7505537927999999</v>
      </c>
      <c r="U286" s="141">
        <f t="shared" si="48"/>
        <v>1.02668461845</v>
      </c>
      <c r="V286" s="141">
        <f t="shared" si="48"/>
        <v>1.098390456</v>
      </c>
      <c r="W286" s="141">
        <f t="shared" si="48"/>
        <v>1.4273621968499999</v>
      </c>
      <c r="X286" s="141">
        <f t="shared" si="48"/>
        <v>1.753180171875</v>
      </c>
      <c r="Y286" s="141">
        <f t="shared" si="48"/>
        <v>2.1395832459749999</v>
      </c>
      <c r="Z286" s="141">
        <f t="shared" si="48"/>
        <v>2.5072275816</v>
      </c>
      <c r="AA286" s="141">
        <f t="shared" si="48"/>
        <v>2.9351657733750001</v>
      </c>
      <c r="AB286" s="141">
        <f t="shared" si="48"/>
        <v>3.4300934459999999</v>
      </c>
    </row>
    <row r="287" spans="1:28">
      <c r="A287" s="68" t="s">
        <v>257</v>
      </c>
      <c r="N287" s="141">
        <f t="shared" ref="N287:P287" si="49">N267*((N238*N198*N158*N129)+(N218*N178*N138*N131))/1000000000</f>
        <v>0</v>
      </c>
      <c r="O287" s="141">
        <f t="shared" si="49"/>
        <v>0</v>
      </c>
      <c r="P287" s="141">
        <f t="shared" si="49"/>
        <v>0</v>
      </c>
      <c r="Q287" s="141">
        <f>Q267*((Q238*Q198*Q158*Q129)+(Q218*Q178*Q138*Q131))/1000000000</f>
        <v>1.6384134374999999</v>
      </c>
      <c r="R287" s="141">
        <f t="shared" ref="R287:AB287" si="50">R267*((R238*R198*R158*R129)+(R218*R178*R138*R131))/1000000000</f>
        <v>2.1603209343750001</v>
      </c>
      <c r="S287" s="141">
        <f t="shared" si="50"/>
        <v>3.1905060879375</v>
      </c>
      <c r="T287" s="141">
        <f t="shared" si="50"/>
        <v>3.8649596265000001</v>
      </c>
      <c r="U287" s="141">
        <f t="shared" si="50"/>
        <v>4.9497913670624998</v>
      </c>
      <c r="V287" s="141">
        <f t="shared" si="50"/>
        <v>5.7114861824999998</v>
      </c>
      <c r="W287" s="141">
        <f t="shared" si="50"/>
        <v>7.4221005987187496</v>
      </c>
      <c r="X287" s="141">
        <f t="shared" si="50"/>
        <v>9.1162961531250009</v>
      </c>
      <c r="Y287" s="141">
        <f t="shared" si="50"/>
        <v>11.125529379562501</v>
      </c>
      <c r="Z287" s="141">
        <f t="shared" si="50"/>
        <v>13.03747112325</v>
      </c>
      <c r="AA287" s="141">
        <f t="shared" si="50"/>
        <v>15.25846319878125</v>
      </c>
      <c r="AB287" s="141">
        <f t="shared" si="50"/>
        <v>17.836614317812501</v>
      </c>
    </row>
    <row r="288" spans="1:28">
      <c r="A288" s="68" t="s">
        <v>259</v>
      </c>
      <c r="N288" s="141">
        <f t="shared" ref="N288:P288" si="51">N268*((N239*N199*N159*N129)+(N219*N179*N139*N131))/1000000000</f>
        <v>0</v>
      </c>
      <c r="O288" s="141">
        <f t="shared" si="51"/>
        <v>0</v>
      </c>
      <c r="P288" s="141">
        <f t="shared" si="51"/>
        <v>0</v>
      </c>
      <c r="Q288" s="141">
        <f>Q268*((Q239*Q199*Q159*Q129)+(Q219*Q179*Q139*Q131))/1000000000</f>
        <v>1.38356296875</v>
      </c>
      <c r="R288" s="141">
        <f t="shared" ref="R288:AB288" si="52">R268*((R239*R199*R159*R129)+(R219*R179*R139*R131))/1000000000</f>
        <v>1.824090236625</v>
      </c>
      <c r="S288" s="141">
        <f t="shared" si="52"/>
        <v>3.0494386468250001</v>
      </c>
      <c r="T288" s="141">
        <f t="shared" si="52"/>
        <v>4.1005347236</v>
      </c>
      <c r="U288" s="141">
        <f t="shared" si="52"/>
        <v>5.6260230397499997</v>
      </c>
      <c r="V288" s="141">
        <f t="shared" si="52"/>
        <v>6.0872145069999997</v>
      </c>
      <c r="W288" s="141">
        <f t="shared" si="52"/>
        <v>7.9103635718500005</v>
      </c>
      <c r="X288" s="141">
        <f t="shared" si="52"/>
        <v>9.7159439600000006</v>
      </c>
      <c r="Y288" s="141">
        <f t="shared" si="52"/>
        <v>11.857332348450001</v>
      </c>
      <c r="Z288" s="141">
        <f t="shared" si="52"/>
        <v>13.8950019817</v>
      </c>
      <c r="AA288" s="141">
        <f t="shared" si="52"/>
        <v>16.262127851150002</v>
      </c>
      <c r="AB288" s="141">
        <f t="shared" si="52"/>
        <v>19.00986624375</v>
      </c>
    </row>
    <row r="289" spans="1:28">
      <c r="A289" s="68" t="s">
        <v>261</v>
      </c>
      <c r="N289" s="141">
        <f t="shared" ref="N289:P289" si="53">N269*((N240*N200*N160*N129)+(N220*N180*N140*N131))/1000000000</f>
        <v>0</v>
      </c>
      <c r="O289" s="141">
        <f t="shared" si="53"/>
        <v>0</v>
      </c>
      <c r="P289" s="141">
        <f t="shared" si="53"/>
        <v>0</v>
      </c>
      <c r="Q289" s="141">
        <f>Q269*((Q240*Q200*Q160*Q129)+(Q220*Q180*Q140*Q131))/1000000000</f>
        <v>8.3796165000000009</v>
      </c>
      <c r="R289" s="141">
        <f t="shared" ref="R289:AB289" si="54">R269*((R240*R200*R160*R129)+(R220*R180*R140*R131))/1000000000</f>
        <v>11.046051145</v>
      </c>
      <c r="S289" s="141">
        <f t="shared" si="54"/>
        <v>17.261530091370002</v>
      </c>
      <c r="T289" s="141">
        <f t="shared" si="54"/>
        <v>22.091660337600004</v>
      </c>
      <c r="U289" s="141">
        <f t="shared" si="54"/>
        <v>27.413093438720001</v>
      </c>
      <c r="V289" s="141">
        <f t="shared" si="54"/>
        <v>32.285941879200003</v>
      </c>
      <c r="W289" s="141">
        <f t="shared" si="54"/>
        <v>41.955473465520015</v>
      </c>
      <c r="X289" s="141">
        <f t="shared" si="54"/>
        <v>51.532235909999997</v>
      </c>
      <c r="Y289" s="141">
        <f t="shared" si="54"/>
        <v>62.889924118680007</v>
      </c>
      <c r="Z289" s="141">
        <f t="shared" si="54"/>
        <v>73.697921844960007</v>
      </c>
      <c r="AA289" s="141">
        <f t="shared" si="54"/>
        <v>86.252813323799998</v>
      </c>
      <c r="AB289" s="141">
        <f t="shared" si="54"/>
        <v>100.82660594040001</v>
      </c>
    </row>
    <row r="290" spans="1:28">
      <c r="A290" s="68" t="s">
        <v>263</v>
      </c>
      <c r="N290" s="141">
        <f t="shared" ref="N290:P290" si="55">N270*((N241*N201*N161*N129)+(N221*N181*N141*N131))/1000000000</f>
        <v>0</v>
      </c>
      <c r="O290" s="141">
        <f t="shared" si="55"/>
        <v>0</v>
      </c>
      <c r="P290" s="141">
        <f t="shared" si="55"/>
        <v>0</v>
      </c>
      <c r="Q290" s="141">
        <f>Q270*((Q241*Q201*Q161*Q129)+(Q221*Q181*Q141*Q131))/1000000000</f>
        <v>0.55660424625000005</v>
      </c>
      <c r="R290" s="141">
        <f t="shared" ref="R290:AB290" si="56">R270*((R241*R201*R161*R129)+(R221*R181*R141*R131))/1000000000</f>
        <v>0.7337586989699999</v>
      </c>
      <c r="S290" s="141">
        <f t="shared" si="56"/>
        <v>1.2995728016400001</v>
      </c>
      <c r="T290" s="141">
        <f t="shared" si="56"/>
        <v>1.8684746396399996</v>
      </c>
      <c r="U290" s="141">
        <f t="shared" si="56"/>
        <v>2.565486843345</v>
      </c>
      <c r="V290" s="141">
        <f t="shared" si="56"/>
        <v>3.0386182652999998</v>
      </c>
      <c r="W290" s="141">
        <f t="shared" si="56"/>
        <v>3.9486869847449997</v>
      </c>
      <c r="X290" s="141">
        <f t="shared" si="56"/>
        <v>4.850030710125</v>
      </c>
      <c r="Y290" s="141">
        <f t="shared" si="56"/>
        <v>5.9189562863999994</v>
      </c>
      <c r="Z290" s="141">
        <f t="shared" si="56"/>
        <v>6.9361492158000004</v>
      </c>
      <c r="AA290" s="141">
        <f t="shared" si="56"/>
        <v>8.1177442537049984</v>
      </c>
      <c r="AB290" s="141">
        <f t="shared" si="56"/>
        <v>9.4893646230000002</v>
      </c>
    </row>
    <row r="291" spans="1:28">
      <c r="A291" s="68" t="s">
        <v>265</v>
      </c>
      <c r="N291" s="141">
        <f t="shared" ref="N291:P291" si="57">N271*((N242*N202*N162*N129)+(N222*N182*N142*N131))/1000000000</f>
        <v>0</v>
      </c>
      <c r="O291" s="141">
        <f t="shared" si="57"/>
        <v>0</v>
      </c>
      <c r="P291" s="141">
        <f t="shared" si="57"/>
        <v>0</v>
      </c>
      <c r="Q291" s="141">
        <f>Q271*((Q242*Q202*Q162*Q129)+(Q222*Q182*Q142*Q131))/1000000000</f>
        <v>1.4409045000000001E-2</v>
      </c>
      <c r="R291" s="141">
        <f t="shared" ref="R291:AB291" si="58">R271*((R242*R202*R162*R129)+(R222*R182*R142*R131))/1000000000</f>
        <v>1.8999305850000002E-2</v>
      </c>
      <c r="S291" s="141">
        <f t="shared" si="58"/>
        <v>3.4071174480000001E-2</v>
      </c>
      <c r="T291" s="141">
        <f t="shared" si="58"/>
        <v>4.9055640480000003E-2</v>
      </c>
      <c r="U291" s="141">
        <f t="shared" si="58"/>
        <v>6.714312486E-2</v>
      </c>
      <c r="V291" s="141">
        <f t="shared" si="58"/>
        <v>8.9257215600000009E-2</v>
      </c>
      <c r="W291" s="141">
        <f t="shared" si="58"/>
        <v>0.11598417621</v>
      </c>
      <c r="X291" s="141">
        <f t="shared" si="58"/>
        <v>0.14245938</v>
      </c>
      <c r="Y291" s="141">
        <f t="shared" si="58"/>
        <v>0.17388302967000002</v>
      </c>
      <c r="Z291" s="141">
        <f t="shared" si="58"/>
        <v>0.20379188592000003</v>
      </c>
      <c r="AA291" s="141">
        <f t="shared" si="58"/>
        <v>0.23850371139000001</v>
      </c>
      <c r="AB291" s="141">
        <f t="shared" si="58"/>
        <v>0.27880593930000003</v>
      </c>
    </row>
    <row r="292" spans="1:28">
      <c r="A292" s="68" t="s">
        <v>267</v>
      </c>
      <c r="N292" s="141">
        <f t="shared" ref="N292:P292" si="59">N272*((N243*N203*N163*N129)+(N223*N183*N143*N131))/1000000000</f>
        <v>0</v>
      </c>
      <c r="O292" s="141">
        <f t="shared" si="59"/>
        <v>0</v>
      </c>
      <c r="P292" s="141">
        <f t="shared" si="59"/>
        <v>0</v>
      </c>
      <c r="Q292" s="141">
        <f>Q272*((Q243*Q203*Q163*Q129)+(Q223*Q183*Q143*Q131))/1000000000</f>
        <v>1.5859860750000001</v>
      </c>
      <c r="R292" s="141">
        <f t="shared" ref="R292:AB292" si="60">R272*((R243*R203*R163*R129)+(R223*R183*R143*R131))/1000000000</f>
        <v>2.0909588647500001</v>
      </c>
      <c r="S292" s="141">
        <f t="shared" si="60"/>
        <v>3.7228771091250001</v>
      </c>
      <c r="T292" s="141">
        <f t="shared" si="60"/>
        <v>4.8319476870000004</v>
      </c>
      <c r="U292" s="141">
        <f t="shared" si="60"/>
        <v>6.6287295781000006</v>
      </c>
      <c r="V292" s="141">
        <f t="shared" si="60"/>
        <v>8.8248587632500008</v>
      </c>
      <c r="W292" s="141">
        <f t="shared" si="60"/>
        <v>11.451514001874999</v>
      </c>
      <c r="X292" s="141">
        <f t="shared" si="60"/>
        <v>14.0654694459375</v>
      </c>
      <c r="Y292" s="141">
        <f t="shared" si="60"/>
        <v>17.165532843900003</v>
      </c>
      <c r="Z292" s="141">
        <f t="shared" si="60"/>
        <v>20.115483379250001</v>
      </c>
      <c r="AA292" s="141">
        <f t="shared" si="60"/>
        <v>23.542259448187501</v>
      </c>
      <c r="AB292" s="141">
        <f t="shared" si="60"/>
        <v>27.520048645500001</v>
      </c>
    </row>
    <row r="293" spans="1:28">
      <c r="A293" s="68" t="s">
        <v>270</v>
      </c>
      <c r="N293" s="141">
        <f t="shared" ref="N293:P293" si="61">N273*((N244*N204*N164*N129)+(N224*N184*N144*N131))/1000000000</f>
        <v>0</v>
      </c>
      <c r="O293" s="141">
        <f t="shared" si="61"/>
        <v>0</v>
      </c>
      <c r="P293" s="141">
        <f t="shared" si="61"/>
        <v>0</v>
      </c>
      <c r="Q293" s="141">
        <f>Q273*((Q244*Q204*Q164*Q129)+(Q224*Q184*Q144*Q131))/1000000000</f>
        <v>0.33231723299999999</v>
      </c>
      <c r="R293" s="141">
        <f t="shared" ref="R293:AB293" si="62">R273*((R244*R204*R164*R129)+(R224*R184*R144*R131))/1000000000</f>
        <v>0.43810160229</v>
      </c>
      <c r="S293" s="141">
        <f t="shared" si="62"/>
        <v>0.77761570403250002</v>
      </c>
      <c r="T293" s="141">
        <f t="shared" si="62"/>
        <v>1.008797935656</v>
      </c>
      <c r="U293" s="141">
        <f t="shared" si="62"/>
        <v>1.3713141987764998</v>
      </c>
      <c r="V293" s="141">
        <f t="shared" si="62"/>
        <v>1.83952093392</v>
      </c>
      <c r="W293" s="141">
        <f t="shared" si="62"/>
        <v>2.3904841241880002</v>
      </c>
      <c r="X293" s="141">
        <f t="shared" si="62"/>
        <v>2.9361348544499997</v>
      </c>
      <c r="Y293" s="141">
        <f t="shared" si="62"/>
        <v>3.5832414145275</v>
      </c>
      <c r="Z293" s="141">
        <f t="shared" si="62"/>
        <v>4.1990212638360003</v>
      </c>
      <c r="AA293" s="141">
        <f t="shared" si="62"/>
        <v>4.9143542993054998</v>
      </c>
      <c r="AB293" s="141">
        <f t="shared" si="62"/>
        <v>5.7447286807050002</v>
      </c>
    </row>
    <row r="294" spans="1:28">
      <c r="A294" s="68" t="s">
        <v>285</v>
      </c>
      <c r="N294" s="141">
        <f t="shared" ref="N294:AB294" si="63">N274*((N245*N205*N165*N129)+(N225*N185*N145*N131))/1000000000</f>
        <v>0</v>
      </c>
      <c r="O294" s="141">
        <f t="shared" si="63"/>
        <v>0</v>
      </c>
      <c r="P294" s="141">
        <f t="shared" si="63"/>
        <v>0</v>
      </c>
      <c r="Q294" s="141">
        <f>Q274*((Q245*Q205*Q165*Q129)+(Q225*Q185*Q145*Q131))/1000000000</f>
        <v>0</v>
      </c>
      <c r="R294" s="141">
        <f t="shared" si="63"/>
        <v>0</v>
      </c>
      <c r="S294" s="141">
        <f t="shared" si="63"/>
        <v>14.65970385</v>
      </c>
      <c r="T294" s="141">
        <f t="shared" si="63"/>
        <v>23.364045432000001</v>
      </c>
      <c r="U294" s="141">
        <f t="shared" si="63"/>
        <v>34.680018857249998</v>
      </c>
      <c r="V294" s="141">
        <f t="shared" si="63"/>
        <v>51.711207187500001</v>
      </c>
      <c r="W294" s="141">
        <f t="shared" si="63"/>
        <v>67.198623412515005</v>
      </c>
      <c r="X294" s="141">
        <f t="shared" si="63"/>
        <v>82.537355735624999</v>
      </c>
      <c r="Y294" s="141">
        <f t="shared" si="63"/>
        <v>100.72843448598002</v>
      </c>
      <c r="Z294" s="141">
        <f t="shared" si="63"/>
        <v>118.03884792588002</v>
      </c>
      <c r="AA294" s="141">
        <f t="shared" si="63"/>
        <v>138.14765638506003</v>
      </c>
      <c r="AB294" s="141">
        <f t="shared" si="63"/>
        <v>161.48965591395</v>
      </c>
    </row>
    <row r="295" spans="1:28">
      <c r="A295" s="68" t="s">
        <v>498</v>
      </c>
      <c r="N295" s="141">
        <f t="shared" ref="N295:P295" si="64">N275*((N246*N206*N166*N129)+(N226*N186*N146*N131))/1000000000</f>
        <v>0</v>
      </c>
      <c r="O295" s="141">
        <f t="shared" si="64"/>
        <v>0</v>
      </c>
      <c r="P295" s="141">
        <f t="shared" si="64"/>
        <v>0</v>
      </c>
      <c r="Q295" s="141">
        <f>Q275*((Q246*Q206*Q166*Q129)+(Q226*Q186*Q146*Q131))/1000000000</f>
        <v>0</v>
      </c>
      <c r="R295" s="141">
        <f t="shared" ref="R295:AB295" si="65">R275*((R246*R206*R166*R129)+(R226*R186*R146*R131))/1000000000</f>
        <v>0</v>
      </c>
      <c r="S295" s="141">
        <f t="shared" si="65"/>
        <v>0</v>
      </c>
      <c r="T295" s="141">
        <f t="shared" si="65"/>
        <v>5.0363913599999997</v>
      </c>
      <c r="U295" s="141">
        <f t="shared" si="65"/>
        <v>7.6481735421000003</v>
      </c>
      <c r="V295" s="141">
        <f t="shared" si="65"/>
        <v>11.165171253600001</v>
      </c>
      <c r="W295" s="141">
        <f t="shared" si="65"/>
        <v>14.514790322760001</v>
      </c>
      <c r="X295" s="141">
        <f t="shared" si="65"/>
        <v>17.828005422500002</v>
      </c>
      <c r="Y295" s="141">
        <f t="shared" si="65"/>
        <v>21.757363254900003</v>
      </c>
      <c r="Z295" s="141">
        <f t="shared" si="65"/>
        <v>25.496345012320003</v>
      </c>
      <c r="AA295" s="141">
        <f t="shared" si="65"/>
        <v>29.839835441780004</v>
      </c>
      <c r="AB295" s="141">
        <f t="shared" si="65"/>
        <v>34.881612784200001</v>
      </c>
    </row>
    <row r="296" spans="1:28">
      <c r="A296" s="68" t="s">
        <v>275</v>
      </c>
      <c r="N296" s="141">
        <f t="shared" ref="N296:P296" si="66">N276*((N247*N207*N167*N129)+(N227*N187*N147*N131))/1000000000</f>
        <v>0</v>
      </c>
      <c r="O296" s="141">
        <f t="shared" si="66"/>
        <v>0</v>
      </c>
      <c r="P296" s="141">
        <f t="shared" si="66"/>
        <v>0</v>
      </c>
      <c r="Q296" s="141">
        <f>Q276*((Q247*Q207*Q167*Q129)+(Q227*Q187*Q147*Q131))/1000000000</f>
        <v>0</v>
      </c>
      <c r="R296" s="141">
        <f t="shared" ref="R296:AA296" si="67">R276*((R247*R207*R167*R129)+(R227*R187*R147*R131))/1000000000</f>
        <v>0</v>
      </c>
      <c r="S296" s="141">
        <f t="shared" si="67"/>
        <v>0</v>
      </c>
      <c r="T296" s="141">
        <f t="shared" si="67"/>
        <v>6.0288107331200003</v>
      </c>
      <c r="U296" s="141">
        <f t="shared" si="67"/>
        <v>8.2425889359000006</v>
      </c>
      <c r="V296" s="141">
        <f t="shared" si="67"/>
        <v>10.957717335600002</v>
      </c>
      <c r="W296" s="141">
        <f t="shared" si="67"/>
        <v>14.239561178340001</v>
      </c>
      <c r="X296" s="141">
        <f t="shared" si="67"/>
        <v>17.489919892500005</v>
      </c>
      <c r="Y296" s="141">
        <f t="shared" si="67"/>
        <v>21.344711677380001</v>
      </c>
      <c r="Z296" s="141">
        <f t="shared" si="67"/>
        <v>25.012893931200001</v>
      </c>
      <c r="AA296" s="141">
        <f t="shared" si="67"/>
        <v>29.273964879780006</v>
      </c>
      <c r="AB296" s="141">
        <f>AB276*((AB247*AB207*AB167*AB129)+(AB227*AB187*AB147*AB131))/1000000000</f>
        <v>34.220288430000004</v>
      </c>
    </row>
    <row r="297" spans="1:28">
      <c r="A297" s="68" t="s">
        <v>277</v>
      </c>
      <c r="N297" s="141">
        <f t="shared" ref="N297:P297" si="68">N276*((N248*N208*N168*N129)+(N228*N188*N148*N131))/1000000000</f>
        <v>0</v>
      </c>
      <c r="O297" s="141">
        <f t="shared" si="68"/>
        <v>0</v>
      </c>
      <c r="P297" s="141">
        <f t="shared" si="68"/>
        <v>0</v>
      </c>
      <c r="Q297" s="141">
        <f>Q277*((Q248*Q208*Q168*Q129)+(Q228*Q188*Q148*Q131))/1000000000</f>
        <v>0</v>
      </c>
      <c r="R297" s="141">
        <f t="shared" ref="R297:AB297" si="69">R276*((R248*R208*R168*R129)+(R228*R188*R148*R131))/1000000000</f>
        <v>0</v>
      </c>
      <c r="S297" s="141">
        <f t="shared" si="69"/>
        <v>0</v>
      </c>
      <c r="T297" s="141">
        <f t="shared" si="69"/>
        <v>0</v>
      </c>
      <c r="U297" s="141">
        <f t="shared" si="69"/>
        <v>0</v>
      </c>
      <c r="V297" s="141">
        <f t="shared" si="69"/>
        <v>0.2034456</v>
      </c>
      <c r="W297" s="141">
        <f t="shared" si="69"/>
        <v>0.2643775572</v>
      </c>
      <c r="X297" s="141">
        <f t="shared" si="69"/>
        <v>0.32472690262499998</v>
      </c>
      <c r="Y297" s="141">
        <f t="shared" si="69"/>
        <v>0.39628472015249999</v>
      </c>
      <c r="Z297" s="141">
        <f t="shared" si="69"/>
        <v>0.46438803201000006</v>
      </c>
      <c r="AA297" s="141">
        <f t="shared" si="69"/>
        <v>0.54349907721000001</v>
      </c>
      <c r="AB297" s="141">
        <f t="shared" si="69"/>
        <v>0.6353328451500001</v>
      </c>
    </row>
    <row r="298" spans="1:28">
      <c r="A298" s="68" t="s">
        <v>279</v>
      </c>
      <c r="N298" s="141">
        <f t="shared" ref="N298:P298" si="70">N278*((N249*N209*N169*N129)+(N229*N189*N149*N131))/1000000000</f>
        <v>0</v>
      </c>
      <c r="O298" s="141">
        <f t="shared" si="70"/>
        <v>0</v>
      </c>
      <c r="P298" s="141">
        <f t="shared" si="70"/>
        <v>0</v>
      </c>
      <c r="Q298" s="141">
        <f>Q278*((Q249*Q209*Q169*Q129)+(Q229*Q189*Q149*Q131))/1000000000</f>
        <v>0</v>
      </c>
      <c r="R298" s="141">
        <f t="shared" ref="R298:AB298" si="71">R278*((R249*R209*R169*R129)+(R229*R189*R149*R131))/1000000000</f>
        <v>0</v>
      </c>
      <c r="S298" s="141">
        <f t="shared" si="71"/>
        <v>0</v>
      </c>
      <c r="T298" s="141">
        <f t="shared" si="71"/>
        <v>1.7074685249999999</v>
      </c>
      <c r="U298" s="141">
        <f t="shared" si="71"/>
        <v>2.76657276735</v>
      </c>
      <c r="V298" s="141">
        <f t="shared" si="71"/>
        <v>4.1241058582499992</v>
      </c>
      <c r="W298" s="141">
        <f t="shared" si="71"/>
        <v>5.3592903896625002</v>
      </c>
      <c r="X298" s="141">
        <f t="shared" si="71"/>
        <v>6.5825813474999997</v>
      </c>
      <c r="Y298" s="141">
        <f t="shared" si="71"/>
        <v>8.0333761047749999</v>
      </c>
      <c r="Z298" s="141">
        <f t="shared" si="71"/>
        <v>9.4138802982000005</v>
      </c>
      <c r="AA298" s="141">
        <f t="shared" si="71"/>
        <v>11.017560123787499</v>
      </c>
      <c r="AB298" s="141">
        <f t="shared" si="71"/>
        <v>12.87919173375</v>
      </c>
    </row>
    <row r="299" spans="1:28">
      <c r="A299" s="68" t="s">
        <v>281</v>
      </c>
      <c r="N299" s="141">
        <f t="shared" ref="N299:P299" si="72">N279*((N249*N209*N169*N129)+(N229*N189*N149*N131))/1000000000</f>
        <v>0</v>
      </c>
      <c r="O299" s="141">
        <f t="shared" si="72"/>
        <v>0</v>
      </c>
      <c r="P299" s="141">
        <f t="shared" si="72"/>
        <v>0</v>
      </c>
      <c r="Q299" s="141">
        <f>Q279*((Q250*Q210*Q170*Q129)+(Q230*Q190*Q150*Q131))/1000000000</f>
        <v>0</v>
      </c>
      <c r="R299" s="141">
        <f t="shared" ref="R299:AB299" si="73">R279*((R249*R209*R169*R129)+(R229*R189*R149*R131))/1000000000</f>
        <v>0</v>
      </c>
      <c r="S299" s="141">
        <f t="shared" si="73"/>
        <v>0</v>
      </c>
      <c r="T299" s="141">
        <f t="shared" si="73"/>
        <v>2.2431449250000002</v>
      </c>
      <c r="U299" s="141">
        <f t="shared" si="73"/>
        <v>3.6345171649500001</v>
      </c>
      <c r="V299" s="141">
        <f t="shared" si="73"/>
        <v>5.4179429902500003</v>
      </c>
      <c r="W299" s="141">
        <f t="shared" si="73"/>
        <v>7.040636394262501</v>
      </c>
      <c r="X299" s="141">
        <f t="shared" si="73"/>
        <v>8.6477049074999996</v>
      </c>
      <c r="Y299" s="141">
        <f t="shared" si="73"/>
        <v>10.553650961175002</v>
      </c>
      <c r="Z299" s="141">
        <f t="shared" si="73"/>
        <v>12.367254509400002</v>
      </c>
      <c r="AA299" s="141">
        <f t="shared" si="73"/>
        <v>14.4740495743875</v>
      </c>
      <c r="AB299" s="141">
        <f t="shared" si="73"/>
        <v>16.919722473749999</v>
      </c>
    </row>
    <row r="300" spans="1:28">
      <c r="A300" s="68" t="s">
        <v>283</v>
      </c>
      <c r="N300" s="141">
        <f t="shared" ref="N300:P300" si="74">N280*((N250*N210*N170*N129)+(N230*N190*N150*N131))/1000000000</f>
        <v>0</v>
      </c>
      <c r="O300" s="141">
        <f t="shared" si="74"/>
        <v>0</v>
      </c>
      <c r="P300" s="141">
        <f t="shared" si="74"/>
        <v>0</v>
      </c>
      <c r="Q300" s="141">
        <f>Q280*((Q251*Q211*Q171*Q129)+(Q231*Q191*Q151*Q131))/1000000000</f>
        <v>0</v>
      </c>
      <c r="R300" s="141">
        <f t="shared" ref="R300:AB300" si="75">R280*((R250*R210*R170*R129)+(R230*R190*R150*R131))/1000000000</f>
        <v>0</v>
      </c>
      <c r="S300" s="141">
        <f t="shared" si="75"/>
        <v>0</v>
      </c>
      <c r="T300" s="141">
        <f t="shared" si="75"/>
        <v>0</v>
      </c>
      <c r="U300" s="141">
        <f t="shared" si="75"/>
        <v>1.7006528000000001</v>
      </c>
      <c r="V300" s="141">
        <f t="shared" si="75"/>
        <v>3.8911269759999998</v>
      </c>
      <c r="W300" s="141">
        <f t="shared" si="75"/>
        <v>5.0565214726400001</v>
      </c>
      <c r="X300" s="141">
        <f t="shared" si="75"/>
        <v>6.2107400960000003</v>
      </c>
      <c r="Y300" s="141">
        <f t="shared" si="75"/>
        <v>7.5795678201600012</v>
      </c>
      <c r="Z300" s="141">
        <f t="shared" si="75"/>
        <v>8.8820928716800012</v>
      </c>
      <c r="AA300" s="141">
        <f t="shared" si="75"/>
        <v>10.395233279999999</v>
      </c>
      <c r="AB300" s="141">
        <f t="shared" si="75"/>
        <v>12.151681344</v>
      </c>
    </row>
    <row r="302" spans="1:28" s="59" customFormat="1">
      <c r="A302" s="194" t="s">
        <v>632</v>
      </c>
      <c r="B302"/>
      <c r="C302"/>
      <c r="D302"/>
      <c r="E302"/>
      <c r="F302"/>
      <c r="G302"/>
      <c r="H302"/>
      <c r="I302"/>
      <c r="J302"/>
      <c r="K302"/>
      <c r="L302"/>
      <c r="M302"/>
      <c r="N302" s="141">
        <f xml:space="preserve"> SUM(N285:N300)</f>
        <v>0</v>
      </c>
      <c r="O302" s="141">
        <f t="shared" ref="O302:AB302" si="76" xml:space="preserve"> SUM(O285:O300)</f>
        <v>0</v>
      </c>
      <c r="P302" s="141">
        <f t="shared" si="76"/>
        <v>0</v>
      </c>
      <c r="Q302" s="141">
        <f t="shared" si="76"/>
        <v>19.619207448000004</v>
      </c>
      <c r="R302" s="141">
        <f t="shared" si="76"/>
        <v>25.863625089310002</v>
      </c>
      <c r="S302" s="141">
        <f t="shared" si="76"/>
        <v>55.398256662094994</v>
      </c>
      <c r="T302" s="141">
        <f t="shared" si="76"/>
        <v>90.426094884075994</v>
      </c>
      <c r="U302" s="141">
        <f t="shared" si="76"/>
        <v>126.142270779539</v>
      </c>
      <c r="V302" s="141">
        <f t="shared" si="76"/>
        <v>166.18951148272004</v>
      </c>
      <c r="W302" s="141">
        <f t="shared" si="76"/>
        <v>215.95241715169931</v>
      </c>
      <c r="X302" s="141">
        <f t="shared" si="76"/>
        <v>265.24590528632501</v>
      </c>
      <c r="Y302" s="141">
        <f t="shared" si="76"/>
        <v>323.70598814805004</v>
      </c>
      <c r="Z302" s="141">
        <f t="shared" si="76"/>
        <v>379.33554613015599</v>
      </c>
      <c r="AA302" s="141">
        <f t="shared" si="76"/>
        <v>443.9586205100743</v>
      </c>
      <c r="AB302" s="141">
        <f t="shared" si="76"/>
        <v>518.97108835964264</v>
      </c>
    </row>
    <row r="304" spans="1:28" ht="57.6">
      <c r="A304" s="19" t="s">
        <v>40</v>
      </c>
      <c r="B304" s="69" t="s">
        <v>525</v>
      </c>
      <c r="C304" s="17" t="s">
        <v>39</v>
      </c>
      <c r="D304" s="69" t="s">
        <v>526</v>
      </c>
      <c r="E304" s="18" t="s">
        <v>491</v>
      </c>
      <c r="F304" s="62" t="s">
        <v>522</v>
      </c>
      <c r="N304" s="231" t="s">
        <v>668</v>
      </c>
      <c r="O304" s="232"/>
      <c r="P304" s="232"/>
      <c r="Q304" s="232"/>
      <c r="R304" s="232"/>
      <c r="S304" s="232"/>
      <c r="T304" s="232"/>
      <c r="U304" s="232"/>
      <c r="V304" s="232"/>
      <c r="W304" s="232"/>
      <c r="X304" s="232"/>
      <c r="Y304" s="232"/>
      <c r="Z304" s="232"/>
      <c r="AA304" s="232"/>
      <c r="AB304" s="232"/>
    </row>
    <row r="305" spans="1:28">
      <c r="A305" s="3" t="s">
        <v>41</v>
      </c>
      <c r="B305" s="143">
        <v>60</v>
      </c>
      <c r="C305" s="191">
        <v>6500</v>
      </c>
      <c r="D305" s="143">
        <v>40</v>
      </c>
      <c r="E305" s="191">
        <v>5500</v>
      </c>
      <c r="F305" s="59">
        <f xml:space="preserve"> (B305*C305+D305*E305)/100</f>
        <v>6100</v>
      </c>
      <c r="N305" s="150">
        <v>0</v>
      </c>
      <c r="O305" s="150">
        <v>0</v>
      </c>
      <c r="P305" s="150">
        <v>0</v>
      </c>
      <c r="Q305" s="145">
        <v>0.35</v>
      </c>
      <c r="R305" s="145">
        <v>0.35</v>
      </c>
      <c r="S305" s="145">
        <v>0.38</v>
      </c>
      <c r="T305" s="145">
        <v>0.38</v>
      </c>
      <c r="U305" s="145">
        <v>0.42</v>
      </c>
      <c r="V305" s="145">
        <v>0.42</v>
      </c>
      <c r="W305" s="145">
        <v>0.45</v>
      </c>
      <c r="X305" s="145">
        <v>0.45</v>
      </c>
      <c r="Y305" s="145">
        <v>0.47</v>
      </c>
      <c r="Z305" s="145">
        <v>0.47</v>
      </c>
      <c r="AA305" s="145">
        <v>0.47</v>
      </c>
      <c r="AB305" s="145">
        <v>0.5</v>
      </c>
    </row>
    <row r="306" spans="1:28">
      <c r="A306" s="3" t="s">
        <v>42</v>
      </c>
      <c r="B306" s="143">
        <v>59</v>
      </c>
      <c r="C306" s="191">
        <v>25000</v>
      </c>
      <c r="D306" s="143">
        <v>41</v>
      </c>
      <c r="E306" s="191">
        <v>22000</v>
      </c>
      <c r="F306" s="59">
        <f xml:space="preserve"> (B306*C306+D306*E306)/100</f>
        <v>23770</v>
      </c>
      <c r="N306" s="150">
        <v>0</v>
      </c>
      <c r="O306" s="150">
        <v>0</v>
      </c>
      <c r="P306" s="150">
        <v>0</v>
      </c>
      <c r="Q306" s="145">
        <v>0.25</v>
      </c>
      <c r="R306" s="145">
        <v>0.25</v>
      </c>
      <c r="S306" s="145">
        <v>0.28000000000000003</v>
      </c>
      <c r="T306" s="145">
        <v>0.28000000000000003</v>
      </c>
      <c r="U306" s="145">
        <v>0.3</v>
      </c>
      <c r="V306" s="145">
        <v>0.3</v>
      </c>
      <c r="W306" s="145">
        <v>0.32</v>
      </c>
      <c r="X306" s="145">
        <v>0.32</v>
      </c>
      <c r="Y306" s="145">
        <v>0.34</v>
      </c>
      <c r="Z306" s="145">
        <v>0.34</v>
      </c>
      <c r="AA306" s="145">
        <v>0.34</v>
      </c>
      <c r="AB306" s="145">
        <v>0.35</v>
      </c>
    </row>
    <row r="307" spans="1:28">
      <c r="A307" s="3" t="s">
        <v>43</v>
      </c>
      <c r="B307" s="143">
        <v>60</v>
      </c>
      <c r="C307" s="191">
        <v>8500</v>
      </c>
      <c r="D307" s="143">
        <v>40</v>
      </c>
      <c r="E307" s="191">
        <v>7500</v>
      </c>
      <c r="F307" s="59">
        <f t="shared" ref="F307:F317" si="77" xml:space="preserve"> (B307*C307+D307*E307)/100</f>
        <v>8100</v>
      </c>
      <c r="N307" s="150">
        <v>0</v>
      </c>
      <c r="O307" s="150">
        <v>0</v>
      </c>
      <c r="P307" s="150">
        <v>0</v>
      </c>
      <c r="Q307" s="145">
        <v>0.3</v>
      </c>
      <c r="R307" s="145">
        <v>0.3</v>
      </c>
      <c r="S307" s="145">
        <v>0.33</v>
      </c>
      <c r="T307" s="145">
        <v>0.33</v>
      </c>
      <c r="U307" s="145">
        <v>0.36</v>
      </c>
      <c r="V307" s="145">
        <v>0.36</v>
      </c>
      <c r="W307" s="145">
        <v>0.38</v>
      </c>
      <c r="X307" s="145">
        <v>0.38</v>
      </c>
      <c r="Y307" s="145">
        <v>0.4</v>
      </c>
      <c r="Z307" s="145">
        <v>0.4</v>
      </c>
      <c r="AA307" s="145">
        <v>0.4</v>
      </c>
      <c r="AB307" s="145">
        <v>0.42</v>
      </c>
    </row>
    <row r="308" spans="1:28">
      <c r="A308" s="3" t="s">
        <v>44</v>
      </c>
      <c r="B308" s="143">
        <v>60</v>
      </c>
      <c r="C308" s="191">
        <v>600</v>
      </c>
      <c r="D308" s="143">
        <v>40</v>
      </c>
      <c r="E308" s="191">
        <v>400</v>
      </c>
      <c r="F308" s="59">
        <f t="shared" si="77"/>
        <v>520</v>
      </c>
      <c r="N308" s="150">
        <v>0</v>
      </c>
      <c r="O308" s="150">
        <v>0</v>
      </c>
      <c r="P308" s="150">
        <v>0</v>
      </c>
      <c r="Q308" s="145">
        <v>0.4</v>
      </c>
      <c r="R308" s="145">
        <v>0.4</v>
      </c>
      <c r="S308" s="145">
        <v>0.42</v>
      </c>
      <c r="T308" s="145">
        <v>0.42</v>
      </c>
      <c r="U308" s="145">
        <v>0.45</v>
      </c>
      <c r="V308" s="145">
        <v>0.45</v>
      </c>
      <c r="W308" s="145">
        <v>0.47</v>
      </c>
      <c r="X308" s="145">
        <v>0.47</v>
      </c>
      <c r="Y308" s="145">
        <v>0.48</v>
      </c>
      <c r="Z308" s="145">
        <v>0.48</v>
      </c>
      <c r="AA308" s="145">
        <v>0.48</v>
      </c>
      <c r="AB308" s="145">
        <v>0.5</v>
      </c>
    </row>
    <row r="309" spans="1:28">
      <c r="A309" s="3" t="s">
        <v>45</v>
      </c>
      <c r="B309" s="143">
        <v>59</v>
      </c>
      <c r="C309" s="191">
        <v>2200</v>
      </c>
      <c r="D309" s="143">
        <v>41</v>
      </c>
      <c r="E309" s="191">
        <v>1800</v>
      </c>
      <c r="F309" s="59">
        <f t="shared" si="77"/>
        <v>2036</v>
      </c>
      <c r="N309" s="150">
        <v>0</v>
      </c>
      <c r="O309" s="150">
        <v>0</v>
      </c>
      <c r="P309" s="150">
        <v>0</v>
      </c>
      <c r="Q309" s="145">
        <v>0.08</v>
      </c>
      <c r="R309" s="145">
        <v>0.08</v>
      </c>
      <c r="S309" s="145">
        <v>0.08</v>
      </c>
      <c r="T309" s="145">
        <v>0.08</v>
      </c>
      <c r="U309" s="145">
        <v>0.09</v>
      </c>
      <c r="V309" s="145">
        <v>0.09</v>
      </c>
      <c r="W309" s="145">
        <v>0.09</v>
      </c>
      <c r="X309" s="145">
        <v>0.09</v>
      </c>
      <c r="Y309" s="145">
        <v>0.1</v>
      </c>
      <c r="Z309" s="145">
        <v>0.1</v>
      </c>
      <c r="AA309" s="145">
        <v>0.1</v>
      </c>
      <c r="AB309" s="145">
        <v>0.1</v>
      </c>
    </row>
    <row r="310" spans="1:28">
      <c r="A310" s="3" t="s">
        <v>46</v>
      </c>
      <c r="B310" s="143">
        <v>59</v>
      </c>
      <c r="C310" s="191">
        <v>1800</v>
      </c>
      <c r="D310" s="143">
        <v>41</v>
      </c>
      <c r="E310" s="191">
        <v>1400</v>
      </c>
      <c r="F310" s="59">
        <f t="shared" si="77"/>
        <v>1636</v>
      </c>
      <c r="N310" s="150">
        <v>0</v>
      </c>
      <c r="O310" s="150">
        <v>0</v>
      </c>
      <c r="P310" s="150">
        <v>0</v>
      </c>
      <c r="Q310" s="145">
        <v>0.3</v>
      </c>
      <c r="R310" s="145">
        <v>0.3</v>
      </c>
      <c r="S310" s="145">
        <v>0.32</v>
      </c>
      <c r="T310" s="145">
        <v>0.32</v>
      </c>
      <c r="U310" s="145">
        <v>0.35</v>
      </c>
      <c r="V310" s="145">
        <v>0.35</v>
      </c>
      <c r="W310" s="145">
        <v>0.37</v>
      </c>
      <c r="X310" s="145">
        <v>0.37</v>
      </c>
      <c r="Y310" s="145">
        <v>0.38</v>
      </c>
      <c r="Z310" s="145">
        <v>0.38</v>
      </c>
      <c r="AA310" s="145">
        <v>0.38</v>
      </c>
      <c r="AB310" s="145">
        <v>0.4</v>
      </c>
    </row>
    <row r="311" spans="1:28">
      <c r="A311" s="3" t="s">
        <v>47</v>
      </c>
      <c r="B311" s="143">
        <v>60</v>
      </c>
      <c r="C311" s="191">
        <v>500</v>
      </c>
      <c r="D311" s="143">
        <v>40</v>
      </c>
      <c r="E311" s="191">
        <v>350</v>
      </c>
      <c r="F311" s="59">
        <f t="shared" si="77"/>
        <v>440</v>
      </c>
      <c r="N311" s="150">
        <v>0</v>
      </c>
      <c r="O311" s="150">
        <v>0</v>
      </c>
      <c r="P311" s="150">
        <v>0</v>
      </c>
      <c r="Q311" s="145">
        <v>0.25</v>
      </c>
      <c r="R311" s="145">
        <v>0.25</v>
      </c>
      <c r="S311" s="145">
        <v>0.27</v>
      </c>
      <c r="T311" s="145">
        <v>0.27</v>
      </c>
      <c r="U311" s="145">
        <v>0.28000000000000003</v>
      </c>
      <c r="V311" s="145">
        <v>0.28000000000000003</v>
      </c>
      <c r="W311" s="145">
        <v>0.3</v>
      </c>
      <c r="X311" s="145">
        <v>0.3</v>
      </c>
      <c r="Y311" s="145">
        <v>0.3</v>
      </c>
      <c r="Z311" s="145">
        <v>0.3</v>
      </c>
      <c r="AA311" s="145">
        <v>0.3</v>
      </c>
      <c r="AB311" s="145">
        <v>0.3</v>
      </c>
    </row>
    <row r="312" spans="1:28">
      <c r="A312" s="3" t="s">
        <v>48</v>
      </c>
      <c r="B312" s="143">
        <v>60</v>
      </c>
      <c r="C312" s="191">
        <v>2000</v>
      </c>
      <c r="D312" s="143">
        <v>40</v>
      </c>
      <c r="E312" s="191">
        <v>1500</v>
      </c>
      <c r="F312" s="59">
        <f t="shared" si="77"/>
        <v>1800</v>
      </c>
      <c r="N312" s="150">
        <v>0</v>
      </c>
      <c r="O312" s="150">
        <v>0</v>
      </c>
      <c r="P312" s="150">
        <v>0</v>
      </c>
      <c r="Q312" s="145">
        <v>0.25</v>
      </c>
      <c r="R312" s="145">
        <v>0.25</v>
      </c>
      <c r="S312" s="145">
        <v>0.27</v>
      </c>
      <c r="T312" s="145">
        <v>0.27</v>
      </c>
      <c r="U312" s="145">
        <v>0.28000000000000003</v>
      </c>
      <c r="V312" s="145">
        <v>0.28000000000000003</v>
      </c>
      <c r="W312" s="145">
        <v>0.3</v>
      </c>
      <c r="X312" s="145">
        <v>0.3</v>
      </c>
      <c r="Y312" s="145">
        <v>0.3</v>
      </c>
      <c r="Z312" s="145">
        <v>0.3</v>
      </c>
      <c r="AA312" s="145">
        <v>0.3</v>
      </c>
      <c r="AB312" s="145">
        <v>0.3</v>
      </c>
    </row>
    <row r="313" spans="1:28">
      <c r="A313" s="3" t="s">
        <v>49</v>
      </c>
      <c r="B313" s="143">
        <v>59</v>
      </c>
      <c r="C313" s="191">
        <v>2200</v>
      </c>
      <c r="D313" s="143">
        <v>41</v>
      </c>
      <c r="E313" s="191">
        <v>1700</v>
      </c>
      <c r="F313" s="59">
        <f t="shared" si="77"/>
        <v>1995</v>
      </c>
      <c r="N313" s="150">
        <v>0</v>
      </c>
      <c r="O313" s="150">
        <v>0</v>
      </c>
      <c r="P313" s="150">
        <v>0</v>
      </c>
      <c r="Q313" s="145">
        <v>0.08</v>
      </c>
      <c r="R313" s="145">
        <v>0.08</v>
      </c>
      <c r="S313" s="145">
        <v>0.08</v>
      </c>
      <c r="T313" s="145">
        <v>0.08</v>
      </c>
      <c r="U313" s="145">
        <v>0.08</v>
      </c>
      <c r="V313" s="145">
        <v>0.08</v>
      </c>
      <c r="W313" s="145">
        <v>0.08</v>
      </c>
      <c r="X313" s="145">
        <v>0.08</v>
      </c>
      <c r="Y313" s="145">
        <v>0.08</v>
      </c>
      <c r="Z313" s="145">
        <v>0.08</v>
      </c>
      <c r="AA313" s="145">
        <v>0.08</v>
      </c>
      <c r="AB313" s="145">
        <v>0.08</v>
      </c>
    </row>
    <row r="314" spans="1:28">
      <c r="A314" s="3" t="s">
        <v>50</v>
      </c>
      <c r="B314" s="143">
        <v>59</v>
      </c>
      <c r="C314" s="191">
        <v>1000</v>
      </c>
      <c r="D314" s="143">
        <v>41</v>
      </c>
      <c r="E314" s="191">
        <v>700</v>
      </c>
      <c r="F314" s="59">
        <f t="shared" si="77"/>
        <v>877</v>
      </c>
      <c r="N314" s="150">
        <v>0</v>
      </c>
      <c r="O314" s="150">
        <v>0</v>
      </c>
      <c r="P314" s="150">
        <v>0</v>
      </c>
      <c r="Q314" s="145">
        <v>0.35</v>
      </c>
      <c r="R314" s="145">
        <v>0.35</v>
      </c>
      <c r="S314" s="145">
        <v>0.37</v>
      </c>
      <c r="T314" s="145">
        <v>0.37</v>
      </c>
      <c r="U314" s="145">
        <v>0.4</v>
      </c>
      <c r="V314" s="145">
        <v>0.4</v>
      </c>
      <c r="W314" s="145">
        <v>0.42</v>
      </c>
      <c r="X314" s="145">
        <v>0.42</v>
      </c>
      <c r="Y314" s="145">
        <v>0.43</v>
      </c>
      <c r="Z314" s="145">
        <v>0.43</v>
      </c>
      <c r="AA314" s="145">
        <v>0.43</v>
      </c>
      <c r="AB314" s="145">
        <v>0.45</v>
      </c>
    </row>
    <row r="315" spans="1:28">
      <c r="A315" s="3" t="s">
        <v>51</v>
      </c>
      <c r="B315" s="143">
        <v>59</v>
      </c>
      <c r="C315" s="191">
        <v>1200</v>
      </c>
      <c r="D315" s="143">
        <v>41</v>
      </c>
      <c r="E315" s="191">
        <v>900</v>
      </c>
      <c r="F315" s="59">
        <f t="shared" si="77"/>
        <v>1077</v>
      </c>
      <c r="N315" s="150">
        <v>0</v>
      </c>
      <c r="O315" s="150">
        <v>0</v>
      </c>
      <c r="P315" s="150">
        <v>0</v>
      </c>
      <c r="Q315" s="145">
        <v>0.35</v>
      </c>
      <c r="R315" s="145">
        <v>0.35</v>
      </c>
      <c r="S315" s="145">
        <v>0.37</v>
      </c>
      <c r="T315" s="145">
        <v>0.37</v>
      </c>
      <c r="U315" s="145">
        <v>0.4</v>
      </c>
      <c r="V315" s="145">
        <v>0.4</v>
      </c>
      <c r="W315" s="145">
        <v>0.42</v>
      </c>
      <c r="X315" s="145">
        <v>0.42</v>
      </c>
      <c r="Y315" s="145">
        <v>0.43</v>
      </c>
      <c r="Z315" s="145">
        <v>0.43</v>
      </c>
      <c r="AA315" s="145">
        <v>0.43</v>
      </c>
      <c r="AB315" s="145">
        <v>0.45</v>
      </c>
    </row>
    <row r="316" spans="1:28">
      <c r="A316" s="3" t="s">
        <v>52</v>
      </c>
      <c r="B316" s="143">
        <v>59</v>
      </c>
      <c r="C316" s="191">
        <v>2500</v>
      </c>
      <c r="D316" s="143">
        <v>41</v>
      </c>
      <c r="E316" s="191">
        <v>2000</v>
      </c>
      <c r="F316" s="59">
        <f t="shared" si="77"/>
        <v>2295</v>
      </c>
      <c r="N316" s="150">
        <v>0</v>
      </c>
      <c r="O316" s="150">
        <v>0</v>
      </c>
      <c r="P316" s="150">
        <v>0</v>
      </c>
      <c r="Q316" s="145">
        <v>0.45</v>
      </c>
      <c r="R316" s="145">
        <v>0.45</v>
      </c>
      <c r="S316" s="145">
        <v>0.48</v>
      </c>
      <c r="T316" s="145">
        <v>0.48</v>
      </c>
      <c r="U316" s="145">
        <v>0.5</v>
      </c>
      <c r="V316" s="145">
        <v>0.5</v>
      </c>
      <c r="W316" s="145">
        <v>0.52</v>
      </c>
      <c r="X316" s="145">
        <v>0.52</v>
      </c>
      <c r="Y316" s="145">
        <v>0.53</v>
      </c>
      <c r="Z316" s="145">
        <v>0.53</v>
      </c>
      <c r="AA316" s="145">
        <v>0.53</v>
      </c>
      <c r="AB316" s="145">
        <v>0.55000000000000004</v>
      </c>
    </row>
    <row r="317" spans="1:28">
      <c r="A317" s="3" t="s">
        <v>53</v>
      </c>
      <c r="B317" s="143">
        <v>59</v>
      </c>
      <c r="C317" s="191">
        <v>1000</v>
      </c>
      <c r="D317" s="143">
        <v>41</v>
      </c>
      <c r="E317" s="191">
        <v>700</v>
      </c>
      <c r="F317" s="59">
        <f t="shared" si="77"/>
        <v>877</v>
      </c>
      <c r="N317" s="150">
        <v>0</v>
      </c>
      <c r="O317" s="150">
        <v>0</v>
      </c>
      <c r="P317" s="150">
        <v>0</v>
      </c>
      <c r="Q317" s="145">
        <v>0.35</v>
      </c>
      <c r="R317" s="145">
        <v>0.35</v>
      </c>
      <c r="S317" s="145">
        <v>0.37</v>
      </c>
      <c r="T317" s="145">
        <v>0.37</v>
      </c>
      <c r="U317" s="145">
        <v>0.4</v>
      </c>
      <c r="V317" s="145">
        <v>0.4</v>
      </c>
      <c r="W317" s="145">
        <v>0.42</v>
      </c>
      <c r="X317" s="145">
        <v>0.42</v>
      </c>
      <c r="Y317" s="145">
        <v>0.43</v>
      </c>
      <c r="Z317" s="145">
        <v>0.43</v>
      </c>
      <c r="AA317" s="145">
        <v>0.43</v>
      </c>
      <c r="AB317" s="145">
        <v>0.45</v>
      </c>
    </row>
    <row r="319" spans="1:28">
      <c r="A319" s="21" t="s">
        <v>54</v>
      </c>
      <c r="B319" s="14"/>
      <c r="C319" s="14"/>
      <c r="D319" s="14"/>
      <c r="E319" s="14"/>
      <c r="F319" s="14"/>
      <c r="N319" s="150">
        <v>0.14000000000000001</v>
      </c>
      <c r="O319" s="150">
        <v>0.14000000000000001</v>
      </c>
      <c r="P319" s="150">
        <v>0.14000000000000001</v>
      </c>
      <c r="Q319" s="150">
        <v>0.14000000000000001</v>
      </c>
      <c r="R319" s="150">
        <v>0.14000000000000001</v>
      </c>
      <c r="S319" s="150">
        <v>0.14000000000000001</v>
      </c>
      <c r="T319" s="150">
        <v>0.14000000000000001</v>
      </c>
      <c r="U319" s="150">
        <v>0.14000000000000001</v>
      </c>
      <c r="V319" s="150">
        <v>0.14000000000000001</v>
      </c>
      <c r="W319" s="150">
        <v>0.14000000000000001</v>
      </c>
      <c r="X319" s="150">
        <v>0.14000000000000001</v>
      </c>
      <c r="Y319" s="150">
        <v>0.14000000000000001</v>
      </c>
      <c r="Z319" s="150">
        <v>0.14000000000000001</v>
      </c>
      <c r="AA319" s="150">
        <v>0.14000000000000001</v>
      </c>
      <c r="AB319" s="150">
        <v>0.14000000000000001</v>
      </c>
    </row>
    <row r="320" spans="1:28">
      <c r="A320" s="21" t="s">
        <v>56</v>
      </c>
      <c r="B320" s="14"/>
      <c r="C320" s="14"/>
      <c r="D320" s="14"/>
      <c r="E320" s="14"/>
      <c r="F320" s="14"/>
      <c r="N320" s="59">
        <v>1.1399999999999999</v>
      </c>
      <c r="O320" s="59">
        <v>1.2996000000000001</v>
      </c>
      <c r="P320" s="59">
        <v>1.4815</v>
      </c>
      <c r="Q320" s="59">
        <v>1.6890000000000001</v>
      </c>
      <c r="R320" s="59">
        <v>1.9254</v>
      </c>
      <c r="S320" s="59">
        <v>2.1949999999999998</v>
      </c>
      <c r="T320" s="59">
        <v>2.5023</v>
      </c>
      <c r="U320" s="59">
        <v>2.8525999999999998</v>
      </c>
      <c r="V320" s="59">
        <v>3.2519</v>
      </c>
      <c r="W320" s="59">
        <v>3.7071999999999998</v>
      </c>
      <c r="X320" s="59">
        <v>4.2262000000000004</v>
      </c>
      <c r="Y320" s="59">
        <v>4.8178999999999998</v>
      </c>
      <c r="Z320" s="59">
        <v>5.4923999999999999</v>
      </c>
      <c r="AA320" s="59">
        <v>6.2613000000000003</v>
      </c>
      <c r="AB320" s="59">
        <v>7.1379000000000001</v>
      </c>
    </row>
    <row r="321" spans="1:28" s="21" customFormat="1">
      <c r="A321" s="21" t="s">
        <v>669</v>
      </c>
      <c r="B321" s="14"/>
      <c r="C321" s="14"/>
      <c r="D321" s="14"/>
      <c r="E321" s="14"/>
      <c r="F321" s="14"/>
      <c r="G321"/>
      <c r="H321"/>
      <c r="I321"/>
      <c r="J321"/>
      <c r="K321"/>
      <c r="L321"/>
      <c r="M321"/>
      <c r="N321" s="192">
        <f>N320*(SUMPRODUCT(F305:F317,N305:N317)*N127)/10000000</f>
        <v>0</v>
      </c>
      <c r="O321" s="192">
        <f>O320*(SUMPRODUCT(F305:F317,O305:O317)*O127)/10000000</f>
        <v>0</v>
      </c>
      <c r="P321" s="192">
        <f>P320*(SUMPRODUCT(F305:F317,P305:P317)*P127)/10000000</f>
        <v>0</v>
      </c>
      <c r="Q321" s="192">
        <f>Q320*(SUMPRODUCT(F305:F317,Q305:Q317)*Q127)/10000000</f>
        <v>7.1507429460000012</v>
      </c>
      <c r="R321" s="192">
        <f>R320*(SUMPRODUCT(F305:F317,R305:R317)*R127)/10000000</f>
        <v>9.5101917581999995</v>
      </c>
      <c r="S321" s="192">
        <f>S320*(SUMPRODUCT(F305:F317,S305:S317)*S127)/10000000</f>
        <v>18.669964307499999</v>
      </c>
      <c r="T321" s="192">
        <f>T320*(SUMPRODUCT(F305:F317,T305:T317)*T127)/10000000</f>
        <v>27.088420940700001</v>
      </c>
      <c r="U321" s="192">
        <f>U320*(SUMPRODUCT(F305:F317,U305:U317)*U127)/10000000</f>
        <v>40.409101493399994</v>
      </c>
      <c r="V321" s="192">
        <f>V320*(SUMPRODUCT(F305:F317,V305:V317)*V127)/10000000</f>
        <v>54.194669525999998</v>
      </c>
      <c r="W321" s="192">
        <f>W320*(SUMPRODUCT(F305:F317,W305:W317)*W127)/10000000</f>
        <v>75.359357326399987</v>
      </c>
      <c r="X321" s="192">
        <f>X320*(SUMPRODUCT(F305:F317,X305:X317)*X127)/10000000</f>
        <v>93.379896445</v>
      </c>
      <c r="Y321" s="192">
        <f>Y320*(SUMPRODUCT(F305:F317,Y305:Y317)*Y127)/10000000</f>
        <v>120.51541311840001</v>
      </c>
      <c r="Z321" s="192">
        <f>Z320*(SUMPRODUCT(F305:F317,Z305:Z317)*Z127)/10000000</f>
        <v>142.47584386559998</v>
      </c>
      <c r="AA321" s="192">
        <f>AA320*(SUMPRODUCT(F305:F317,AA305:AA317)*AA127)/10000000</f>
        <v>168.22229700960003</v>
      </c>
      <c r="AB321" s="192">
        <f>AB320*(SUMPRODUCT(F305:F317,AB305:AB317)*AB127)/10000000</f>
        <v>206.18502250500003</v>
      </c>
    </row>
    <row r="324" spans="1:28">
      <c r="A324" s="86" t="s">
        <v>633</v>
      </c>
    </row>
    <row r="325" spans="1:28">
      <c r="A325" s="93" t="s">
        <v>191</v>
      </c>
    </row>
    <row r="326" spans="1:28" ht="15" thickBot="1">
      <c r="A326" s="94" t="s">
        <v>253</v>
      </c>
      <c r="N326" s="149">
        <v>0</v>
      </c>
      <c r="O326" s="149">
        <v>0</v>
      </c>
      <c r="P326" s="149">
        <v>0</v>
      </c>
      <c r="Q326" s="149">
        <v>21154</v>
      </c>
      <c r="R326" s="149">
        <v>23904</v>
      </c>
      <c r="S326" s="149">
        <v>27077</v>
      </c>
      <c r="T326" s="149">
        <v>30621</v>
      </c>
      <c r="U326" s="149">
        <v>34602</v>
      </c>
      <c r="V326" s="149">
        <v>39100</v>
      </c>
      <c r="W326" s="149">
        <v>44006</v>
      </c>
      <c r="X326" s="149">
        <v>49727</v>
      </c>
      <c r="Y326" s="149">
        <v>56219</v>
      </c>
      <c r="Z326" s="149">
        <v>63554</v>
      </c>
      <c r="AA326" s="149">
        <v>71858</v>
      </c>
      <c r="AB326" s="149">
        <v>81220</v>
      </c>
    </row>
    <row r="327" spans="1:28" ht="15" thickBot="1">
      <c r="A327" s="94" t="s">
        <v>563</v>
      </c>
      <c r="N327" s="149">
        <v>0</v>
      </c>
      <c r="O327" s="149">
        <v>0</v>
      </c>
      <c r="P327" s="149">
        <v>0</v>
      </c>
      <c r="Q327" s="149">
        <v>12692</v>
      </c>
      <c r="R327" s="149">
        <v>14342</v>
      </c>
      <c r="S327" s="149">
        <v>16246</v>
      </c>
      <c r="T327" s="149">
        <v>18377</v>
      </c>
      <c r="U327" s="149">
        <v>20767</v>
      </c>
      <c r="V327" s="149">
        <v>23467</v>
      </c>
      <c r="W327" s="149">
        <v>26399</v>
      </c>
      <c r="X327" s="149">
        <v>29831</v>
      </c>
      <c r="Y327" s="149">
        <v>33719</v>
      </c>
      <c r="Z327" s="149">
        <v>38111</v>
      </c>
      <c r="AA327" s="149">
        <v>43081</v>
      </c>
      <c r="AB327" s="149">
        <v>48695</v>
      </c>
    </row>
    <row r="328" spans="1:28" ht="15" thickBot="1">
      <c r="A328" s="94" t="s">
        <v>512</v>
      </c>
      <c r="N328" s="149">
        <v>0</v>
      </c>
      <c r="O328" s="149">
        <v>0</v>
      </c>
      <c r="P328" s="149">
        <v>0</v>
      </c>
      <c r="Q328" s="149">
        <v>8462</v>
      </c>
      <c r="R328" s="149">
        <v>9562</v>
      </c>
      <c r="S328" s="149">
        <v>10831</v>
      </c>
      <c r="T328" s="149">
        <v>12249</v>
      </c>
      <c r="U328" s="149">
        <v>13842</v>
      </c>
      <c r="V328" s="149">
        <v>15642</v>
      </c>
      <c r="W328" s="149">
        <v>17600</v>
      </c>
      <c r="X328" s="149">
        <v>19888</v>
      </c>
      <c r="Y328" s="149">
        <v>22480</v>
      </c>
      <c r="Z328" s="149">
        <v>25410</v>
      </c>
      <c r="AA328" s="149">
        <v>28719</v>
      </c>
      <c r="AB328" s="149">
        <v>32462</v>
      </c>
    </row>
    <row r="329" spans="1:28" ht="15" thickBot="1">
      <c r="A329" s="94" t="s">
        <v>259</v>
      </c>
      <c r="N329" s="149">
        <v>0</v>
      </c>
      <c r="O329" s="149">
        <v>0</v>
      </c>
      <c r="P329" s="149">
        <v>0</v>
      </c>
      <c r="Q329" s="149">
        <v>16923</v>
      </c>
      <c r="R329" s="149">
        <v>19123</v>
      </c>
      <c r="S329" s="149">
        <v>21642</v>
      </c>
      <c r="T329" s="149">
        <v>24466</v>
      </c>
      <c r="U329" s="149">
        <v>27647</v>
      </c>
      <c r="V329" s="149">
        <v>31241</v>
      </c>
      <c r="W329" s="149">
        <v>35202</v>
      </c>
      <c r="X329" s="149">
        <v>39794</v>
      </c>
      <c r="Y329" s="149">
        <v>44982</v>
      </c>
      <c r="Z329" s="149">
        <v>50843</v>
      </c>
      <c r="AA329" s="149">
        <v>57468</v>
      </c>
      <c r="AB329" s="149">
        <v>64960</v>
      </c>
    </row>
    <row r="330" spans="1:28" ht="15" thickBot="1">
      <c r="A330" s="94" t="s">
        <v>261</v>
      </c>
      <c r="N330" s="149">
        <v>0</v>
      </c>
      <c r="O330" s="149">
        <v>0</v>
      </c>
      <c r="P330" s="149">
        <v>0</v>
      </c>
      <c r="Q330" s="149">
        <v>12692</v>
      </c>
      <c r="R330" s="149">
        <v>14342</v>
      </c>
      <c r="S330" s="149">
        <v>16246</v>
      </c>
      <c r="T330" s="149">
        <v>18377</v>
      </c>
      <c r="U330" s="149">
        <v>20767</v>
      </c>
      <c r="V330" s="149">
        <v>23467</v>
      </c>
      <c r="W330" s="149">
        <v>26399</v>
      </c>
      <c r="X330" s="149">
        <v>29831</v>
      </c>
      <c r="Y330" s="149">
        <v>33719</v>
      </c>
      <c r="Z330" s="149">
        <v>38111</v>
      </c>
      <c r="AA330" s="149">
        <v>43081</v>
      </c>
      <c r="AB330" s="149">
        <v>48695</v>
      </c>
    </row>
    <row r="331" spans="1:28" ht="15" thickBot="1">
      <c r="A331" s="94" t="s">
        <v>263</v>
      </c>
      <c r="N331" s="149">
        <v>0</v>
      </c>
      <c r="O331" s="149">
        <v>0</v>
      </c>
      <c r="P331" s="149">
        <v>0</v>
      </c>
      <c r="Q331" s="149">
        <v>16923</v>
      </c>
      <c r="R331" s="149">
        <v>19123</v>
      </c>
      <c r="S331" s="149">
        <v>21642</v>
      </c>
      <c r="T331" s="149">
        <v>24466</v>
      </c>
      <c r="U331" s="149">
        <v>27647</v>
      </c>
      <c r="V331" s="149">
        <v>31241</v>
      </c>
      <c r="W331" s="149">
        <v>35202</v>
      </c>
      <c r="X331" s="149">
        <v>39794</v>
      </c>
      <c r="Y331" s="149">
        <v>44982</v>
      </c>
      <c r="Z331" s="149">
        <v>50843</v>
      </c>
      <c r="AA331" s="149">
        <v>57468</v>
      </c>
      <c r="AB331" s="149">
        <v>64960</v>
      </c>
    </row>
    <row r="332" spans="1:28" ht="15" thickBot="1">
      <c r="A332" s="94" t="s">
        <v>265</v>
      </c>
      <c r="N332" s="149">
        <v>0</v>
      </c>
      <c r="O332" s="149">
        <v>0</v>
      </c>
      <c r="P332" s="149">
        <v>0</v>
      </c>
      <c r="Q332" s="149">
        <v>25385</v>
      </c>
      <c r="R332" s="149">
        <v>28685</v>
      </c>
      <c r="S332" s="149">
        <v>32414</v>
      </c>
      <c r="T332" s="149">
        <v>36687</v>
      </c>
      <c r="U332" s="149">
        <v>41456</v>
      </c>
      <c r="V332" s="149">
        <v>46845</v>
      </c>
      <c r="W332" s="149">
        <v>52937</v>
      </c>
      <c r="X332" s="149">
        <v>59819</v>
      </c>
      <c r="Y332" s="149">
        <v>67302</v>
      </c>
      <c r="Z332" s="149">
        <v>76063</v>
      </c>
      <c r="AA332" s="149">
        <v>85963</v>
      </c>
      <c r="AB332" s="149">
        <v>97151</v>
      </c>
    </row>
    <row r="333" spans="1:28" ht="15" thickBot="1">
      <c r="A333" s="94" t="s">
        <v>267</v>
      </c>
      <c r="N333" s="149">
        <v>0</v>
      </c>
      <c r="O333" s="149">
        <v>0</v>
      </c>
      <c r="P333" s="149">
        <v>0</v>
      </c>
      <c r="Q333" s="149">
        <v>16923</v>
      </c>
      <c r="R333" s="149">
        <v>19123</v>
      </c>
      <c r="S333" s="149">
        <v>21642</v>
      </c>
      <c r="T333" s="149">
        <v>24466</v>
      </c>
      <c r="U333" s="149">
        <v>27647</v>
      </c>
      <c r="V333" s="149">
        <v>31241</v>
      </c>
      <c r="W333" s="149">
        <v>35202</v>
      </c>
      <c r="X333" s="149">
        <v>39794</v>
      </c>
      <c r="Y333" s="149">
        <v>44982</v>
      </c>
      <c r="Z333" s="149">
        <v>50843</v>
      </c>
      <c r="AA333" s="149">
        <v>57468</v>
      </c>
      <c r="AB333" s="149">
        <v>64960</v>
      </c>
    </row>
    <row r="334" spans="1:28" ht="15" thickBot="1">
      <c r="A334" s="94" t="s">
        <v>581</v>
      </c>
      <c r="N334" s="149">
        <v>0</v>
      </c>
      <c r="O334" s="149">
        <v>0</v>
      </c>
      <c r="P334" s="149">
        <v>0</v>
      </c>
      <c r="Q334" s="149">
        <v>12692</v>
      </c>
      <c r="R334" s="149">
        <v>14342</v>
      </c>
      <c r="S334" s="149">
        <v>16246</v>
      </c>
      <c r="T334" s="149">
        <v>18377</v>
      </c>
      <c r="U334" s="149">
        <v>20767</v>
      </c>
      <c r="V334" s="149">
        <v>23467</v>
      </c>
      <c r="W334" s="149">
        <v>26399</v>
      </c>
      <c r="X334" s="149">
        <v>29831</v>
      </c>
      <c r="Y334" s="149">
        <v>33719</v>
      </c>
      <c r="Z334" s="149">
        <v>38111</v>
      </c>
      <c r="AA334" s="149">
        <v>43081</v>
      </c>
      <c r="AB334" s="149">
        <v>48695</v>
      </c>
    </row>
    <row r="335" spans="1:28" ht="15" thickBot="1">
      <c r="A335" s="94" t="s">
        <v>351</v>
      </c>
      <c r="N335" s="149">
        <v>0</v>
      </c>
      <c r="O335" s="149">
        <v>0</v>
      </c>
      <c r="P335" s="149">
        <v>0</v>
      </c>
      <c r="Q335" s="149">
        <v>0</v>
      </c>
      <c r="R335" s="149">
        <v>0</v>
      </c>
      <c r="S335" s="149">
        <v>29615</v>
      </c>
      <c r="T335" s="149">
        <v>33465</v>
      </c>
      <c r="U335" s="149">
        <v>37816</v>
      </c>
      <c r="V335" s="149">
        <v>42732</v>
      </c>
      <c r="W335" s="149">
        <v>48297</v>
      </c>
      <c r="X335" s="149">
        <v>54340</v>
      </c>
      <c r="Y335" s="149">
        <v>61404</v>
      </c>
      <c r="Z335" s="149">
        <v>69406</v>
      </c>
      <c r="AA335" s="149">
        <v>78434</v>
      </c>
      <c r="AB335" s="149">
        <v>88645</v>
      </c>
    </row>
    <row r="336" spans="1:28" ht="15" thickBot="1">
      <c r="A336" s="94" t="s">
        <v>498</v>
      </c>
      <c r="N336" s="149">
        <v>0</v>
      </c>
      <c r="O336" s="149">
        <v>0</v>
      </c>
      <c r="P336" s="149">
        <v>0</v>
      </c>
      <c r="Q336" s="149">
        <v>0</v>
      </c>
      <c r="R336" s="149">
        <v>0</v>
      </c>
      <c r="S336" s="149">
        <v>0</v>
      </c>
      <c r="T336" s="149">
        <v>12692</v>
      </c>
      <c r="U336" s="149">
        <v>14342</v>
      </c>
      <c r="V336" s="149">
        <v>16246</v>
      </c>
      <c r="W336" s="149">
        <v>18377</v>
      </c>
      <c r="X336" s="149">
        <v>20767</v>
      </c>
      <c r="Y336" s="149">
        <v>23467</v>
      </c>
      <c r="Z336" s="149">
        <v>26399</v>
      </c>
      <c r="AA336" s="149">
        <v>29831</v>
      </c>
      <c r="AB336" s="149">
        <v>33719</v>
      </c>
    </row>
    <row r="337" spans="1:28" ht="15" thickBot="1">
      <c r="A337" s="94" t="s">
        <v>275</v>
      </c>
      <c r="N337" s="149">
        <v>0</v>
      </c>
      <c r="O337" s="149">
        <v>0</v>
      </c>
      <c r="P337" s="149">
        <v>0</v>
      </c>
      <c r="Q337" s="149">
        <v>0</v>
      </c>
      <c r="R337" s="149">
        <v>0</v>
      </c>
      <c r="S337" s="149">
        <v>12692</v>
      </c>
      <c r="T337" s="149">
        <v>14342</v>
      </c>
      <c r="U337" s="149">
        <v>16246</v>
      </c>
      <c r="V337" s="149">
        <v>18377</v>
      </c>
      <c r="W337" s="149">
        <v>20767</v>
      </c>
      <c r="X337" s="149">
        <v>23467</v>
      </c>
      <c r="Y337" s="149">
        <v>26399</v>
      </c>
      <c r="Z337" s="149">
        <v>29831</v>
      </c>
      <c r="AA337" s="149">
        <v>33719</v>
      </c>
      <c r="AB337" s="149">
        <v>38111</v>
      </c>
    </row>
    <row r="338" spans="1:28" ht="15" thickBot="1">
      <c r="A338" s="94" t="s">
        <v>277</v>
      </c>
      <c r="N338" s="149">
        <v>0</v>
      </c>
      <c r="O338" s="149">
        <v>0</v>
      </c>
      <c r="P338" s="149">
        <v>0</v>
      </c>
      <c r="Q338" s="149">
        <v>0</v>
      </c>
      <c r="R338" s="149">
        <v>0</v>
      </c>
      <c r="S338" s="149">
        <v>0</v>
      </c>
      <c r="T338" s="149">
        <v>0</v>
      </c>
      <c r="U338" s="149">
        <v>0</v>
      </c>
      <c r="V338" s="149">
        <v>21154</v>
      </c>
      <c r="W338" s="149">
        <v>23904</v>
      </c>
      <c r="X338" s="149">
        <v>27077</v>
      </c>
      <c r="Y338" s="149">
        <v>30621</v>
      </c>
      <c r="Z338" s="149">
        <v>34602</v>
      </c>
      <c r="AA338" s="149">
        <v>39100</v>
      </c>
      <c r="AB338" s="149">
        <v>44006</v>
      </c>
    </row>
    <row r="339" spans="1:28" ht="15" thickBot="1">
      <c r="A339" s="94" t="s">
        <v>279</v>
      </c>
      <c r="N339" s="149">
        <v>0</v>
      </c>
      <c r="O339" s="149">
        <v>0</v>
      </c>
      <c r="P339" s="149">
        <v>0</v>
      </c>
      <c r="Q339" s="149">
        <v>0</v>
      </c>
      <c r="R339" s="149">
        <v>0</v>
      </c>
      <c r="S339" s="149">
        <v>0</v>
      </c>
      <c r="T339" s="149">
        <v>8462</v>
      </c>
      <c r="U339" s="149">
        <v>9562</v>
      </c>
      <c r="V339" s="149">
        <v>10831</v>
      </c>
      <c r="W339" s="149">
        <v>12249</v>
      </c>
      <c r="X339" s="149">
        <v>13842</v>
      </c>
      <c r="Y339" s="149">
        <v>15642</v>
      </c>
      <c r="Z339" s="149">
        <v>17600</v>
      </c>
      <c r="AA339" s="149">
        <v>19888</v>
      </c>
      <c r="AB339" s="149">
        <v>22480</v>
      </c>
    </row>
    <row r="340" spans="1:28" ht="15" thickBot="1">
      <c r="A340" s="94" t="s">
        <v>281</v>
      </c>
      <c r="N340" s="149">
        <v>0</v>
      </c>
      <c r="O340" s="149">
        <v>0</v>
      </c>
      <c r="P340" s="149">
        <v>0</v>
      </c>
      <c r="Q340" s="149">
        <v>0</v>
      </c>
      <c r="R340" s="149">
        <v>0</v>
      </c>
      <c r="S340" s="149">
        <v>0</v>
      </c>
      <c r="T340" s="149">
        <v>0</v>
      </c>
      <c r="U340" s="149">
        <v>25385</v>
      </c>
      <c r="V340" s="149">
        <v>28685</v>
      </c>
      <c r="W340" s="149">
        <v>32414</v>
      </c>
      <c r="X340" s="149">
        <v>36687</v>
      </c>
      <c r="Y340" s="149">
        <v>41456</v>
      </c>
      <c r="Z340" s="149">
        <v>46845</v>
      </c>
      <c r="AA340" s="149">
        <v>52937</v>
      </c>
      <c r="AB340" s="149">
        <v>59819</v>
      </c>
    </row>
    <row r="341" spans="1:28">
      <c r="A341" s="95" t="s">
        <v>352</v>
      </c>
      <c r="N341" s="149">
        <v>0</v>
      </c>
      <c r="O341" s="149">
        <v>0</v>
      </c>
      <c r="P341" s="149">
        <v>0</v>
      </c>
      <c r="Q341" s="149">
        <v>0</v>
      </c>
      <c r="R341" s="149">
        <v>0</v>
      </c>
      <c r="S341" s="149">
        <v>0</v>
      </c>
      <c r="T341" s="149">
        <v>16923</v>
      </c>
      <c r="U341" s="149">
        <v>19123</v>
      </c>
      <c r="V341" s="149">
        <v>21642</v>
      </c>
      <c r="W341" s="149">
        <v>24466</v>
      </c>
      <c r="X341" s="149">
        <v>27647</v>
      </c>
      <c r="Y341" s="149">
        <v>31241</v>
      </c>
      <c r="Z341" s="149">
        <v>35202</v>
      </c>
      <c r="AA341" s="149">
        <v>39794</v>
      </c>
      <c r="AB341" s="149">
        <v>44982</v>
      </c>
    </row>
    <row r="343" spans="1:28">
      <c r="A343" s="86" t="s">
        <v>634</v>
      </c>
    </row>
    <row r="345" spans="1:28">
      <c r="A345" s="93" t="s">
        <v>191</v>
      </c>
    </row>
    <row r="346" spans="1:28" ht="15" thickBot="1">
      <c r="A346" s="94" t="s">
        <v>253</v>
      </c>
      <c r="N346" s="149">
        <v>0</v>
      </c>
      <c r="O346" s="149">
        <v>0</v>
      </c>
      <c r="P346" s="149">
        <v>0</v>
      </c>
      <c r="Q346" s="149">
        <v>17865</v>
      </c>
      <c r="R346" s="149">
        <v>20188</v>
      </c>
      <c r="S346" s="149">
        <v>22867</v>
      </c>
      <c r="T346" s="149">
        <v>25863</v>
      </c>
      <c r="U346" s="149">
        <v>29226</v>
      </c>
      <c r="V346" s="149">
        <v>33025</v>
      </c>
      <c r="W346" s="149">
        <v>37175</v>
      </c>
      <c r="X346" s="149">
        <v>42008</v>
      </c>
      <c r="Y346" s="149">
        <v>47500</v>
      </c>
      <c r="Z346" s="149">
        <v>53692</v>
      </c>
      <c r="AA346" s="149">
        <v>60703</v>
      </c>
      <c r="AB346" s="149">
        <v>68613</v>
      </c>
    </row>
    <row r="347" spans="1:28" ht="15" thickBot="1">
      <c r="A347" s="94" t="s">
        <v>563</v>
      </c>
      <c r="N347" s="149">
        <v>0</v>
      </c>
      <c r="O347" s="149">
        <v>0</v>
      </c>
      <c r="P347" s="149">
        <v>0</v>
      </c>
      <c r="Q347" s="149">
        <v>10719</v>
      </c>
      <c r="R347" s="149">
        <v>12112</v>
      </c>
      <c r="S347" s="149">
        <v>13720</v>
      </c>
      <c r="T347" s="149">
        <v>15521</v>
      </c>
      <c r="U347" s="149">
        <v>17540</v>
      </c>
      <c r="V347" s="149">
        <v>19820</v>
      </c>
      <c r="W347" s="149">
        <v>22297</v>
      </c>
      <c r="X347" s="149">
        <v>25197</v>
      </c>
      <c r="Y347" s="149">
        <v>28482</v>
      </c>
      <c r="Z347" s="149">
        <v>32195</v>
      </c>
      <c r="AA347" s="149">
        <v>36389</v>
      </c>
      <c r="AB347" s="149">
        <v>41132</v>
      </c>
    </row>
    <row r="348" spans="1:28" ht="15" thickBot="1">
      <c r="A348" s="94" t="s">
        <v>512</v>
      </c>
      <c r="N348" s="149">
        <v>0</v>
      </c>
      <c r="O348" s="149">
        <v>0</v>
      </c>
      <c r="P348" s="149">
        <v>0</v>
      </c>
      <c r="Q348" s="149">
        <v>7146</v>
      </c>
      <c r="R348" s="149">
        <v>8075</v>
      </c>
      <c r="S348" s="149">
        <v>9147</v>
      </c>
      <c r="T348" s="149">
        <v>10346</v>
      </c>
      <c r="U348" s="149">
        <v>11691</v>
      </c>
      <c r="V348" s="149">
        <v>13211</v>
      </c>
      <c r="W348" s="149">
        <v>14867</v>
      </c>
      <c r="X348" s="149">
        <v>16800</v>
      </c>
      <c r="Y348" s="149">
        <v>18988</v>
      </c>
      <c r="Z348" s="149">
        <v>21464</v>
      </c>
      <c r="AA348" s="149">
        <v>24260</v>
      </c>
      <c r="AB348" s="149">
        <v>27421</v>
      </c>
    </row>
    <row r="349" spans="1:28" ht="15" thickBot="1">
      <c r="A349" s="94" t="s">
        <v>259</v>
      </c>
      <c r="N349" s="149">
        <v>0</v>
      </c>
      <c r="O349" s="149">
        <v>0</v>
      </c>
      <c r="P349" s="149">
        <v>0</v>
      </c>
      <c r="Q349" s="149">
        <v>14292</v>
      </c>
      <c r="R349" s="149">
        <v>16153</v>
      </c>
      <c r="S349" s="149">
        <v>18280</v>
      </c>
      <c r="T349" s="149">
        <v>20666</v>
      </c>
      <c r="U349" s="149">
        <v>23353</v>
      </c>
      <c r="V349" s="149">
        <v>26389</v>
      </c>
      <c r="W349" s="149">
        <v>29734</v>
      </c>
      <c r="X349" s="149">
        <v>33614</v>
      </c>
      <c r="Y349" s="149">
        <v>37997</v>
      </c>
      <c r="Z349" s="149">
        <v>42948</v>
      </c>
      <c r="AA349" s="149">
        <v>48542</v>
      </c>
      <c r="AB349" s="149">
        <v>54871</v>
      </c>
    </row>
    <row r="350" spans="1:28" ht="15" thickBot="1">
      <c r="A350" s="94" t="s">
        <v>261</v>
      </c>
      <c r="N350" s="149">
        <v>0</v>
      </c>
      <c r="O350" s="149">
        <v>0</v>
      </c>
      <c r="P350" s="149">
        <v>0</v>
      </c>
      <c r="Q350" s="149">
        <v>10719</v>
      </c>
      <c r="R350" s="149">
        <v>12112</v>
      </c>
      <c r="S350" s="149">
        <v>13720</v>
      </c>
      <c r="T350" s="149">
        <v>15521</v>
      </c>
      <c r="U350" s="149">
        <v>17540</v>
      </c>
      <c r="V350" s="149">
        <v>19820</v>
      </c>
      <c r="W350" s="149">
        <v>22297</v>
      </c>
      <c r="X350" s="149">
        <v>25197</v>
      </c>
      <c r="Y350" s="149">
        <v>28482</v>
      </c>
      <c r="Z350" s="149">
        <v>32195</v>
      </c>
      <c r="AA350" s="149">
        <v>36389</v>
      </c>
      <c r="AB350" s="149">
        <v>41132</v>
      </c>
    </row>
    <row r="351" spans="1:28" ht="15" thickBot="1">
      <c r="A351" s="94" t="s">
        <v>263</v>
      </c>
      <c r="N351" s="149">
        <v>0</v>
      </c>
      <c r="O351" s="149">
        <v>0</v>
      </c>
      <c r="P351" s="149">
        <v>0</v>
      </c>
      <c r="Q351" s="149">
        <v>14292</v>
      </c>
      <c r="R351" s="149">
        <v>16153</v>
      </c>
      <c r="S351" s="149">
        <v>18280</v>
      </c>
      <c r="T351" s="149">
        <v>20666</v>
      </c>
      <c r="U351" s="149">
        <v>23353</v>
      </c>
      <c r="V351" s="149">
        <v>26389</v>
      </c>
      <c r="W351" s="149">
        <v>29734</v>
      </c>
      <c r="X351" s="149">
        <v>33614</v>
      </c>
      <c r="Y351" s="149">
        <v>37997</v>
      </c>
      <c r="Z351" s="149">
        <v>42948</v>
      </c>
      <c r="AA351" s="149">
        <v>48542</v>
      </c>
      <c r="AB351" s="149">
        <v>54871</v>
      </c>
    </row>
    <row r="352" spans="1:28" ht="15" thickBot="1">
      <c r="A352" s="94" t="s">
        <v>265</v>
      </c>
      <c r="N352" s="149">
        <v>0</v>
      </c>
      <c r="O352" s="149">
        <v>0</v>
      </c>
      <c r="P352" s="149">
        <v>0</v>
      </c>
      <c r="Q352" s="149">
        <v>21438</v>
      </c>
      <c r="R352" s="149">
        <v>24225</v>
      </c>
      <c r="S352" s="149">
        <v>27375</v>
      </c>
      <c r="T352" s="149">
        <v>30990</v>
      </c>
      <c r="U352" s="149">
        <v>35019</v>
      </c>
      <c r="V352" s="149">
        <v>39571</v>
      </c>
      <c r="W352" s="149">
        <v>44716</v>
      </c>
      <c r="X352" s="149">
        <v>50539</v>
      </c>
      <c r="Y352" s="149">
        <v>56856</v>
      </c>
      <c r="Z352" s="149">
        <v>64253</v>
      </c>
      <c r="AA352" s="149">
        <v>72616</v>
      </c>
      <c r="AB352" s="149">
        <v>82067</v>
      </c>
    </row>
    <row r="353" spans="1:28" ht="15" thickBot="1">
      <c r="A353" s="94" t="s">
        <v>267</v>
      </c>
      <c r="N353" s="149">
        <v>0</v>
      </c>
      <c r="O353" s="149">
        <v>0</v>
      </c>
      <c r="P353" s="149">
        <v>0</v>
      </c>
      <c r="Q353" s="149">
        <v>14292</v>
      </c>
      <c r="R353" s="149">
        <v>16153</v>
      </c>
      <c r="S353" s="149">
        <v>18280</v>
      </c>
      <c r="T353" s="149">
        <v>20666</v>
      </c>
      <c r="U353" s="149">
        <v>23353</v>
      </c>
      <c r="V353" s="149">
        <v>26389</v>
      </c>
      <c r="W353" s="149">
        <v>29734</v>
      </c>
      <c r="X353" s="149">
        <v>33614</v>
      </c>
      <c r="Y353" s="149">
        <v>37997</v>
      </c>
      <c r="Z353" s="149">
        <v>42948</v>
      </c>
      <c r="AA353" s="149">
        <v>48542</v>
      </c>
      <c r="AB353" s="149">
        <v>54871</v>
      </c>
    </row>
    <row r="354" spans="1:28" ht="15" thickBot="1">
      <c r="A354" s="94" t="s">
        <v>581</v>
      </c>
      <c r="N354" s="149">
        <v>0</v>
      </c>
      <c r="O354" s="149">
        <v>0</v>
      </c>
      <c r="P354" s="149">
        <v>0</v>
      </c>
      <c r="Q354" s="149">
        <v>10719</v>
      </c>
      <c r="R354" s="149">
        <v>12112</v>
      </c>
      <c r="S354" s="149">
        <v>13720</v>
      </c>
      <c r="T354" s="149">
        <v>15521</v>
      </c>
      <c r="U354" s="149">
        <v>17540</v>
      </c>
      <c r="V354" s="149">
        <v>19820</v>
      </c>
      <c r="W354" s="149">
        <v>22297</v>
      </c>
      <c r="X354" s="149">
        <v>25197</v>
      </c>
      <c r="Y354" s="149">
        <v>28482</v>
      </c>
      <c r="Z354" s="149">
        <v>32195</v>
      </c>
      <c r="AA354" s="149">
        <v>36389</v>
      </c>
      <c r="AB354" s="149">
        <v>41132</v>
      </c>
    </row>
    <row r="355" spans="1:28" ht="15" thickBot="1">
      <c r="A355" s="94" t="s">
        <v>351</v>
      </c>
      <c r="N355" s="149">
        <v>0</v>
      </c>
      <c r="O355" s="149">
        <v>0</v>
      </c>
      <c r="P355" s="149">
        <v>0</v>
      </c>
      <c r="Q355" s="149">
        <v>0</v>
      </c>
      <c r="R355" s="149">
        <v>0</v>
      </c>
      <c r="S355" s="149">
        <v>25012</v>
      </c>
      <c r="T355" s="149">
        <v>28264</v>
      </c>
      <c r="U355" s="149">
        <v>31945</v>
      </c>
      <c r="V355" s="149">
        <v>36098</v>
      </c>
      <c r="W355" s="149">
        <v>40799</v>
      </c>
      <c r="X355" s="149">
        <v>45903</v>
      </c>
      <c r="Y355" s="149">
        <v>51870</v>
      </c>
      <c r="Z355" s="149">
        <v>58633</v>
      </c>
      <c r="AA355" s="149">
        <v>66255</v>
      </c>
      <c r="AB355" s="149">
        <v>74889</v>
      </c>
    </row>
    <row r="356" spans="1:28" ht="15" thickBot="1">
      <c r="A356" s="94" t="s">
        <v>498</v>
      </c>
      <c r="N356" s="149">
        <v>0</v>
      </c>
      <c r="O356" s="149">
        <v>0</v>
      </c>
      <c r="P356" s="149">
        <v>0</v>
      </c>
      <c r="Q356" s="149">
        <v>0</v>
      </c>
      <c r="R356" s="149">
        <v>0</v>
      </c>
      <c r="S356" s="149">
        <v>0</v>
      </c>
      <c r="T356" s="149">
        <v>10719</v>
      </c>
      <c r="U356" s="149">
        <v>12112</v>
      </c>
      <c r="V356" s="149">
        <v>13720</v>
      </c>
      <c r="W356" s="149">
        <v>15521</v>
      </c>
      <c r="X356" s="149">
        <v>17540</v>
      </c>
      <c r="Y356" s="149">
        <v>19820</v>
      </c>
      <c r="Z356" s="149">
        <v>22297</v>
      </c>
      <c r="AA356" s="149">
        <v>25197</v>
      </c>
      <c r="AB356" s="149">
        <v>28482</v>
      </c>
    </row>
    <row r="357" spans="1:28" ht="15" thickBot="1">
      <c r="A357" s="94" t="s">
        <v>275</v>
      </c>
      <c r="N357" s="149">
        <v>0</v>
      </c>
      <c r="O357" s="149">
        <v>0</v>
      </c>
      <c r="P357" s="149">
        <v>0</v>
      </c>
      <c r="Q357" s="149">
        <v>0</v>
      </c>
      <c r="R357" s="149">
        <v>0</v>
      </c>
      <c r="S357" s="149">
        <v>10719</v>
      </c>
      <c r="T357" s="149">
        <v>12112</v>
      </c>
      <c r="U357" s="149">
        <v>13720</v>
      </c>
      <c r="V357" s="149">
        <v>15521</v>
      </c>
      <c r="W357" s="149">
        <v>17540</v>
      </c>
      <c r="X357" s="149">
        <v>19820</v>
      </c>
      <c r="Y357" s="149">
        <v>22297</v>
      </c>
      <c r="Z357" s="149">
        <v>25197</v>
      </c>
      <c r="AA357" s="149">
        <v>28482</v>
      </c>
      <c r="AB357" s="149">
        <v>32195</v>
      </c>
    </row>
    <row r="358" spans="1:28" ht="15" thickBot="1">
      <c r="A358" s="94" t="s">
        <v>277</v>
      </c>
      <c r="N358" s="149">
        <v>0</v>
      </c>
      <c r="O358" s="149">
        <v>0</v>
      </c>
      <c r="P358" s="149">
        <v>0</v>
      </c>
      <c r="Q358" s="149">
        <v>0</v>
      </c>
      <c r="R358" s="149">
        <v>0</v>
      </c>
      <c r="S358" s="149">
        <v>0</v>
      </c>
      <c r="T358" s="149">
        <v>0</v>
      </c>
      <c r="U358" s="149">
        <v>0</v>
      </c>
      <c r="V358" s="149">
        <v>17865</v>
      </c>
      <c r="W358" s="149">
        <v>20188</v>
      </c>
      <c r="X358" s="149">
        <v>22867</v>
      </c>
      <c r="Y358" s="149">
        <v>25863</v>
      </c>
      <c r="Z358" s="149">
        <v>29226</v>
      </c>
      <c r="AA358" s="149">
        <v>33025</v>
      </c>
      <c r="AB358" s="149">
        <v>37175</v>
      </c>
    </row>
    <row r="359" spans="1:28" ht="15" thickBot="1">
      <c r="A359" s="94" t="s">
        <v>279</v>
      </c>
      <c r="N359" s="149">
        <v>0</v>
      </c>
      <c r="O359" s="149">
        <v>0</v>
      </c>
      <c r="P359" s="149">
        <v>0</v>
      </c>
      <c r="Q359" s="149">
        <v>0</v>
      </c>
      <c r="R359" s="149">
        <v>0</v>
      </c>
      <c r="S359" s="149">
        <v>0</v>
      </c>
      <c r="T359" s="149">
        <v>7146</v>
      </c>
      <c r="U359" s="149">
        <v>8075</v>
      </c>
      <c r="V359" s="149">
        <v>9147</v>
      </c>
      <c r="W359" s="149">
        <v>10346</v>
      </c>
      <c r="X359" s="149">
        <v>11691</v>
      </c>
      <c r="Y359" s="149">
        <v>13211</v>
      </c>
      <c r="Z359" s="149">
        <v>14867</v>
      </c>
      <c r="AA359" s="149">
        <v>16800</v>
      </c>
      <c r="AB359" s="149">
        <v>18988</v>
      </c>
    </row>
    <row r="360" spans="1:28" ht="15" thickBot="1">
      <c r="A360" s="94" t="s">
        <v>281</v>
      </c>
      <c r="N360" s="149">
        <v>0</v>
      </c>
      <c r="O360" s="149">
        <v>0</v>
      </c>
      <c r="P360" s="149">
        <v>0</v>
      </c>
      <c r="Q360" s="149">
        <v>0</v>
      </c>
      <c r="R360" s="149">
        <v>0</v>
      </c>
      <c r="S360" s="149">
        <v>0</v>
      </c>
      <c r="T360" s="149">
        <v>0</v>
      </c>
      <c r="U360" s="149">
        <v>21438</v>
      </c>
      <c r="V360" s="149">
        <v>24225</v>
      </c>
      <c r="W360" s="149">
        <v>27375</v>
      </c>
      <c r="X360" s="149">
        <v>30990</v>
      </c>
      <c r="Y360" s="149">
        <v>35019</v>
      </c>
      <c r="Z360" s="149">
        <v>39571</v>
      </c>
      <c r="AA360" s="149">
        <v>44716</v>
      </c>
      <c r="AB360" s="149">
        <v>50539</v>
      </c>
    </row>
    <row r="361" spans="1:28">
      <c r="A361" s="95" t="s">
        <v>352</v>
      </c>
      <c r="N361" s="149">
        <v>0</v>
      </c>
      <c r="O361" s="149">
        <v>0</v>
      </c>
      <c r="P361" s="149">
        <v>0</v>
      </c>
      <c r="Q361" s="149">
        <v>0</v>
      </c>
      <c r="R361" s="149">
        <v>0</v>
      </c>
      <c r="S361" s="149">
        <v>0</v>
      </c>
      <c r="T361" s="149">
        <v>14292</v>
      </c>
      <c r="U361" s="149">
        <v>16153</v>
      </c>
      <c r="V361" s="149">
        <v>18280</v>
      </c>
      <c r="W361" s="149">
        <v>20666</v>
      </c>
      <c r="X361" s="149">
        <v>23353</v>
      </c>
      <c r="Y361" s="149">
        <v>26389</v>
      </c>
      <c r="Z361" s="149">
        <v>29734</v>
      </c>
      <c r="AA361" s="149">
        <v>33614</v>
      </c>
      <c r="AB361" s="149">
        <v>37997</v>
      </c>
    </row>
    <row r="363" spans="1:28" s="89" customFormat="1">
      <c r="A363" s="88" t="s">
        <v>635</v>
      </c>
    </row>
    <row r="364" spans="1:28">
      <c r="A364" s="93" t="s">
        <v>191</v>
      </c>
    </row>
    <row r="365" spans="1:28" ht="15" thickBot="1">
      <c r="A365" s="94" t="s">
        <v>253</v>
      </c>
      <c r="N365" s="141">
        <f t="shared" ref="N365:AB365" si="78" xml:space="preserve"> (N346*N236*N129+N326*N216*N131)/1000000000</f>
        <v>0</v>
      </c>
      <c r="O365" s="141">
        <f t="shared" si="78"/>
        <v>0</v>
      </c>
      <c r="P365" s="141">
        <f t="shared" si="78"/>
        <v>0</v>
      </c>
      <c r="Q365" s="141">
        <f t="shared" si="78"/>
        <v>3.2275972049999999</v>
      </c>
      <c r="R365" s="141">
        <f t="shared" si="78"/>
        <v>4.25464954</v>
      </c>
      <c r="S365" s="141">
        <f t="shared" si="78"/>
        <v>7.5313487600000002</v>
      </c>
      <c r="T365" s="141">
        <f t="shared" si="78"/>
        <v>10.833338039999999</v>
      </c>
      <c r="U365" s="141">
        <f t="shared" si="78"/>
        <v>14.88591978</v>
      </c>
      <c r="V365" s="141">
        <f t="shared" si="78"/>
        <v>19.789362499999999</v>
      </c>
      <c r="W365" s="141">
        <f t="shared" si="78"/>
        <v>25.614276714999999</v>
      </c>
      <c r="X365" s="141">
        <f t="shared" si="78"/>
        <v>31.461164374999999</v>
      </c>
      <c r="Y365" s="141">
        <f t="shared" si="78"/>
        <v>38.415472964999999</v>
      </c>
      <c r="Z365" s="141">
        <f t="shared" si="78"/>
        <v>45.034965640000003</v>
      </c>
      <c r="AA365" s="141">
        <f t="shared" si="78"/>
        <v>52.736891645</v>
      </c>
      <c r="AB365" s="141">
        <f t="shared" si="78"/>
        <v>61.663423950000002</v>
      </c>
    </row>
    <row r="366" spans="1:28" ht="15" thickBot="1">
      <c r="A366" s="94" t="s">
        <v>563</v>
      </c>
      <c r="N366" s="141">
        <f t="shared" ref="N366:AB366" si="79" xml:space="preserve"> (N347*N237*N129+N327*N217*N131)/1000000000</f>
        <v>0</v>
      </c>
      <c r="O366" s="141">
        <f t="shared" si="79"/>
        <v>0</v>
      </c>
      <c r="P366" s="141">
        <f t="shared" si="79"/>
        <v>0</v>
      </c>
      <c r="Q366" s="141">
        <f t="shared" si="79"/>
        <v>1.534390125</v>
      </c>
      <c r="R366" s="141">
        <f t="shared" si="79"/>
        <v>2.0230654499999998</v>
      </c>
      <c r="S366" s="141">
        <f t="shared" si="79"/>
        <v>3.6283861499999999</v>
      </c>
      <c r="T366" s="141">
        <f t="shared" si="79"/>
        <v>5.2284553999999996</v>
      </c>
      <c r="U366" s="141">
        <f t="shared" si="79"/>
        <v>7.161105075</v>
      </c>
      <c r="V366" s="141">
        <f t="shared" si="79"/>
        <v>9.5200394999999993</v>
      </c>
      <c r="W366" s="141">
        <f t="shared" si="79"/>
        <v>12.316141200000001</v>
      </c>
      <c r="X366" s="141">
        <f t="shared" si="79"/>
        <v>15.1279875</v>
      </c>
      <c r="Y366" s="141">
        <f t="shared" si="79"/>
        <v>18.468054675000001</v>
      </c>
      <c r="Z366" s="141">
        <f t="shared" si="79"/>
        <v>21.648005399999999</v>
      </c>
      <c r="AA366" s="141">
        <f t="shared" si="79"/>
        <v>25.343069549999999</v>
      </c>
      <c r="AB366" s="141">
        <f t="shared" si="79"/>
        <v>29.63385225</v>
      </c>
    </row>
    <row r="367" spans="1:28" ht="15" thickBot="1">
      <c r="A367" s="94" t="s">
        <v>512</v>
      </c>
      <c r="N367" s="141">
        <f t="shared" ref="N367:AB367" si="80" xml:space="preserve"> (N348*N238*N129+N328*N218*N131)/1000000000</f>
        <v>0</v>
      </c>
      <c r="O367" s="141">
        <f t="shared" si="80"/>
        <v>0</v>
      </c>
      <c r="P367" s="141">
        <f t="shared" si="80"/>
        <v>0</v>
      </c>
      <c r="Q367" s="141">
        <f t="shared" si="80"/>
        <v>1.0899890400000001</v>
      </c>
      <c r="R367" s="141">
        <f t="shared" si="80"/>
        <v>1.437061385</v>
      </c>
      <c r="S367" s="141">
        <f t="shared" si="80"/>
        <v>2.5674048300000001</v>
      </c>
      <c r="T367" s="141">
        <f t="shared" si="80"/>
        <v>3.6972263999999999</v>
      </c>
      <c r="U367" s="141">
        <f t="shared" si="80"/>
        <v>5.0685556949999997</v>
      </c>
      <c r="V367" s="141">
        <f t="shared" si="80"/>
        <v>6.7383547000000004</v>
      </c>
      <c r="W367" s="141">
        <f t="shared" si="80"/>
        <v>8.7198074949999995</v>
      </c>
      <c r="X367" s="141">
        <f t="shared" si="80"/>
        <v>10.710293999999999</v>
      </c>
      <c r="Y367" s="141">
        <f t="shared" si="80"/>
        <v>13.07410902</v>
      </c>
      <c r="Z367" s="141">
        <f t="shared" si="80"/>
        <v>15.32592404</v>
      </c>
      <c r="AA367" s="141">
        <f t="shared" si="80"/>
        <v>17.940696445</v>
      </c>
      <c r="AB367" s="141">
        <f t="shared" si="80"/>
        <v>20.977877549999999</v>
      </c>
    </row>
    <row r="368" spans="1:28" ht="15" thickBot="1">
      <c r="A368" s="94" t="s">
        <v>259</v>
      </c>
      <c r="N368" s="141">
        <f t="shared" ref="N368:AB368" si="81" xml:space="preserve"> (N349*N239*N129+N329*N219*N131)/1000000000</f>
        <v>0</v>
      </c>
      <c r="O368" s="141">
        <f t="shared" si="81"/>
        <v>0</v>
      </c>
      <c r="P368" s="141">
        <f t="shared" si="81"/>
        <v>0</v>
      </c>
      <c r="Q368" s="141">
        <f t="shared" si="81"/>
        <v>2.3809846499999998</v>
      </c>
      <c r="R368" s="141">
        <f t="shared" si="81"/>
        <v>3.1390704999999999</v>
      </c>
      <c r="S368" s="141">
        <f t="shared" si="81"/>
        <v>5.5751740999999999</v>
      </c>
      <c r="T368" s="141">
        <f t="shared" si="81"/>
        <v>8.0204599999999999</v>
      </c>
      <c r="U368" s="141">
        <f t="shared" si="81"/>
        <v>11.0090453</v>
      </c>
      <c r="V368" s="141">
        <f t="shared" si="81"/>
        <v>14.635543999999999</v>
      </c>
      <c r="W368" s="141">
        <f t="shared" si="81"/>
        <v>18.964645399999998</v>
      </c>
      <c r="X368" s="141">
        <f t="shared" si="81"/>
        <v>23.303075</v>
      </c>
      <c r="Y368" s="141">
        <f t="shared" si="81"/>
        <v>28.44861075</v>
      </c>
      <c r="Z368" s="141">
        <f t="shared" si="81"/>
        <v>33.346341000000002</v>
      </c>
      <c r="AA368" s="141">
        <f t="shared" si="81"/>
        <v>39.036931899999999</v>
      </c>
      <c r="AB368" s="141">
        <f t="shared" si="81"/>
        <v>45.647899500000001</v>
      </c>
    </row>
    <row r="369" spans="1:29" ht="15" thickBot="1">
      <c r="A369" s="94" t="s">
        <v>261</v>
      </c>
      <c r="N369" s="141">
        <f t="shared" ref="N369:AB369" si="82" xml:space="preserve"> (N350*N240*N129+N330*N220*N131)/1000000000</f>
        <v>0</v>
      </c>
      <c r="O369" s="141">
        <f t="shared" si="82"/>
        <v>0</v>
      </c>
      <c r="P369" s="141">
        <f t="shared" si="82"/>
        <v>0</v>
      </c>
      <c r="Q369" s="141">
        <f t="shared" si="82"/>
        <v>1.8862462799999999</v>
      </c>
      <c r="R369" s="141">
        <f t="shared" si="82"/>
        <v>2.4864921199999999</v>
      </c>
      <c r="S369" s="141">
        <f t="shared" si="82"/>
        <v>4.4074555599999998</v>
      </c>
      <c r="T369" s="141">
        <f t="shared" si="82"/>
        <v>6.3423763199999996</v>
      </c>
      <c r="U369" s="141">
        <f t="shared" si="82"/>
        <v>8.7123765800000008</v>
      </c>
      <c r="V369" s="141">
        <f t="shared" si="82"/>
        <v>11.582406799999999</v>
      </c>
      <c r="W369" s="141">
        <f t="shared" si="82"/>
        <v>14.98408186</v>
      </c>
      <c r="X369" s="141">
        <f t="shared" si="82"/>
        <v>18.404701500000002</v>
      </c>
      <c r="Y369" s="141">
        <f t="shared" si="82"/>
        <v>22.467953340000001</v>
      </c>
      <c r="Z369" s="141">
        <f t="shared" si="82"/>
        <v>26.33571976</v>
      </c>
      <c r="AA369" s="141">
        <f t="shared" si="82"/>
        <v>30.832280900000001</v>
      </c>
      <c r="AB369" s="141">
        <f t="shared" si="82"/>
        <v>36.0521022</v>
      </c>
    </row>
    <row r="370" spans="1:29" ht="15" thickBot="1">
      <c r="A370" s="94" t="s">
        <v>263</v>
      </c>
      <c r="N370" s="141">
        <f t="shared" ref="N370:AB370" si="83" xml:space="preserve"> (N351*N241*N129+N331*N221*N131)/1000000000</f>
        <v>0</v>
      </c>
      <c r="O370" s="141">
        <f t="shared" si="83"/>
        <v>0</v>
      </c>
      <c r="P370" s="141">
        <f t="shared" si="83"/>
        <v>0</v>
      </c>
      <c r="Q370" s="141">
        <f t="shared" si="83"/>
        <v>2.4480078750000001</v>
      </c>
      <c r="R370" s="141">
        <f t="shared" si="83"/>
        <v>3.2273201399999998</v>
      </c>
      <c r="S370" s="141">
        <f t="shared" si="83"/>
        <v>5.72340231</v>
      </c>
      <c r="T370" s="141">
        <f t="shared" si="83"/>
        <v>8.2322850400000007</v>
      </c>
      <c r="U370" s="141">
        <f t="shared" si="83"/>
        <v>11.3040378</v>
      </c>
      <c r="V370" s="141">
        <f t="shared" si="83"/>
        <v>15.027704999999999</v>
      </c>
      <c r="W370" s="141">
        <f t="shared" si="83"/>
        <v>19.472829480000001</v>
      </c>
      <c r="X370" s="141">
        <f t="shared" si="83"/>
        <v>23.927472000000002</v>
      </c>
      <c r="Y370" s="141">
        <f t="shared" si="83"/>
        <v>29.210856254999999</v>
      </c>
      <c r="Z370" s="141">
        <f t="shared" si="83"/>
        <v>34.239810779999999</v>
      </c>
      <c r="AA370" s="141">
        <f t="shared" si="83"/>
        <v>40.082957550000003</v>
      </c>
      <c r="AB370" s="141">
        <f t="shared" si="83"/>
        <v>46.871045549999998</v>
      </c>
    </row>
    <row r="371" spans="1:29" ht="15" thickBot="1">
      <c r="A371" s="94" t="s">
        <v>265</v>
      </c>
      <c r="N371" s="141">
        <f t="shared" ref="N371:AB371" si="84" xml:space="preserve"> (N352*N242*N129+N332*N222*N131)/1000000000</f>
        <v>0</v>
      </c>
      <c r="O371" s="141">
        <f t="shared" si="84"/>
        <v>0</v>
      </c>
      <c r="P371" s="141">
        <f t="shared" si="84"/>
        <v>0</v>
      </c>
      <c r="Q371" s="141">
        <f t="shared" si="84"/>
        <v>2.9682859800000001</v>
      </c>
      <c r="R371" s="141">
        <f t="shared" si="84"/>
        <v>3.9138771000000001</v>
      </c>
      <c r="S371" s="141">
        <f t="shared" si="84"/>
        <v>7.0174510799999998</v>
      </c>
      <c r="T371" s="141">
        <f t="shared" si="84"/>
        <v>10.12121376</v>
      </c>
      <c r="U371" s="141">
        <f t="shared" si="84"/>
        <v>13.854272399999999</v>
      </c>
      <c r="V371" s="141">
        <f t="shared" si="84"/>
        <v>18.4178468</v>
      </c>
      <c r="W371" s="141">
        <f t="shared" si="84"/>
        <v>23.934573260000001</v>
      </c>
      <c r="X371" s="141">
        <f t="shared" si="84"/>
        <v>29.4019555</v>
      </c>
      <c r="Y371" s="141">
        <f t="shared" si="84"/>
        <v>35.724113639999999</v>
      </c>
      <c r="Z371" s="141">
        <f t="shared" si="84"/>
        <v>41.867922319999998</v>
      </c>
      <c r="AA371" s="141">
        <f t="shared" si="84"/>
        <v>49.007217740000002</v>
      </c>
      <c r="AB371" s="141">
        <f t="shared" si="84"/>
        <v>57.295350599999999</v>
      </c>
    </row>
    <row r="372" spans="1:29" ht="15" thickBot="1">
      <c r="A372" s="94" t="s">
        <v>267</v>
      </c>
      <c r="N372" s="141">
        <f t="shared" ref="N372:AB372" si="85" xml:space="preserve"> (N353*N243*N129+N333*N223*N131)/1000000000</f>
        <v>0</v>
      </c>
      <c r="O372" s="141">
        <f t="shared" si="85"/>
        <v>0</v>
      </c>
      <c r="P372" s="141">
        <f t="shared" si="85"/>
        <v>0</v>
      </c>
      <c r="Q372" s="141">
        <f t="shared" si="85"/>
        <v>2.3809846499999998</v>
      </c>
      <c r="R372" s="141">
        <f t="shared" si="85"/>
        <v>3.1390704999999999</v>
      </c>
      <c r="S372" s="141">
        <f t="shared" si="85"/>
        <v>5.5751740999999999</v>
      </c>
      <c r="T372" s="141">
        <f t="shared" si="85"/>
        <v>8.0204599999999999</v>
      </c>
      <c r="U372" s="141">
        <f t="shared" si="85"/>
        <v>11.0090453</v>
      </c>
      <c r="V372" s="141">
        <f t="shared" si="85"/>
        <v>14.635543999999999</v>
      </c>
      <c r="W372" s="141">
        <f t="shared" si="85"/>
        <v>18.964645399999998</v>
      </c>
      <c r="X372" s="141">
        <f t="shared" si="85"/>
        <v>23.303075</v>
      </c>
      <c r="Y372" s="141">
        <f t="shared" si="85"/>
        <v>28.44861075</v>
      </c>
      <c r="Z372" s="141">
        <f t="shared" si="85"/>
        <v>33.346341000000002</v>
      </c>
      <c r="AA372" s="141">
        <f t="shared" si="85"/>
        <v>39.036931899999999</v>
      </c>
      <c r="AB372" s="141">
        <f t="shared" si="85"/>
        <v>45.647899500000001</v>
      </c>
    </row>
    <row r="373" spans="1:29" ht="15" thickBot="1">
      <c r="A373" s="94" t="s">
        <v>581</v>
      </c>
      <c r="N373" s="141">
        <f t="shared" ref="N373:AB373" si="86" xml:space="preserve"> (N354*N244*N129+N334*N224*N131)/1000000000</f>
        <v>0</v>
      </c>
      <c r="O373" s="141">
        <f t="shared" si="86"/>
        <v>0</v>
      </c>
      <c r="P373" s="141">
        <f t="shared" si="86"/>
        <v>0</v>
      </c>
      <c r="Q373" s="141">
        <f t="shared" si="86"/>
        <v>1.8359811150000001</v>
      </c>
      <c r="R373" s="141">
        <f t="shared" si="86"/>
        <v>2.4202883100000001</v>
      </c>
      <c r="S373" s="141">
        <f t="shared" si="86"/>
        <v>4.29615993</v>
      </c>
      <c r="T373" s="141">
        <f t="shared" si="86"/>
        <v>6.18324476</v>
      </c>
      <c r="U373" s="141">
        <f t="shared" si="86"/>
        <v>8.4907663650000007</v>
      </c>
      <c r="V373" s="141">
        <f t="shared" si="86"/>
        <v>11.2877829</v>
      </c>
      <c r="W373" s="141">
        <f t="shared" si="86"/>
        <v>14.602947479999999</v>
      </c>
      <c r="X373" s="141">
        <f t="shared" si="86"/>
        <v>17.9365995</v>
      </c>
      <c r="Y373" s="141">
        <f t="shared" si="86"/>
        <v>21.896539245</v>
      </c>
      <c r="Z373" s="141">
        <f t="shared" si="86"/>
        <v>25.66604628</v>
      </c>
      <c r="AA373" s="141">
        <f t="shared" si="86"/>
        <v>30.048107850000001</v>
      </c>
      <c r="AB373" s="141">
        <f t="shared" si="86"/>
        <v>35.135209349999997</v>
      </c>
    </row>
    <row r="374" spans="1:29" ht="15" thickBot="1">
      <c r="A374" s="94" t="s">
        <v>351</v>
      </c>
      <c r="N374" s="141">
        <f t="shared" ref="N374:AB374" si="87" xml:space="preserve"> (N355*N245*N129+N335*N225*N131)/1000000000</f>
        <v>0</v>
      </c>
      <c r="O374" s="141">
        <f t="shared" si="87"/>
        <v>0</v>
      </c>
      <c r="P374" s="141">
        <f t="shared" si="87"/>
        <v>0</v>
      </c>
      <c r="Q374" s="141">
        <f t="shared" si="87"/>
        <v>0</v>
      </c>
      <c r="R374" s="141">
        <f t="shared" si="87"/>
        <v>0</v>
      </c>
      <c r="S374" s="141">
        <f t="shared" si="87"/>
        <v>6.8173662100000003</v>
      </c>
      <c r="T374" s="141">
        <f t="shared" si="87"/>
        <v>9.8109076799999997</v>
      </c>
      <c r="U374" s="141">
        <f t="shared" si="87"/>
        <v>13.44494317</v>
      </c>
      <c r="V374" s="141">
        <f t="shared" si="87"/>
        <v>17.873894</v>
      </c>
      <c r="W374" s="141">
        <f t="shared" si="87"/>
        <v>23.231841379999999</v>
      </c>
      <c r="X374" s="141">
        <f t="shared" si="87"/>
        <v>28.411275750000001</v>
      </c>
      <c r="Y374" s="141">
        <f t="shared" si="87"/>
        <v>34.672923179999998</v>
      </c>
      <c r="Z374" s="141">
        <f t="shared" si="87"/>
        <v>40.644306919999998</v>
      </c>
      <c r="AA374" s="141">
        <f t="shared" si="87"/>
        <v>47.569584210000002</v>
      </c>
      <c r="AB374" s="141">
        <f t="shared" si="87"/>
        <v>55.619989199999999</v>
      </c>
    </row>
    <row r="375" spans="1:29" ht="15" thickBot="1">
      <c r="A375" s="94" t="s">
        <v>498</v>
      </c>
      <c r="N375" s="141">
        <f t="shared" ref="N375:AB375" si="88" xml:space="preserve"> (N356*N246*N129+N336*N226*N131)/1000000000</f>
        <v>0</v>
      </c>
      <c r="O375" s="141">
        <f t="shared" si="88"/>
        <v>0</v>
      </c>
      <c r="P375" s="141">
        <f t="shared" si="88"/>
        <v>0</v>
      </c>
      <c r="Q375" s="141">
        <f t="shared" si="88"/>
        <v>0</v>
      </c>
      <c r="R375" s="141">
        <f t="shared" si="88"/>
        <v>0</v>
      </c>
      <c r="S375" s="141">
        <f t="shared" si="88"/>
        <v>0</v>
      </c>
      <c r="T375" s="141">
        <f t="shared" si="88"/>
        <v>3.83072284</v>
      </c>
      <c r="U375" s="141">
        <f t="shared" si="88"/>
        <v>5.2513498099999998</v>
      </c>
      <c r="V375" s="141">
        <f t="shared" si="88"/>
        <v>6.9982514</v>
      </c>
      <c r="W375" s="141">
        <f t="shared" si="88"/>
        <v>9.1040557300000007</v>
      </c>
      <c r="X375" s="141">
        <f t="shared" si="88"/>
        <v>11.182831625</v>
      </c>
      <c r="Y375" s="141">
        <f t="shared" si="88"/>
        <v>13.647537854999999</v>
      </c>
      <c r="Z375" s="141">
        <f t="shared" si="88"/>
        <v>15.921542560000001</v>
      </c>
      <c r="AA375" s="141">
        <f t="shared" si="88"/>
        <v>18.63446214</v>
      </c>
      <c r="AB375" s="141">
        <f t="shared" si="88"/>
        <v>21.789869849999999</v>
      </c>
    </row>
    <row r="376" spans="1:29" ht="15" thickBot="1">
      <c r="A376" s="94" t="s">
        <v>275</v>
      </c>
      <c r="N376" s="141">
        <f t="shared" ref="N376:AB376" si="89" xml:space="preserve"> (N357*N247*N129+N337*N227*N131)/1000000000</f>
        <v>0</v>
      </c>
      <c r="O376" s="141">
        <f t="shared" si="89"/>
        <v>0</v>
      </c>
      <c r="P376" s="141">
        <f t="shared" si="89"/>
        <v>0</v>
      </c>
      <c r="Q376" s="141">
        <f t="shared" si="89"/>
        <v>0</v>
      </c>
      <c r="R376" s="141">
        <f t="shared" si="89"/>
        <v>0</v>
      </c>
      <c r="S376" s="141">
        <f t="shared" si="89"/>
        <v>0</v>
      </c>
      <c r="T376" s="141">
        <f t="shared" si="89"/>
        <v>3.7076009600000002</v>
      </c>
      <c r="U376" s="141">
        <f t="shared" si="89"/>
        <v>5.0815553400000004</v>
      </c>
      <c r="V376" s="141">
        <f t="shared" si="89"/>
        <v>6.7629672000000003</v>
      </c>
      <c r="W376" s="141">
        <f t="shared" si="89"/>
        <v>8.7890771700000005</v>
      </c>
      <c r="X376" s="141">
        <f t="shared" si="89"/>
        <v>10.79520975</v>
      </c>
      <c r="Y376" s="141">
        <f t="shared" si="89"/>
        <v>13.115822939999999</v>
      </c>
      <c r="Z376" s="141">
        <f t="shared" si="89"/>
        <v>15.37052328</v>
      </c>
      <c r="AA376" s="141">
        <f t="shared" si="89"/>
        <v>17.99483553</v>
      </c>
      <c r="AB376" s="141">
        <f t="shared" si="89"/>
        <v>21.041769599999999</v>
      </c>
    </row>
    <row r="377" spans="1:29" ht="15" thickBot="1">
      <c r="A377" s="94" t="s">
        <v>277</v>
      </c>
      <c r="N377" s="141">
        <f t="shared" ref="N377:AB377" si="90" xml:space="preserve"> (N358*N248*N129+N338*N228*N131)/1000000000</f>
        <v>0</v>
      </c>
      <c r="O377" s="141">
        <f t="shared" si="90"/>
        <v>0</v>
      </c>
      <c r="P377" s="141">
        <f t="shared" si="90"/>
        <v>0</v>
      </c>
      <c r="Q377" s="141">
        <f t="shared" si="90"/>
        <v>0</v>
      </c>
      <c r="R377" s="141">
        <f t="shared" si="90"/>
        <v>0</v>
      </c>
      <c r="S377" s="141">
        <f t="shared" si="90"/>
        <v>0</v>
      </c>
      <c r="T377" s="141">
        <f t="shared" si="90"/>
        <v>0</v>
      </c>
      <c r="U377" s="141">
        <f t="shared" si="90"/>
        <v>0</v>
      </c>
      <c r="V377" s="141">
        <f t="shared" si="90"/>
        <v>9.3781043999999998</v>
      </c>
      <c r="W377" s="141">
        <f t="shared" si="90"/>
        <v>12.18699528</v>
      </c>
      <c r="X377" s="141">
        <f t="shared" si="90"/>
        <v>15.004870499999999</v>
      </c>
      <c r="Y377" s="141">
        <f t="shared" si="90"/>
        <v>18.32729814</v>
      </c>
      <c r="Z377" s="141">
        <f t="shared" si="90"/>
        <v>21.47724432</v>
      </c>
      <c r="AA377" s="141">
        <f t="shared" si="90"/>
        <v>25.1358225</v>
      </c>
      <c r="AB377" s="141">
        <f t="shared" si="90"/>
        <v>29.2674834</v>
      </c>
    </row>
    <row r="378" spans="1:29" ht="15" thickBot="1">
      <c r="A378" s="94" t="s">
        <v>279</v>
      </c>
      <c r="N378" s="141">
        <f t="shared" ref="N378:AB378" si="91" xml:space="preserve"> (N359*N249*N129+N339*N229*N131)/1000000000</f>
        <v>0</v>
      </c>
      <c r="O378" s="141">
        <f t="shared" si="91"/>
        <v>0</v>
      </c>
      <c r="P378" s="141">
        <f t="shared" si="91"/>
        <v>0</v>
      </c>
      <c r="Q378" s="141">
        <f t="shared" si="91"/>
        <v>0</v>
      </c>
      <c r="R378" s="141">
        <f t="shared" si="91"/>
        <v>0</v>
      </c>
      <c r="S378" s="141">
        <f t="shared" si="91"/>
        <v>0</v>
      </c>
      <c r="T378" s="141">
        <f t="shared" si="91"/>
        <v>2.4073364000000002</v>
      </c>
      <c r="U378" s="141">
        <f t="shared" si="91"/>
        <v>3.296975325</v>
      </c>
      <c r="V378" s="141">
        <f t="shared" si="91"/>
        <v>4.3936650000000004</v>
      </c>
      <c r="W378" s="141">
        <f t="shared" si="91"/>
        <v>5.7147335249999998</v>
      </c>
      <c r="X378" s="141">
        <f t="shared" si="91"/>
        <v>7.0193081250000002</v>
      </c>
      <c r="Y378" s="141">
        <f t="shared" si="91"/>
        <v>8.5665417749999992</v>
      </c>
      <c r="Z378" s="141">
        <f t="shared" si="91"/>
        <v>9.9968421000000003</v>
      </c>
      <c r="AA378" s="141">
        <f t="shared" si="91"/>
        <v>11.700003600000001</v>
      </c>
      <c r="AB378" s="141">
        <f t="shared" si="91"/>
        <v>13.680189</v>
      </c>
    </row>
    <row r="379" spans="1:29" ht="15" thickBot="1">
      <c r="A379" s="94" t="s">
        <v>281</v>
      </c>
      <c r="N379" s="141">
        <f t="shared" ref="N379:AB379" si="92" xml:space="preserve"> (N360*N250*N129+N340*N230*N131)/1000000000</f>
        <v>0</v>
      </c>
      <c r="O379" s="141">
        <f t="shared" si="92"/>
        <v>0</v>
      </c>
      <c r="P379" s="141">
        <f t="shared" si="92"/>
        <v>0</v>
      </c>
      <c r="Q379" s="141">
        <f t="shared" si="92"/>
        <v>0</v>
      </c>
      <c r="R379" s="141">
        <f t="shared" si="92"/>
        <v>0</v>
      </c>
      <c r="S379" s="141">
        <f t="shared" si="92"/>
        <v>0</v>
      </c>
      <c r="T379" s="141">
        <f t="shared" si="92"/>
        <v>0</v>
      </c>
      <c r="U379" s="141">
        <f t="shared" si="92"/>
        <v>5.1787776599999997</v>
      </c>
      <c r="V379" s="141">
        <f t="shared" si="92"/>
        <v>11.996411999999999</v>
      </c>
      <c r="W379" s="141">
        <f t="shared" si="92"/>
        <v>15.58957227</v>
      </c>
      <c r="X379" s="141">
        <f t="shared" si="92"/>
        <v>19.18122675</v>
      </c>
      <c r="Y379" s="141">
        <f t="shared" si="92"/>
        <v>23.408809649999998</v>
      </c>
      <c r="Z379" s="141">
        <f t="shared" si="92"/>
        <v>27.43140008</v>
      </c>
      <c r="AA379" s="141">
        <f t="shared" si="92"/>
        <v>32.105407870000001</v>
      </c>
      <c r="AB379" s="141">
        <f t="shared" si="92"/>
        <v>37.534394399999996</v>
      </c>
    </row>
    <row r="380" spans="1:29">
      <c r="A380" s="95" t="s">
        <v>352</v>
      </c>
      <c r="N380" s="141">
        <f t="shared" ref="N380:AB380" si="93" xml:space="preserve"> (N361*N251*N129+N341*N231*N131)/1000000000</f>
        <v>0</v>
      </c>
      <c r="O380" s="141">
        <f t="shared" si="93"/>
        <v>0</v>
      </c>
      <c r="P380" s="141">
        <f t="shared" si="93"/>
        <v>0</v>
      </c>
      <c r="Q380" s="141">
        <f t="shared" si="93"/>
        <v>0</v>
      </c>
      <c r="R380" s="141">
        <f t="shared" si="93"/>
        <v>0</v>
      </c>
      <c r="S380" s="141">
        <f t="shared" si="93"/>
        <v>0</v>
      </c>
      <c r="T380" s="141">
        <f t="shared" si="93"/>
        <v>0</v>
      </c>
      <c r="U380" s="141">
        <f t="shared" si="93"/>
        <v>0</v>
      </c>
      <c r="V380" s="141">
        <f t="shared" si="93"/>
        <v>2.9686720000000002</v>
      </c>
      <c r="W380" s="141">
        <f t="shared" si="93"/>
        <v>13.88721692</v>
      </c>
      <c r="X380" s="141">
        <f t="shared" si="93"/>
        <v>17.0573975</v>
      </c>
      <c r="Y380" s="141">
        <f t="shared" si="93"/>
        <v>20.8168191</v>
      </c>
      <c r="Z380" s="141">
        <f t="shared" si="93"/>
        <v>24.324712160000001</v>
      </c>
      <c r="AA380" s="141">
        <f t="shared" si="93"/>
        <v>28.480168039999999</v>
      </c>
      <c r="AB380" s="141">
        <f t="shared" si="93"/>
        <v>33.303446399999999</v>
      </c>
    </row>
    <row r="382" spans="1:29" s="89" customFormat="1">
      <c r="A382" s="88" t="s">
        <v>632</v>
      </c>
      <c r="N382" s="90">
        <f xml:space="preserve"> SUM(N365:N380)</f>
        <v>0</v>
      </c>
      <c r="O382" s="90">
        <f t="shared" ref="O382:AB382" si="94" xml:space="preserve"> SUM(O365:O380)</f>
        <v>0</v>
      </c>
      <c r="P382" s="90">
        <f t="shared" si="94"/>
        <v>0</v>
      </c>
      <c r="Q382" s="90">
        <f t="shared" si="94"/>
        <v>19.752466919999996</v>
      </c>
      <c r="R382" s="90">
        <f t="shared" si="94"/>
        <v>26.040895044999999</v>
      </c>
      <c r="S382" s="90">
        <f t="shared" si="94"/>
        <v>53.139323030000007</v>
      </c>
      <c r="T382" s="90">
        <f t="shared" si="94"/>
        <v>86.435627600000004</v>
      </c>
      <c r="U382" s="90">
        <f t="shared" si="94"/>
        <v>123.74872559999999</v>
      </c>
      <c r="V382" s="90">
        <f t="shared" si="94"/>
        <v>182.00655219999996</v>
      </c>
      <c r="W382" s="90">
        <f t="shared" si="94"/>
        <v>246.07744056499996</v>
      </c>
      <c r="X382" s="90">
        <f t="shared" si="94"/>
        <v>302.22844437499998</v>
      </c>
      <c r="Y382" s="90">
        <f t="shared" si="94"/>
        <v>368.71007327999996</v>
      </c>
      <c r="Z382" s="90">
        <f t="shared" si="94"/>
        <v>431.97764763999993</v>
      </c>
      <c r="AA382" s="90">
        <f t="shared" si="94"/>
        <v>505.68536937000005</v>
      </c>
      <c r="AB382" s="90">
        <f t="shared" si="94"/>
        <v>591.16180230000009</v>
      </c>
      <c r="AC382" s="90"/>
    </row>
    <row r="384" spans="1:29" s="89" customFormat="1">
      <c r="A384" s="88" t="s">
        <v>636</v>
      </c>
      <c r="N384" s="90">
        <f t="shared" ref="N384:AB384" si="95" xml:space="preserve"> N382+N302 + N321</f>
        <v>0</v>
      </c>
      <c r="O384" s="90">
        <f t="shared" si="95"/>
        <v>0</v>
      </c>
      <c r="P384" s="90">
        <f t="shared" si="95"/>
        <v>0</v>
      </c>
      <c r="Q384" s="90">
        <f t="shared" si="95"/>
        <v>46.522417314000002</v>
      </c>
      <c r="R384" s="90">
        <f t="shared" si="95"/>
        <v>61.414711892510006</v>
      </c>
      <c r="S384" s="90">
        <f t="shared" si="95"/>
        <v>127.20754399959499</v>
      </c>
      <c r="T384" s="90">
        <f t="shared" si="95"/>
        <v>203.95014342477597</v>
      </c>
      <c r="U384" s="90">
        <f t="shared" si="95"/>
        <v>290.30009787293898</v>
      </c>
      <c r="V384" s="90">
        <f t="shared" si="95"/>
        <v>402.39073320872001</v>
      </c>
      <c r="W384" s="90">
        <f t="shared" si="95"/>
        <v>537.38921504309928</v>
      </c>
      <c r="X384" s="90">
        <f t="shared" si="95"/>
        <v>660.85424610632504</v>
      </c>
      <c r="Y384" s="90">
        <f t="shared" si="95"/>
        <v>812.93147454644998</v>
      </c>
      <c r="Z384" s="90">
        <f t="shared" si="95"/>
        <v>953.7890376357559</v>
      </c>
      <c r="AA384" s="90">
        <f t="shared" si="95"/>
        <v>1117.8662868896743</v>
      </c>
      <c r="AB384" s="90">
        <f t="shared" si="95"/>
        <v>1316.3179131646427</v>
      </c>
    </row>
    <row r="385" spans="1:28" s="98" customFormat="1">
      <c r="A385" s="97"/>
    </row>
    <row r="386" spans="1:28" s="181" customFormat="1" ht="21">
      <c r="A386" s="229" t="s">
        <v>62</v>
      </c>
      <c r="B386" s="230"/>
      <c r="C386" s="230"/>
      <c r="D386" s="230"/>
      <c r="E386" s="230"/>
      <c r="F386" s="230"/>
      <c r="G386" s="230"/>
      <c r="H386" s="230"/>
      <c r="I386" s="230"/>
      <c r="J386" s="230"/>
      <c r="K386" s="230"/>
      <c r="L386" s="230"/>
      <c r="M386" s="230"/>
      <c r="N386" s="230"/>
      <c r="O386" s="230"/>
      <c r="P386" s="230"/>
      <c r="Q386" s="230"/>
      <c r="R386" s="230"/>
      <c r="S386" s="230"/>
      <c r="T386" s="230"/>
      <c r="U386" s="230"/>
      <c r="V386" s="230"/>
    </row>
    <row r="387" spans="1:28">
      <c r="A387" s="3" t="s">
        <v>64</v>
      </c>
      <c r="N387" s="59">
        <v>0</v>
      </c>
      <c r="O387" s="59">
        <v>0</v>
      </c>
      <c r="P387" s="59">
        <v>0</v>
      </c>
      <c r="Q387" s="59">
        <v>15000</v>
      </c>
      <c r="R387" s="59">
        <v>22500</v>
      </c>
      <c r="S387" s="59">
        <v>35000</v>
      </c>
      <c r="T387" s="59">
        <v>50000</v>
      </c>
      <c r="U387" s="59">
        <v>75000</v>
      </c>
      <c r="V387" s="59">
        <v>90000</v>
      </c>
      <c r="W387" s="59">
        <v>105000</v>
      </c>
      <c r="X387" s="59">
        <v>120000</v>
      </c>
      <c r="Y387" s="59">
        <v>135000</v>
      </c>
      <c r="Z387" s="59">
        <v>142500</v>
      </c>
      <c r="AA387" s="59">
        <v>150000</v>
      </c>
      <c r="AB387" s="59">
        <v>150000</v>
      </c>
    </row>
    <row r="388" spans="1:28">
      <c r="A388" s="3" t="s">
        <v>65</v>
      </c>
      <c r="N388" s="143">
        <v>0</v>
      </c>
      <c r="O388" s="143">
        <v>0</v>
      </c>
      <c r="P388" s="143">
        <v>0</v>
      </c>
      <c r="Q388" s="152">
        <v>2000</v>
      </c>
      <c r="R388" s="152">
        <v>3000</v>
      </c>
      <c r="S388" s="152">
        <v>4200</v>
      </c>
      <c r="T388" s="152">
        <v>5500</v>
      </c>
      <c r="U388" s="152">
        <v>6500</v>
      </c>
      <c r="V388" s="152">
        <v>7400</v>
      </c>
      <c r="W388" s="152">
        <v>8100</v>
      </c>
      <c r="X388" s="152">
        <v>8600</v>
      </c>
      <c r="Y388" s="152">
        <v>9000</v>
      </c>
      <c r="Z388" s="152">
        <v>9200</v>
      </c>
      <c r="AA388" s="152">
        <v>9400</v>
      </c>
      <c r="AB388" s="152">
        <v>9600</v>
      </c>
    </row>
    <row r="390" spans="1:28">
      <c r="A390" s="3" t="s">
        <v>66</v>
      </c>
      <c r="N390" s="145">
        <v>0</v>
      </c>
      <c r="O390" s="145">
        <v>0</v>
      </c>
      <c r="P390" s="145">
        <v>0</v>
      </c>
      <c r="Q390" s="145">
        <v>0.65</v>
      </c>
      <c r="R390" s="145">
        <v>0.68</v>
      </c>
      <c r="S390" s="145">
        <v>0.7</v>
      </c>
      <c r="T390" s="145">
        <v>0.72</v>
      </c>
      <c r="U390" s="145">
        <v>0.74</v>
      </c>
      <c r="V390" s="145">
        <v>0.75</v>
      </c>
      <c r="W390" s="145">
        <v>0.76</v>
      </c>
      <c r="X390" s="145">
        <v>0.77</v>
      </c>
      <c r="Y390" s="145">
        <v>0.78</v>
      </c>
      <c r="Z390" s="145">
        <v>0.78</v>
      </c>
      <c r="AA390" s="145">
        <v>0.79</v>
      </c>
      <c r="AB390" s="145">
        <v>0.8</v>
      </c>
    </row>
    <row r="391" spans="1:28">
      <c r="A391" s="3" t="s">
        <v>67</v>
      </c>
      <c r="N391" s="145">
        <v>0</v>
      </c>
      <c r="O391" s="145">
        <v>0</v>
      </c>
      <c r="P391" s="145">
        <v>0</v>
      </c>
      <c r="Q391" s="145">
        <v>0.85</v>
      </c>
      <c r="R391" s="145">
        <v>0.87</v>
      </c>
      <c r="S391" s="145">
        <v>0.88</v>
      </c>
      <c r="T391" s="145">
        <v>0.9</v>
      </c>
      <c r="U391" s="145">
        <v>0.91</v>
      </c>
      <c r="V391" s="145">
        <v>0.92</v>
      </c>
      <c r="W391" s="145">
        <v>0.93</v>
      </c>
      <c r="X391" s="145">
        <v>0.93</v>
      </c>
      <c r="Y391" s="145">
        <v>0.94</v>
      </c>
      <c r="Z391" s="145">
        <v>0.94</v>
      </c>
      <c r="AA391" s="145">
        <v>0.95</v>
      </c>
      <c r="AB391" s="145">
        <v>0.95</v>
      </c>
    </row>
    <row r="392" spans="1:28"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</row>
    <row r="393" spans="1:28">
      <c r="A393" s="3" t="s">
        <v>527</v>
      </c>
      <c r="N393" s="143">
        <v>0</v>
      </c>
      <c r="O393" s="143">
        <v>0</v>
      </c>
      <c r="P393" s="143">
        <v>0</v>
      </c>
      <c r="Q393" s="143">
        <v>2</v>
      </c>
      <c r="R393" s="143">
        <v>2.1</v>
      </c>
      <c r="S393" s="143">
        <v>2.2000000000000002</v>
      </c>
      <c r="T393" s="143">
        <v>2.2999999999999998</v>
      </c>
      <c r="U393" s="143">
        <v>2.4</v>
      </c>
      <c r="V393" s="143">
        <v>2.5</v>
      </c>
      <c r="W393" s="143">
        <v>2.6</v>
      </c>
      <c r="X393" s="143">
        <v>2.7</v>
      </c>
      <c r="Y393" s="143">
        <v>2.8</v>
      </c>
      <c r="Z393" s="143">
        <v>2.9</v>
      </c>
      <c r="AA393" s="143">
        <v>3</v>
      </c>
      <c r="AB393" s="143">
        <v>3</v>
      </c>
    </row>
    <row r="394" spans="1:28">
      <c r="A394" s="3" t="s">
        <v>528</v>
      </c>
      <c r="N394" s="143">
        <v>0</v>
      </c>
      <c r="O394" s="143">
        <v>0</v>
      </c>
      <c r="P394" s="143">
        <v>0</v>
      </c>
      <c r="Q394" s="143">
        <v>4.5</v>
      </c>
      <c r="R394" s="143">
        <v>4.7</v>
      </c>
      <c r="S394" s="143">
        <v>5</v>
      </c>
      <c r="T394" s="143">
        <v>5.2</v>
      </c>
      <c r="U394" s="143">
        <v>5.5</v>
      </c>
      <c r="V394" s="143">
        <v>5.7</v>
      </c>
      <c r="W394" s="143">
        <v>5.8</v>
      </c>
      <c r="X394" s="143">
        <v>6</v>
      </c>
      <c r="Y394" s="143">
        <v>6.2</v>
      </c>
      <c r="Z394" s="143">
        <v>6.3</v>
      </c>
      <c r="AA394" s="143">
        <v>6.4</v>
      </c>
      <c r="AB394" s="143">
        <v>6.5</v>
      </c>
    </row>
    <row r="396" spans="1:28">
      <c r="A396" s="3" t="s">
        <v>68</v>
      </c>
      <c r="N396" s="190">
        <f t="shared" ref="N396:P396" si="96" xml:space="preserve"> 30*N393*N390*N387/10000000</f>
        <v>0</v>
      </c>
      <c r="O396" s="190">
        <f t="shared" si="96"/>
        <v>0</v>
      </c>
      <c r="P396" s="190">
        <f t="shared" si="96"/>
        <v>0</v>
      </c>
      <c r="Q396" s="190">
        <f xml:space="preserve"> 30*Q393*Q390*Q387/10000000</f>
        <v>5.8500000000000003E-2</v>
      </c>
      <c r="R396" s="190">
        <f t="shared" ref="R396:AB396" si="97" xml:space="preserve"> 30*R393*R390*R387/10000000</f>
        <v>9.6390000000000017E-2</v>
      </c>
      <c r="S396" s="190">
        <f t="shared" si="97"/>
        <v>0.16169999999999998</v>
      </c>
      <c r="T396" s="190">
        <f t="shared" si="97"/>
        <v>0.24840000000000001</v>
      </c>
      <c r="U396" s="190">
        <f t="shared" si="97"/>
        <v>0.39960000000000001</v>
      </c>
      <c r="V396" s="190">
        <f t="shared" si="97"/>
        <v>0.50624999999999998</v>
      </c>
      <c r="W396" s="190">
        <f t="shared" si="97"/>
        <v>0.62243999999999999</v>
      </c>
      <c r="X396" s="190">
        <f t="shared" si="97"/>
        <v>0.74844000000000011</v>
      </c>
      <c r="Y396" s="190">
        <f t="shared" si="97"/>
        <v>0.88451999999999997</v>
      </c>
      <c r="Z396" s="190">
        <f t="shared" si="97"/>
        <v>0.967005</v>
      </c>
      <c r="AA396" s="190">
        <f t="shared" si="97"/>
        <v>1.0665000000000002</v>
      </c>
      <c r="AB396" s="190">
        <f t="shared" si="97"/>
        <v>1.08</v>
      </c>
    </row>
    <row r="397" spans="1:28">
      <c r="A397" s="3" t="s">
        <v>69</v>
      </c>
      <c r="N397" s="190">
        <f t="shared" ref="N397:P397" si="98" xml:space="preserve"> 60*N394*N391*N388/10000000</f>
        <v>0</v>
      </c>
      <c r="O397" s="190">
        <f t="shared" si="98"/>
        <v>0</v>
      </c>
      <c r="P397" s="190">
        <f t="shared" si="98"/>
        <v>0</v>
      </c>
      <c r="Q397" s="190">
        <f xml:space="preserve"> 60*Q394*Q391*Q388/10000000</f>
        <v>4.5900000000000003E-2</v>
      </c>
      <c r="R397" s="190">
        <f t="shared" ref="R397:AB397" si="99" xml:space="preserve"> 60*R394*R391*R388/10000000</f>
        <v>7.3602000000000001E-2</v>
      </c>
      <c r="S397" s="190">
        <f t="shared" si="99"/>
        <v>0.11088000000000001</v>
      </c>
      <c r="T397" s="190">
        <f t="shared" si="99"/>
        <v>0.15443999999999999</v>
      </c>
      <c r="U397" s="190">
        <f t="shared" si="99"/>
        <v>0.19519500000000001</v>
      </c>
      <c r="V397" s="190">
        <f t="shared" si="99"/>
        <v>0.2328336</v>
      </c>
      <c r="W397" s="190">
        <f t="shared" si="99"/>
        <v>0.26214840000000006</v>
      </c>
      <c r="X397" s="190">
        <f t="shared" si="99"/>
        <v>0.28792800000000002</v>
      </c>
      <c r="Y397" s="190">
        <f t="shared" si="99"/>
        <v>0.31471199999999999</v>
      </c>
      <c r="Z397" s="190">
        <f t="shared" si="99"/>
        <v>0.32689439999999997</v>
      </c>
      <c r="AA397" s="190">
        <f t="shared" si="99"/>
        <v>0.34291199999999994</v>
      </c>
      <c r="AB397" s="190">
        <f t="shared" si="99"/>
        <v>0.35568</v>
      </c>
    </row>
    <row r="399" spans="1:28">
      <c r="A399" s="24" t="s">
        <v>164</v>
      </c>
      <c r="N399" s="190">
        <f t="shared" ref="N399:P399" si="100" xml:space="preserve"> SUM(N396:N397)</f>
        <v>0</v>
      </c>
      <c r="O399" s="190">
        <f t="shared" si="100"/>
        <v>0</v>
      </c>
      <c r="P399" s="190">
        <f t="shared" si="100"/>
        <v>0</v>
      </c>
      <c r="Q399" s="190">
        <f xml:space="preserve"> SUM(Q396:Q397)</f>
        <v>0.10440000000000001</v>
      </c>
      <c r="R399" s="190">
        <f t="shared" ref="R399:AB399" si="101" xml:space="preserve"> SUM(R396:R397)</f>
        <v>0.16999200000000003</v>
      </c>
      <c r="S399" s="190">
        <f t="shared" si="101"/>
        <v>0.27257999999999999</v>
      </c>
      <c r="T399" s="190">
        <f t="shared" si="101"/>
        <v>0.40283999999999998</v>
      </c>
      <c r="U399" s="190">
        <f t="shared" si="101"/>
        <v>0.59479499999999996</v>
      </c>
      <c r="V399" s="190">
        <f t="shared" si="101"/>
        <v>0.73908359999999995</v>
      </c>
      <c r="W399" s="190">
        <f t="shared" si="101"/>
        <v>0.88458840000000005</v>
      </c>
      <c r="X399" s="190">
        <f t="shared" si="101"/>
        <v>1.0363680000000002</v>
      </c>
      <c r="Y399" s="190">
        <f t="shared" si="101"/>
        <v>1.1992319999999999</v>
      </c>
      <c r="Z399" s="190">
        <f t="shared" si="101"/>
        <v>1.2938993999999999</v>
      </c>
      <c r="AA399" s="190">
        <f t="shared" si="101"/>
        <v>1.4094120000000001</v>
      </c>
      <c r="AB399" s="190">
        <f t="shared" si="101"/>
        <v>1.4356800000000001</v>
      </c>
    </row>
    <row r="400" spans="1:28">
      <c r="A400" s="24" t="s">
        <v>529</v>
      </c>
      <c r="N400" s="150">
        <v>0.1</v>
      </c>
      <c r="O400" s="150">
        <v>0.1</v>
      </c>
      <c r="P400" s="150">
        <v>0.1</v>
      </c>
      <c r="Q400" s="150">
        <v>0.1</v>
      </c>
      <c r="R400" s="150">
        <v>0.1</v>
      </c>
      <c r="S400" s="150">
        <v>0.1</v>
      </c>
      <c r="T400" s="150">
        <v>0.1</v>
      </c>
      <c r="U400" s="150">
        <v>0.1</v>
      </c>
      <c r="V400" s="150">
        <v>0.1</v>
      </c>
      <c r="W400" s="150">
        <v>0.1</v>
      </c>
      <c r="X400" s="150">
        <v>0.1</v>
      </c>
      <c r="Y400" s="150">
        <v>0.1</v>
      </c>
      <c r="Z400" s="150">
        <v>0.1</v>
      </c>
      <c r="AA400" s="150">
        <v>0.1</v>
      </c>
      <c r="AB400" s="150">
        <v>0.1</v>
      </c>
    </row>
    <row r="401" spans="1:28">
      <c r="A401" s="24" t="s">
        <v>170</v>
      </c>
      <c r="N401" s="59">
        <v>1.1000000000000001</v>
      </c>
      <c r="O401" s="59">
        <v>1.21</v>
      </c>
      <c r="P401" s="59">
        <v>1.331</v>
      </c>
      <c r="Q401" s="59">
        <v>1.4641</v>
      </c>
      <c r="R401" s="59">
        <v>1.6105</v>
      </c>
      <c r="S401" s="59">
        <v>1.7716000000000001</v>
      </c>
      <c r="T401" s="59">
        <v>1.9487000000000001</v>
      </c>
      <c r="U401" s="59">
        <v>2.1436000000000002</v>
      </c>
      <c r="V401" s="59">
        <v>2.3578999999999999</v>
      </c>
      <c r="W401" s="59">
        <v>2.5937000000000001</v>
      </c>
      <c r="X401" s="59">
        <v>2.8531</v>
      </c>
      <c r="Y401" s="59">
        <v>3.1383999999999999</v>
      </c>
      <c r="Z401" s="59">
        <v>3.4523000000000001</v>
      </c>
      <c r="AA401" s="59">
        <v>3.7974999999999999</v>
      </c>
      <c r="AB401" s="59">
        <v>4.1772</v>
      </c>
    </row>
    <row r="402" spans="1:28">
      <c r="A402" s="24" t="s">
        <v>530</v>
      </c>
      <c r="N402" s="190">
        <f>N401*N399</f>
        <v>0</v>
      </c>
      <c r="O402" s="190">
        <f t="shared" ref="O402:AA402" si="102">O401*O399</f>
        <v>0</v>
      </c>
      <c r="P402" s="190">
        <f t="shared" si="102"/>
        <v>0</v>
      </c>
      <c r="Q402" s="190">
        <f t="shared" si="102"/>
        <v>0.15285203999999999</v>
      </c>
      <c r="R402" s="190">
        <f t="shared" si="102"/>
        <v>0.27377211600000007</v>
      </c>
      <c r="S402" s="190">
        <f t="shared" si="102"/>
        <v>0.482902728</v>
      </c>
      <c r="T402" s="190">
        <f t="shared" si="102"/>
        <v>0.78501430799999994</v>
      </c>
      <c r="U402" s="190">
        <f t="shared" si="102"/>
        <v>1.2750025620000001</v>
      </c>
      <c r="V402" s="190">
        <f t="shared" si="102"/>
        <v>1.7426852204399998</v>
      </c>
      <c r="W402" s="190">
        <f t="shared" si="102"/>
        <v>2.2943569330800004</v>
      </c>
      <c r="X402" s="190">
        <f t="shared" si="102"/>
        <v>2.9568615408000003</v>
      </c>
      <c r="Y402" s="190">
        <f t="shared" si="102"/>
        <v>3.7636697087999993</v>
      </c>
      <c r="Z402" s="190">
        <f t="shared" si="102"/>
        <v>4.46692889862</v>
      </c>
      <c r="AA402" s="190">
        <f t="shared" si="102"/>
        <v>5.35224207</v>
      </c>
      <c r="AB402" s="190">
        <f>AB401*AB399</f>
        <v>5.9971224960000002</v>
      </c>
    </row>
    <row r="404" spans="1:28" s="181" customFormat="1" ht="21">
      <c r="A404" s="229" t="s">
        <v>83</v>
      </c>
      <c r="B404" s="230"/>
      <c r="C404" s="230"/>
      <c r="D404" s="230"/>
      <c r="E404" s="230"/>
      <c r="F404" s="230"/>
      <c r="G404" s="230"/>
      <c r="H404" s="230"/>
      <c r="I404" s="230"/>
      <c r="J404" s="230"/>
      <c r="K404" s="230"/>
      <c r="L404" s="230"/>
      <c r="M404" s="230"/>
      <c r="N404" s="230"/>
      <c r="O404" s="230"/>
      <c r="P404" s="230"/>
      <c r="Q404" s="230"/>
      <c r="R404" s="230"/>
      <c r="S404" s="230"/>
      <c r="T404" s="230"/>
      <c r="U404" s="230"/>
      <c r="V404" s="230"/>
    </row>
    <row r="405" spans="1:28">
      <c r="A405" s="3" t="s">
        <v>65</v>
      </c>
      <c r="N405" s="143">
        <v>0</v>
      </c>
      <c r="O405" s="143">
        <v>0</v>
      </c>
      <c r="P405" s="143">
        <v>0</v>
      </c>
      <c r="Q405" s="152">
        <v>2000</v>
      </c>
      <c r="R405" s="152">
        <v>3000</v>
      </c>
      <c r="S405" s="152">
        <v>4200</v>
      </c>
      <c r="T405" s="152">
        <v>5500</v>
      </c>
      <c r="U405" s="152">
        <v>6500</v>
      </c>
      <c r="V405" s="152">
        <v>7400</v>
      </c>
      <c r="W405" s="152">
        <v>8100</v>
      </c>
      <c r="X405" s="152">
        <v>8600</v>
      </c>
      <c r="Y405" s="152">
        <v>9000</v>
      </c>
      <c r="Z405" s="152">
        <v>9200</v>
      </c>
      <c r="AA405" s="152">
        <v>9400</v>
      </c>
      <c r="AB405" s="152">
        <v>9600</v>
      </c>
    </row>
    <row r="406" spans="1:28">
      <c r="A406" s="3" t="s">
        <v>71</v>
      </c>
      <c r="N406" s="145">
        <v>0</v>
      </c>
      <c r="O406" s="145">
        <v>0</v>
      </c>
      <c r="P406" s="145">
        <v>0</v>
      </c>
      <c r="Q406" s="145">
        <v>0.18</v>
      </c>
      <c r="R406" s="145">
        <v>0.2</v>
      </c>
      <c r="S406" s="145">
        <v>0.22</v>
      </c>
      <c r="T406" s="145">
        <v>0.24</v>
      </c>
      <c r="U406" s="145">
        <v>0.25</v>
      </c>
      <c r="V406" s="145">
        <v>0.26</v>
      </c>
      <c r="W406" s="145">
        <v>0.27</v>
      </c>
      <c r="X406" s="145">
        <v>0.28000000000000003</v>
      </c>
      <c r="Y406" s="145">
        <v>0.28999999999999998</v>
      </c>
      <c r="Z406" s="145">
        <v>0.3</v>
      </c>
      <c r="AA406" s="145">
        <v>0.3</v>
      </c>
      <c r="AB406" s="145">
        <v>0.3</v>
      </c>
    </row>
    <row r="407" spans="1:28">
      <c r="A407" s="3" t="s">
        <v>72</v>
      </c>
      <c r="N407" s="143">
        <v>0</v>
      </c>
      <c r="O407" s="143">
        <v>0</v>
      </c>
      <c r="P407" s="143">
        <v>0</v>
      </c>
      <c r="Q407" s="152">
        <v>2500</v>
      </c>
      <c r="R407" s="152">
        <v>2725</v>
      </c>
      <c r="S407" s="152">
        <v>2970</v>
      </c>
      <c r="T407" s="152">
        <v>3238</v>
      </c>
      <c r="U407" s="152">
        <v>3529</v>
      </c>
      <c r="V407" s="152">
        <v>3847</v>
      </c>
      <c r="W407" s="152">
        <v>4193</v>
      </c>
      <c r="X407" s="152">
        <v>4570</v>
      </c>
      <c r="Y407" s="152">
        <v>4981</v>
      </c>
      <c r="Z407" s="152">
        <v>5430</v>
      </c>
      <c r="AA407" s="152">
        <v>5919</v>
      </c>
      <c r="AB407" s="152">
        <v>6452</v>
      </c>
    </row>
    <row r="409" spans="1:28">
      <c r="A409" s="24" t="s">
        <v>529</v>
      </c>
      <c r="N409" s="145">
        <v>0</v>
      </c>
      <c r="O409" s="145">
        <v>0</v>
      </c>
      <c r="P409" s="145">
        <v>0</v>
      </c>
      <c r="Q409" s="145">
        <v>0.09</v>
      </c>
      <c r="R409" s="145">
        <v>0.09</v>
      </c>
      <c r="S409" s="145">
        <v>0.09</v>
      </c>
      <c r="T409" s="145">
        <v>0.09</v>
      </c>
      <c r="U409" s="145">
        <v>0.09</v>
      </c>
      <c r="V409" s="145">
        <v>0.09</v>
      </c>
      <c r="W409" s="145">
        <v>0.09</v>
      </c>
      <c r="X409" s="145">
        <v>0.09</v>
      </c>
      <c r="Y409" s="145">
        <v>0.09</v>
      </c>
      <c r="Z409" s="145">
        <v>0.09</v>
      </c>
      <c r="AA409" s="145">
        <v>0.09</v>
      </c>
      <c r="AB409" s="145">
        <v>0.09</v>
      </c>
    </row>
    <row r="410" spans="1:28">
      <c r="A410" s="24" t="s">
        <v>170</v>
      </c>
      <c r="N410" s="59">
        <v>1.0900000000000001</v>
      </c>
      <c r="O410" s="59">
        <v>1.1880999999999999</v>
      </c>
      <c r="P410" s="59">
        <v>1.2949999999999999</v>
      </c>
      <c r="Q410" s="59">
        <v>1.4116</v>
      </c>
      <c r="R410" s="59">
        <v>1.5386</v>
      </c>
      <c r="S410" s="59">
        <v>1.6771</v>
      </c>
      <c r="T410" s="59">
        <v>1.8280000000000001</v>
      </c>
      <c r="U410" s="59">
        <v>1.9925999999999999</v>
      </c>
      <c r="V410" s="59">
        <v>2.1718999999999999</v>
      </c>
      <c r="W410" s="59">
        <v>2.3673999999999999</v>
      </c>
      <c r="X410" s="59">
        <v>2.5804</v>
      </c>
      <c r="Y410" s="59">
        <v>2.8127</v>
      </c>
      <c r="Z410" s="59">
        <v>3.0657999999999999</v>
      </c>
      <c r="AA410" s="59">
        <v>3.3416999999999999</v>
      </c>
      <c r="AB410" s="59">
        <v>3.6425000000000001</v>
      </c>
    </row>
    <row r="411" spans="1:28">
      <c r="A411" s="24" t="s">
        <v>74</v>
      </c>
      <c r="N411" s="141">
        <f xml:space="preserve"> N410*N407*N406*N405/10000000</f>
        <v>0</v>
      </c>
      <c r="O411" s="141">
        <f t="shared" ref="O411:U411" si="103" xml:space="preserve"> O410*O407*O406*O405/10000000</f>
        <v>0</v>
      </c>
      <c r="P411" s="141">
        <f t="shared" si="103"/>
        <v>0</v>
      </c>
      <c r="Q411" s="141">
        <f t="shared" si="103"/>
        <v>0.12704399999999999</v>
      </c>
      <c r="R411" s="141">
        <f t="shared" si="103"/>
        <v>0.25156109999999993</v>
      </c>
      <c r="S411" s="141">
        <f t="shared" si="103"/>
        <v>0.46024319880000009</v>
      </c>
      <c r="T411" s="141">
        <f t="shared" si="103"/>
        <v>0.781316448</v>
      </c>
      <c r="U411" s="141">
        <f t="shared" si="103"/>
        <v>1.1426813775</v>
      </c>
      <c r="V411" s="141">
        <f xml:space="preserve"> V410*V407*V406*V405/10000000</f>
        <v>1.6075595853200004</v>
      </c>
      <c r="W411" s="141">
        <f t="shared" ref="W411" si="104" xml:space="preserve"> W410*W407*W406*W405/10000000</f>
        <v>2.1709273433400003</v>
      </c>
      <c r="X411" s="141">
        <f t="shared" ref="X411" si="105" xml:space="preserve"> X410*X407*X406*X405/10000000</f>
        <v>2.8396166624000001</v>
      </c>
      <c r="Y411" s="141">
        <f t="shared" ref="Y411" si="106" xml:space="preserve"> Y410*Y407*Y406*Y405/10000000</f>
        <v>3.6566253206999995</v>
      </c>
      <c r="Z411" s="141">
        <f t="shared" ref="Z411" si="107" xml:space="preserve"> Z410*Z407*Z406*Z405/10000000</f>
        <v>4.5946531439999996</v>
      </c>
      <c r="AA411" s="141">
        <f t="shared" ref="AA411" si="108" xml:space="preserve"> AA410*AA407*AA406*AA405/10000000</f>
        <v>5.5778252885999997</v>
      </c>
      <c r="AB411" s="141">
        <f t="shared" ref="AB411" si="109" xml:space="preserve"> AB410*AB407*AB406*AB405/10000000</f>
        <v>6.7684060800000001</v>
      </c>
    </row>
    <row r="413" spans="1:28" s="181" customFormat="1" ht="21">
      <c r="A413" s="229" t="s">
        <v>84</v>
      </c>
      <c r="B413" s="230"/>
      <c r="C413" s="230"/>
      <c r="D413" s="230"/>
      <c r="E413" s="230"/>
      <c r="F413" s="230"/>
      <c r="G413" s="230"/>
      <c r="H413" s="230"/>
      <c r="I413" s="230"/>
      <c r="J413" s="230"/>
      <c r="K413" s="230"/>
      <c r="L413" s="230"/>
      <c r="M413" s="230"/>
      <c r="N413" s="230"/>
      <c r="O413" s="230"/>
      <c r="P413" s="230"/>
      <c r="Q413" s="230"/>
      <c r="R413" s="230"/>
      <c r="S413" s="230"/>
      <c r="T413" s="230"/>
      <c r="U413" s="230"/>
      <c r="V413" s="230"/>
    </row>
    <row r="414" spans="1:28">
      <c r="A414" s="3" t="s">
        <v>75</v>
      </c>
      <c r="N414" s="143">
        <v>0</v>
      </c>
      <c r="O414" s="143">
        <v>0</v>
      </c>
      <c r="P414" s="143">
        <v>0</v>
      </c>
      <c r="Q414" s="152">
        <v>15000</v>
      </c>
      <c r="R414" s="152">
        <v>22500</v>
      </c>
      <c r="S414" s="152">
        <v>35000</v>
      </c>
      <c r="T414" s="152">
        <v>50000</v>
      </c>
      <c r="U414" s="152">
        <v>75000</v>
      </c>
      <c r="V414" s="152">
        <v>90000</v>
      </c>
      <c r="W414" s="152">
        <v>105000</v>
      </c>
      <c r="X414" s="152">
        <v>120000</v>
      </c>
      <c r="Y414" s="152">
        <v>135000</v>
      </c>
      <c r="Z414" s="152">
        <v>142500</v>
      </c>
      <c r="AA414" s="152">
        <v>150000</v>
      </c>
      <c r="AB414" s="152">
        <v>150000</v>
      </c>
    </row>
    <row r="415" spans="1:28">
      <c r="A415" s="3" t="s">
        <v>65</v>
      </c>
      <c r="N415" s="143">
        <v>0</v>
      </c>
      <c r="O415" s="143">
        <v>0</v>
      </c>
      <c r="P415" s="143">
        <v>0</v>
      </c>
      <c r="Q415" s="152">
        <v>2000</v>
      </c>
      <c r="R415" s="152">
        <v>3000</v>
      </c>
      <c r="S415" s="152">
        <v>4200</v>
      </c>
      <c r="T415" s="152">
        <v>5500</v>
      </c>
      <c r="U415" s="152">
        <v>6500</v>
      </c>
      <c r="V415" s="152">
        <v>7400</v>
      </c>
      <c r="W415" s="152">
        <v>8100</v>
      </c>
      <c r="X415" s="152">
        <v>8600</v>
      </c>
      <c r="Y415" s="152">
        <v>9000</v>
      </c>
      <c r="Z415" s="152">
        <v>9200</v>
      </c>
      <c r="AA415" s="152">
        <v>9400</v>
      </c>
      <c r="AB415" s="152">
        <v>9600</v>
      </c>
    </row>
    <row r="416" spans="1:28">
      <c r="A416" s="3" t="s">
        <v>76</v>
      </c>
      <c r="N416" s="143">
        <v>0</v>
      </c>
      <c r="O416" s="143">
        <v>0</v>
      </c>
      <c r="P416" s="143">
        <v>0</v>
      </c>
      <c r="Q416" s="152">
        <v>17000</v>
      </c>
      <c r="R416" s="152">
        <v>25500</v>
      </c>
      <c r="S416" s="152">
        <v>39200</v>
      </c>
      <c r="T416" s="152">
        <v>55500</v>
      </c>
      <c r="U416" s="152">
        <v>81500</v>
      </c>
      <c r="V416" s="152">
        <v>97400</v>
      </c>
      <c r="W416" s="152">
        <v>113100</v>
      </c>
      <c r="X416" s="152">
        <v>128600</v>
      </c>
      <c r="Y416" s="152">
        <v>144000</v>
      </c>
      <c r="Z416" s="152">
        <v>151700</v>
      </c>
      <c r="AA416" s="152">
        <v>159400</v>
      </c>
      <c r="AB416" s="152">
        <v>159600</v>
      </c>
    </row>
    <row r="418" spans="1:28">
      <c r="A418" s="3" t="s">
        <v>77</v>
      </c>
      <c r="N418" s="143">
        <v>0</v>
      </c>
      <c r="O418" s="143">
        <v>0</v>
      </c>
      <c r="P418" s="143">
        <v>0</v>
      </c>
      <c r="Q418" s="143">
        <v>1.2</v>
      </c>
      <c r="R418" s="143">
        <v>1.3</v>
      </c>
      <c r="S418" s="143">
        <v>1.4</v>
      </c>
      <c r="T418" s="143">
        <v>1.5</v>
      </c>
      <c r="U418" s="143">
        <v>1.6</v>
      </c>
      <c r="V418" s="143">
        <v>1.7</v>
      </c>
      <c r="W418" s="143">
        <v>1.8</v>
      </c>
      <c r="X418" s="143">
        <v>1.9</v>
      </c>
      <c r="Y418" s="143">
        <v>2</v>
      </c>
      <c r="Z418" s="143">
        <v>2</v>
      </c>
      <c r="AA418" s="143">
        <v>2.1</v>
      </c>
      <c r="AB418" s="143">
        <v>2.1</v>
      </c>
    </row>
    <row r="419" spans="1:28">
      <c r="A419" s="3" t="s">
        <v>78</v>
      </c>
      <c r="N419" s="143">
        <v>0</v>
      </c>
      <c r="O419" s="143">
        <v>0</v>
      </c>
      <c r="P419" s="143">
        <v>0</v>
      </c>
      <c r="Q419" s="143">
        <v>2</v>
      </c>
      <c r="R419" s="143">
        <v>2.2000000000000002</v>
      </c>
      <c r="S419" s="143">
        <v>2.2999999999999998</v>
      </c>
      <c r="T419" s="143">
        <v>2.4</v>
      </c>
      <c r="U419" s="143">
        <v>2.5</v>
      </c>
      <c r="V419" s="143">
        <v>2.6</v>
      </c>
      <c r="W419" s="143">
        <v>2.7</v>
      </c>
      <c r="X419" s="143">
        <v>2.8</v>
      </c>
      <c r="Y419" s="143">
        <v>2.9</v>
      </c>
      <c r="Z419" s="143">
        <v>3</v>
      </c>
      <c r="AA419" s="143">
        <v>3</v>
      </c>
      <c r="AB419" s="143">
        <v>3</v>
      </c>
    </row>
    <row r="421" spans="1:28">
      <c r="A421" s="3" t="s">
        <v>79</v>
      </c>
      <c r="N421" s="59">
        <f t="shared" ref="N421:AA421" si="110" xml:space="preserve"> N418*N414+N419*N415</f>
        <v>0</v>
      </c>
      <c r="O421" s="59">
        <f t="shared" si="110"/>
        <v>0</v>
      </c>
      <c r="P421" s="59">
        <f t="shared" si="110"/>
        <v>0</v>
      </c>
      <c r="Q421" s="59">
        <f xml:space="preserve"> Q418*Q414+Q419*Q415</f>
        <v>22000</v>
      </c>
      <c r="R421" s="59">
        <f t="shared" si="110"/>
        <v>35850</v>
      </c>
      <c r="S421" s="59">
        <f t="shared" si="110"/>
        <v>58660</v>
      </c>
      <c r="T421" s="59">
        <f t="shared" si="110"/>
        <v>88200</v>
      </c>
      <c r="U421" s="59">
        <f t="shared" si="110"/>
        <v>136250</v>
      </c>
      <c r="V421" s="59">
        <f t="shared" si="110"/>
        <v>172240</v>
      </c>
      <c r="W421" s="59">
        <f t="shared" si="110"/>
        <v>210870</v>
      </c>
      <c r="X421" s="59">
        <f t="shared" si="110"/>
        <v>252080</v>
      </c>
      <c r="Y421" s="59">
        <f t="shared" si="110"/>
        <v>296100</v>
      </c>
      <c r="Z421" s="59">
        <f t="shared" si="110"/>
        <v>312600</v>
      </c>
      <c r="AA421" s="59">
        <f t="shared" si="110"/>
        <v>343200</v>
      </c>
      <c r="AB421" s="59">
        <f xml:space="preserve"> AB418*AB414+AB419*AB415</f>
        <v>343800</v>
      </c>
    </row>
    <row r="423" spans="1:28">
      <c r="A423" s="3" t="s">
        <v>80</v>
      </c>
      <c r="N423" s="145">
        <v>0</v>
      </c>
      <c r="O423" s="145">
        <v>0</v>
      </c>
      <c r="P423" s="145">
        <v>0</v>
      </c>
      <c r="Q423" s="145">
        <v>0.25</v>
      </c>
      <c r="R423" s="145">
        <v>0.3</v>
      </c>
      <c r="S423" s="145">
        <v>0.35</v>
      </c>
      <c r="T423" s="145">
        <v>0.4</v>
      </c>
      <c r="U423" s="145">
        <v>0.45</v>
      </c>
      <c r="V423" s="145">
        <v>0.5</v>
      </c>
      <c r="W423" s="145">
        <v>0.55000000000000004</v>
      </c>
      <c r="X423" s="145">
        <v>0.6</v>
      </c>
      <c r="Y423" s="145">
        <v>0.65</v>
      </c>
      <c r="Z423" s="145">
        <v>0.68</v>
      </c>
      <c r="AA423" s="145">
        <v>0.7</v>
      </c>
      <c r="AB423" s="145">
        <v>0.7</v>
      </c>
    </row>
    <row r="424" spans="1:28">
      <c r="A424" s="3" t="s">
        <v>81</v>
      </c>
      <c r="N424" s="143">
        <v>0</v>
      </c>
      <c r="O424" s="143">
        <v>0</v>
      </c>
      <c r="P424" s="143">
        <v>0</v>
      </c>
      <c r="Q424" s="143">
        <v>180</v>
      </c>
      <c r="R424" s="143">
        <v>198</v>
      </c>
      <c r="S424" s="143">
        <v>218</v>
      </c>
      <c r="T424" s="143">
        <v>240</v>
      </c>
      <c r="U424" s="143">
        <v>264</v>
      </c>
      <c r="V424" s="143">
        <v>290</v>
      </c>
      <c r="W424" s="143">
        <v>319</v>
      </c>
      <c r="X424" s="143">
        <v>351</v>
      </c>
      <c r="Y424" s="143">
        <v>386</v>
      </c>
      <c r="Z424" s="143">
        <v>425</v>
      </c>
      <c r="AA424" s="143">
        <v>467</v>
      </c>
      <c r="AB424" s="143">
        <v>514</v>
      </c>
    </row>
    <row r="425" spans="1:28">
      <c r="A425" s="76"/>
    </row>
    <row r="426" spans="1:28">
      <c r="A426" s="24" t="s">
        <v>529</v>
      </c>
      <c r="N426" s="145">
        <v>0.1</v>
      </c>
      <c r="O426" s="145">
        <v>0.1</v>
      </c>
      <c r="P426" s="145">
        <v>0.1</v>
      </c>
      <c r="Q426" s="145">
        <v>0.1</v>
      </c>
      <c r="R426" s="145">
        <v>0.1</v>
      </c>
      <c r="S426" s="145">
        <v>0.1</v>
      </c>
      <c r="T426" s="145">
        <v>0.1</v>
      </c>
      <c r="U426" s="145">
        <v>0.1</v>
      </c>
      <c r="V426" s="145">
        <v>0.1</v>
      </c>
      <c r="W426" s="145">
        <v>0.1</v>
      </c>
      <c r="X426" s="145">
        <v>0.1</v>
      </c>
      <c r="Y426" s="145">
        <v>0.1</v>
      </c>
      <c r="Z426" s="145">
        <v>0.1</v>
      </c>
      <c r="AA426" s="145">
        <v>0.1</v>
      </c>
      <c r="AB426" s="145">
        <v>0.1</v>
      </c>
    </row>
    <row r="427" spans="1:28">
      <c r="A427" s="24" t="s">
        <v>170</v>
      </c>
      <c r="N427" s="59">
        <v>1.1000000000000001</v>
      </c>
      <c r="O427" s="59">
        <v>1.21</v>
      </c>
      <c r="P427" s="59">
        <v>1.331</v>
      </c>
      <c r="Q427" s="59">
        <v>1.4641</v>
      </c>
      <c r="R427" s="59">
        <v>1.6105</v>
      </c>
      <c r="S427" s="59">
        <v>1.7716000000000001</v>
      </c>
      <c r="T427" s="59">
        <v>1.9487000000000001</v>
      </c>
      <c r="U427" s="59">
        <v>2.1436000000000002</v>
      </c>
      <c r="V427" s="59">
        <v>2.3578999999999999</v>
      </c>
      <c r="W427" s="59">
        <v>2.5937000000000001</v>
      </c>
      <c r="X427" s="59">
        <v>2.8531</v>
      </c>
      <c r="Y427" s="59">
        <v>3.1383999999999999</v>
      </c>
      <c r="Z427" s="59">
        <v>3.4523000000000001</v>
      </c>
      <c r="AA427" s="59">
        <v>3.7974999999999999</v>
      </c>
      <c r="AB427" s="59">
        <v>4.1772</v>
      </c>
    </row>
    <row r="428" spans="1:28">
      <c r="A428" s="24" t="s">
        <v>531</v>
      </c>
      <c r="N428" s="59">
        <f>REVENUE!N427*REVENUE!N424*REVENUE!N421/10000000</f>
        <v>0</v>
      </c>
      <c r="O428" s="59">
        <f>REVENUE!O427*REVENUE!O424*REVENUE!O421/10000000</f>
        <v>0</v>
      </c>
      <c r="P428" s="59">
        <f>REVENUE!P427*REVENUE!P424*REVENUE!P421/10000000</f>
        <v>0</v>
      </c>
      <c r="Q428" s="59">
        <f>REVENUE!Q427*REVENUE!Q424*REVENUE!Q421*Q423/10000000</f>
        <v>0.14494589999999999</v>
      </c>
      <c r="R428" s="59">
        <f>REVENUE!R427*REVENUE!R424*REVENUE!R421*R423/10000000</f>
        <v>0.3429543645</v>
      </c>
      <c r="S428" s="59">
        <f>REVENUE!S427*REVENUE!S424*REVENUE!S421*S423/10000000</f>
        <v>0.79292528728</v>
      </c>
      <c r="T428" s="59">
        <f>REVENUE!T427*REVENUE!T424*REVENUE!T421*T423/10000000</f>
        <v>1.650003264</v>
      </c>
      <c r="U428" s="59">
        <f>REVENUE!U427*REVENUE!U424*REVENUE!U421*U423/10000000</f>
        <v>3.4697381400000005</v>
      </c>
      <c r="V428" s="59">
        <f>REVENUE!V427*REVENUE!V424*REVENUE!V421*V423/10000000</f>
        <v>5.8888080919999997</v>
      </c>
      <c r="W428" s="59">
        <f>REVENUE!W427*REVENUE!W424*REVENUE!W421*W423/10000000</f>
        <v>9.5959485908550022</v>
      </c>
      <c r="X428" s="59">
        <f>REVENUE!X427*REVENUE!X424*REVENUE!X421*X423/10000000</f>
        <v>15.146550974879998</v>
      </c>
      <c r="Y428" s="59">
        <f>REVENUE!Y427*REVENUE!Y424*REVENUE!Y421*Y423/10000000</f>
        <v>23.3156412216</v>
      </c>
      <c r="Z428" s="59">
        <f>REVENUE!Z427*REVENUE!Z424*REVENUE!Z421*Z423/10000000</f>
        <v>31.188561522000004</v>
      </c>
      <c r="AA428" s="59">
        <f>REVENUE!AA427*REVENUE!AA424*REVENUE!AA421*AA423/10000000</f>
        <v>42.604942379999997</v>
      </c>
      <c r="AB428" s="59">
        <f>REVENUE!AB427*REVENUE!AB424*REVENUE!AB421*AB423/10000000</f>
        <v>51.671646532800004</v>
      </c>
    </row>
    <row r="430" spans="1:28" s="181" customFormat="1" ht="21">
      <c r="A430" s="229" t="s">
        <v>85</v>
      </c>
      <c r="B430" s="230"/>
      <c r="C430" s="230"/>
      <c r="D430" s="230"/>
      <c r="E430" s="230"/>
      <c r="F430" s="230"/>
      <c r="G430" s="230"/>
      <c r="H430" s="230"/>
      <c r="I430" s="230"/>
      <c r="J430" s="230"/>
      <c r="K430" s="230"/>
      <c r="L430" s="230"/>
      <c r="M430" s="230"/>
      <c r="N430" s="230"/>
      <c r="O430" s="230"/>
      <c r="P430" s="230"/>
      <c r="Q430" s="230"/>
      <c r="R430" s="230"/>
      <c r="S430" s="230"/>
      <c r="T430" s="230"/>
      <c r="U430" s="230"/>
      <c r="V430" s="230"/>
    </row>
    <row r="431" spans="1:28">
      <c r="A431" s="3" t="s">
        <v>75</v>
      </c>
      <c r="N431" s="143">
        <v>0</v>
      </c>
      <c r="O431" s="143">
        <v>0</v>
      </c>
      <c r="P431" s="143">
        <v>0</v>
      </c>
      <c r="Q431" s="152">
        <v>15000</v>
      </c>
      <c r="R431" s="152">
        <v>22500</v>
      </c>
      <c r="S431" s="152">
        <v>35000</v>
      </c>
      <c r="T431" s="152">
        <v>50000</v>
      </c>
      <c r="U431" s="152">
        <v>75000</v>
      </c>
      <c r="V431" s="152">
        <v>90000</v>
      </c>
      <c r="W431" s="152">
        <v>105000</v>
      </c>
      <c r="X431" s="152">
        <v>120000</v>
      </c>
      <c r="Y431" s="152">
        <v>135000</v>
      </c>
      <c r="Z431" s="152">
        <v>142500</v>
      </c>
      <c r="AA431" s="152">
        <v>150000</v>
      </c>
      <c r="AB431" s="152">
        <v>150000</v>
      </c>
    </row>
    <row r="432" spans="1:28">
      <c r="A432" s="3" t="s">
        <v>65</v>
      </c>
      <c r="N432" s="143">
        <v>0</v>
      </c>
      <c r="O432" s="143">
        <v>0</v>
      </c>
      <c r="P432" s="143">
        <v>0</v>
      </c>
      <c r="Q432" s="152">
        <v>2000</v>
      </c>
      <c r="R432" s="152">
        <v>3000</v>
      </c>
      <c r="S432" s="152">
        <v>4200</v>
      </c>
      <c r="T432" s="152">
        <v>5500</v>
      </c>
      <c r="U432" s="152">
        <v>6500</v>
      </c>
      <c r="V432" s="152">
        <v>7400</v>
      </c>
      <c r="W432" s="152">
        <v>8100</v>
      </c>
      <c r="X432" s="152">
        <v>8600</v>
      </c>
      <c r="Y432" s="152">
        <v>9000</v>
      </c>
      <c r="Z432" s="152">
        <v>9200</v>
      </c>
      <c r="AA432" s="152">
        <v>9400</v>
      </c>
      <c r="AB432" s="152">
        <v>9600</v>
      </c>
    </row>
    <row r="433" spans="1:28">
      <c r="A433" s="3" t="s">
        <v>76</v>
      </c>
      <c r="N433" s="143">
        <v>0</v>
      </c>
      <c r="O433" s="143">
        <v>0</v>
      </c>
      <c r="P433" s="143">
        <v>0</v>
      </c>
      <c r="Q433" s="152">
        <v>17000</v>
      </c>
      <c r="R433" s="152">
        <v>25500</v>
      </c>
      <c r="S433" s="152">
        <v>39200</v>
      </c>
      <c r="T433" s="152">
        <v>55500</v>
      </c>
      <c r="U433" s="152">
        <v>81500</v>
      </c>
      <c r="V433" s="152">
        <v>97400</v>
      </c>
      <c r="W433" s="152">
        <v>113100</v>
      </c>
      <c r="X433" s="152">
        <v>128600</v>
      </c>
      <c r="Y433" s="152">
        <v>144000</v>
      </c>
      <c r="Z433" s="152">
        <v>151700</v>
      </c>
      <c r="AA433" s="152">
        <v>159400</v>
      </c>
      <c r="AB433" s="152">
        <v>159600</v>
      </c>
    </row>
    <row r="435" spans="1:28">
      <c r="A435" s="3" t="s">
        <v>86</v>
      </c>
      <c r="N435" s="150">
        <v>0</v>
      </c>
      <c r="O435" s="150">
        <v>0</v>
      </c>
      <c r="P435" s="150">
        <v>0</v>
      </c>
      <c r="Q435" s="145">
        <v>0.3</v>
      </c>
      <c r="R435" s="145">
        <v>0.32</v>
      </c>
      <c r="S435" s="145">
        <v>0.34</v>
      </c>
      <c r="T435" s="145">
        <v>0.36</v>
      </c>
      <c r="U435" s="145">
        <v>0.38</v>
      </c>
      <c r="V435" s="145">
        <v>0.4</v>
      </c>
      <c r="W435" s="145">
        <v>0.42</v>
      </c>
      <c r="X435" s="145">
        <v>0.44</v>
      </c>
      <c r="Y435" s="145">
        <v>0.46</v>
      </c>
      <c r="Z435" s="145">
        <v>0.48</v>
      </c>
      <c r="AA435" s="145">
        <v>0.5</v>
      </c>
      <c r="AB435" s="145">
        <v>0.5</v>
      </c>
    </row>
    <row r="436" spans="1:28">
      <c r="A436" s="3" t="s">
        <v>87</v>
      </c>
      <c r="N436" s="143">
        <v>50</v>
      </c>
      <c r="O436" s="143">
        <v>50</v>
      </c>
      <c r="P436" s="143">
        <v>50</v>
      </c>
      <c r="Q436" s="143">
        <v>50</v>
      </c>
      <c r="R436" s="143">
        <v>53</v>
      </c>
      <c r="S436" s="143">
        <v>56</v>
      </c>
      <c r="T436" s="143">
        <v>59</v>
      </c>
      <c r="U436" s="143">
        <v>62</v>
      </c>
      <c r="V436" s="143">
        <v>65</v>
      </c>
      <c r="W436" s="143">
        <v>68</v>
      </c>
      <c r="X436" s="143">
        <v>71</v>
      </c>
      <c r="Y436" s="143">
        <v>74</v>
      </c>
      <c r="Z436" s="143">
        <v>76</v>
      </c>
      <c r="AA436" s="143">
        <v>78</v>
      </c>
      <c r="AB436" s="143">
        <v>80</v>
      </c>
    </row>
    <row r="438" spans="1:28">
      <c r="A438" s="24" t="s">
        <v>88</v>
      </c>
      <c r="N438" s="59">
        <f>N436*N435*N433/10000000</f>
        <v>0</v>
      </c>
      <c r="O438" s="59">
        <f t="shared" ref="O438:AB438" si="111">O436*O435*O433/10000000</f>
        <v>0</v>
      </c>
      <c r="P438" s="59">
        <f t="shared" si="111"/>
        <v>0</v>
      </c>
      <c r="Q438" s="59">
        <f t="shared" si="111"/>
        <v>2.5499999999999998E-2</v>
      </c>
      <c r="R438" s="59">
        <f t="shared" si="111"/>
        <v>4.3248000000000002E-2</v>
      </c>
      <c r="S438" s="59">
        <f t="shared" si="111"/>
        <v>7.4636800000000017E-2</v>
      </c>
      <c r="T438" s="59">
        <f t="shared" si="111"/>
        <v>0.117882</v>
      </c>
      <c r="U438" s="59">
        <f t="shared" si="111"/>
        <v>0.19201399999999999</v>
      </c>
      <c r="V438" s="59">
        <f t="shared" si="111"/>
        <v>0.25324000000000002</v>
      </c>
      <c r="W438" s="59">
        <f t="shared" si="111"/>
        <v>0.32301360000000001</v>
      </c>
      <c r="X438" s="59">
        <f t="shared" si="111"/>
        <v>0.4017464</v>
      </c>
      <c r="Y438" s="59">
        <f t="shared" si="111"/>
        <v>0.490176</v>
      </c>
      <c r="Z438" s="59">
        <f>Z436*Z435*Z433/10000000</f>
        <v>0.55340159999999994</v>
      </c>
      <c r="AA438" s="59">
        <f t="shared" si="111"/>
        <v>0.62165999999999999</v>
      </c>
      <c r="AB438" s="59">
        <f t="shared" si="111"/>
        <v>0.63839999999999997</v>
      </c>
    </row>
    <row r="440" spans="1:28" s="181" customFormat="1" ht="21">
      <c r="A440" s="229" t="s">
        <v>96</v>
      </c>
      <c r="B440" s="230"/>
      <c r="C440" s="230"/>
      <c r="D440" s="230"/>
      <c r="E440" s="230"/>
      <c r="F440" s="230"/>
      <c r="G440" s="230"/>
      <c r="H440" s="230"/>
      <c r="I440" s="230"/>
      <c r="J440" s="230"/>
      <c r="K440" s="230"/>
      <c r="L440" s="230"/>
      <c r="M440" s="230"/>
      <c r="N440" s="230"/>
      <c r="O440" s="230"/>
      <c r="P440" s="230"/>
      <c r="Q440" s="230"/>
      <c r="R440" s="230"/>
      <c r="S440" s="230"/>
      <c r="T440" s="230"/>
      <c r="U440" s="230"/>
      <c r="V440" s="230"/>
    </row>
    <row r="441" spans="1:28">
      <c r="A441" s="3" t="s">
        <v>89</v>
      </c>
      <c r="N441" s="191">
        <v>0</v>
      </c>
      <c r="O441" s="191">
        <v>0</v>
      </c>
      <c r="P441" s="191">
        <v>0</v>
      </c>
      <c r="Q441" s="152">
        <v>266200</v>
      </c>
      <c r="R441" s="152">
        <v>292820</v>
      </c>
      <c r="S441" s="152">
        <v>322102</v>
      </c>
      <c r="T441" s="152">
        <v>354312</v>
      </c>
      <c r="U441" s="152">
        <v>389743</v>
      </c>
      <c r="V441" s="152">
        <v>428718</v>
      </c>
      <c r="W441" s="152">
        <v>471590</v>
      </c>
      <c r="X441" s="152">
        <v>518748</v>
      </c>
      <c r="Y441" s="152">
        <v>570623</v>
      </c>
      <c r="Z441" s="152">
        <v>627686</v>
      </c>
      <c r="AA441" s="152">
        <v>690454</v>
      </c>
      <c r="AB441" s="152">
        <v>759500</v>
      </c>
    </row>
    <row r="442" spans="1:28">
      <c r="A442" s="3" t="s">
        <v>90</v>
      </c>
      <c r="N442" s="191">
        <v>0</v>
      </c>
      <c r="O442" s="191">
        <v>0</v>
      </c>
      <c r="P442" s="191">
        <v>0</v>
      </c>
      <c r="Q442" s="152">
        <v>266200</v>
      </c>
      <c r="R442" s="152">
        <v>292820</v>
      </c>
      <c r="S442" s="152">
        <v>322102</v>
      </c>
      <c r="T442" s="152">
        <v>354312</v>
      </c>
      <c r="U442" s="152">
        <v>389743</v>
      </c>
      <c r="V442" s="152">
        <v>428718</v>
      </c>
      <c r="W442" s="152">
        <v>471590</v>
      </c>
      <c r="X442" s="152">
        <v>518748</v>
      </c>
      <c r="Y442" s="152">
        <v>570623</v>
      </c>
      <c r="Z442" s="152">
        <v>627686</v>
      </c>
      <c r="AA442" s="152">
        <v>690454</v>
      </c>
      <c r="AB442" s="152">
        <v>759500</v>
      </c>
    </row>
    <row r="443" spans="1:28">
      <c r="A443" s="3" t="s">
        <v>91</v>
      </c>
      <c r="N443" s="191">
        <v>0</v>
      </c>
      <c r="O443" s="191">
        <v>0</v>
      </c>
      <c r="P443" s="191">
        <v>0</v>
      </c>
      <c r="Q443" s="152">
        <v>199650</v>
      </c>
      <c r="R443" s="152">
        <v>219615</v>
      </c>
      <c r="S443" s="152">
        <v>241577</v>
      </c>
      <c r="T443" s="152">
        <v>265734</v>
      </c>
      <c r="U443" s="152">
        <v>292308</v>
      </c>
      <c r="V443" s="152">
        <v>321538</v>
      </c>
      <c r="W443" s="152">
        <v>353692</v>
      </c>
      <c r="X443" s="152">
        <v>389061</v>
      </c>
      <c r="Y443" s="152">
        <v>427968</v>
      </c>
      <c r="Z443" s="152">
        <v>470764</v>
      </c>
      <c r="AA443" s="152">
        <v>517841</v>
      </c>
      <c r="AB443" s="152">
        <v>569625</v>
      </c>
    </row>
    <row r="444" spans="1:28">
      <c r="A444" s="3" t="s">
        <v>92</v>
      </c>
      <c r="N444" s="191">
        <v>0</v>
      </c>
      <c r="O444" s="191">
        <v>0</v>
      </c>
      <c r="P444" s="191">
        <v>0</v>
      </c>
      <c r="Q444" s="152">
        <v>106480</v>
      </c>
      <c r="R444" s="152">
        <v>117128</v>
      </c>
      <c r="S444" s="152">
        <v>128841</v>
      </c>
      <c r="T444" s="152">
        <v>141725</v>
      </c>
      <c r="U444" s="152">
        <v>155897</v>
      </c>
      <c r="V444" s="152">
        <v>171487</v>
      </c>
      <c r="W444" s="152">
        <v>188636</v>
      </c>
      <c r="X444" s="152">
        <v>207499</v>
      </c>
      <c r="Y444" s="152">
        <v>228249</v>
      </c>
      <c r="Z444" s="152">
        <v>251074</v>
      </c>
      <c r="AA444" s="152">
        <v>276182</v>
      </c>
      <c r="AB444" s="152">
        <v>303800</v>
      </c>
    </row>
    <row r="445" spans="1:28">
      <c r="A445" s="3" t="s">
        <v>93</v>
      </c>
      <c r="N445" s="191">
        <v>0</v>
      </c>
      <c r="O445" s="191">
        <v>0</v>
      </c>
      <c r="P445" s="191">
        <v>0</v>
      </c>
      <c r="Q445" s="152">
        <v>66550</v>
      </c>
      <c r="R445" s="152">
        <v>73205</v>
      </c>
      <c r="S445" s="152">
        <v>80526</v>
      </c>
      <c r="T445" s="152">
        <v>88578</v>
      </c>
      <c r="U445" s="152">
        <v>97436</v>
      </c>
      <c r="V445" s="152">
        <v>107179</v>
      </c>
      <c r="W445" s="152">
        <v>117897</v>
      </c>
      <c r="X445" s="152">
        <v>129687</v>
      </c>
      <c r="Y445" s="152">
        <v>142656</v>
      </c>
      <c r="Z445" s="152">
        <v>156921</v>
      </c>
      <c r="AA445" s="152">
        <v>172614</v>
      </c>
      <c r="AB445" s="152">
        <v>189875</v>
      </c>
    </row>
    <row r="446" spans="1:28">
      <c r="A446" s="3" t="s">
        <v>94</v>
      </c>
      <c r="N446" s="191">
        <v>0</v>
      </c>
      <c r="O446" s="191">
        <v>0</v>
      </c>
      <c r="P446" s="191">
        <v>0</v>
      </c>
      <c r="Q446" s="152">
        <v>39930</v>
      </c>
      <c r="R446" s="152">
        <v>43923</v>
      </c>
      <c r="S446" s="152">
        <v>48315</v>
      </c>
      <c r="T446" s="152">
        <v>53147</v>
      </c>
      <c r="U446" s="152">
        <v>58462</v>
      </c>
      <c r="V446" s="152">
        <v>64308</v>
      </c>
      <c r="W446" s="152">
        <v>70738</v>
      </c>
      <c r="X446" s="152">
        <v>77812</v>
      </c>
      <c r="Y446" s="152">
        <v>85594</v>
      </c>
      <c r="Z446" s="152">
        <v>94153</v>
      </c>
      <c r="AA446" s="152">
        <v>103568</v>
      </c>
      <c r="AB446" s="152">
        <v>113925</v>
      </c>
    </row>
    <row r="447" spans="1:28">
      <c r="A447" s="3" t="s">
        <v>95</v>
      </c>
      <c r="N447" s="191">
        <v>0</v>
      </c>
      <c r="O447" s="191">
        <v>0</v>
      </c>
      <c r="P447" s="191">
        <v>0</v>
      </c>
      <c r="Q447" s="152">
        <v>53240</v>
      </c>
      <c r="R447" s="152">
        <v>58564</v>
      </c>
      <c r="S447" s="152">
        <v>64420</v>
      </c>
      <c r="T447" s="152">
        <v>70862</v>
      </c>
      <c r="U447" s="152">
        <v>77949</v>
      </c>
      <c r="V447" s="152">
        <v>85744</v>
      </c>
      <c r="W447" s="152">
        <v>94318</v>
      </c>
      <c r="X447" s="152">
        <v>103750</v>
      </c>
      <c r="Y447" s="152">
        <v>114125</v>
      </c>
      <c r="Z447" s="152">
        <v>125537</v>
      </c>
      <c r="AA447" s="152">
        <v>138091</v>
      </c>
      <c r="AB447" s="152">
        <v>151900</v>
      </c>
    </row>
    <row r="448" spans="1:28"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</row>
    <row r="449" spans="1:28">
      <c r="A449" s="24" t="s">
        <v>532</v>
      </c>
      <c r="N449" s="190">
        <f xml:space="preserve"> SUM(N441:N447)/10000000</f>
        <v>0</v>
      </c>
      <c r="O449" s="190">
        <f t="shared" ref="O449:P449" si="112" xml:space="preserve"> SUM(O441:O447)/10000000</f>
        <v>0</v>
      </c>
      <c r="P449" s="190">
        <f t="shared" si="112"/>
        <v>0</v>
      </c>
      <c r="Q449" s="190">
        <f xml:space="preserve"> SUM(Q441:Q447)/10000000</f>
        <v>9.9824999999999997E-2</v>
      </c>
      <c r="R449" s="190">
        <f t="shared" ref="R449:AB449" si="113" xml:space="preserve"> SUM(R441:R447)/10000000</f>
        <v>0.1098075</v>
      </c>
      <c r="S449" s="190">
        <f t="shared" si="113"/>
        <v>0.1207883</v>
      </c>
      <c r="T449" s="190">
        <f t="shared" si="113"/>
        <v>0.13286700000000001</v>
      </c>
      <c r="U449" s="190">
        <f t="shared" si="113"/>
        <v>0.1461538</v>
      </c>
      <c r="V449" s="190">
        <f t="shared" si="113"/>
        <v>0.1607692</v>
      </c>
      <c r="W449" s="190">
        <f t="shared" si="113"/>
        <v>0.17684610000000001</v>
      </c>
      <c r="X449" s="190">
        <f t="shared" si="113"/>
        <v>0.1945305</v>
      </c>
      <c r="Y449" s="190">
        <f t="shared" si="113"/>
        <v>0.2139838</v>
      </c>
      <c r="Z449" s="190">
        <f t="shared" si="113"/>
        <v>0.23538210000000001</v>
      </c>
      <c r="AA449" s="190">
        <f t="shared" si="113"/>
        <v>0.25892039999999999</v>
      </c>
      <c r="AB449" s="190">
        <f t="shared" si="113"/>
        <v>0.28481250000000002</v>
      </c>
    </row>
  </sheetData>
  <mergeCells count="29">
    <mergeCell ref="A4:V4"/>
    <mergeCell ref="A15:V15"/>
    <mergeCell ref="A16:E16"/>
    <mergeCell ref="A17:B17"/>
    <mergeCell ref="A24:B24"/>
    <mergeCell ref="A440:V440"/>
    <mergeCell ref="A263:A264"/>
    <mergeCell ref="A59:B59"/>
    <mergeCell ref="N84:AB84"/>
    <mergeCell ref="A61:B61"/>
    <mergeCell ref="A386:V386"/>
    <mergeCell ref="A404:V404"/>
    <mergeCell ref="A413:V413"/>
    <mergeCell ref="A430:V430"/>
    <mergeCell ref="N304:AB304"/>
    <mergeCell ref="A67:B67"/>
    <mergeCell ref="A73:B73"/>
    <mergeCell ref="N106:AB106"/>
    <mergeCell ref="N215:AB215"/>
    <mergeCell ref="N235:AB235"/>
    <mergeCell ref="A27:B27"/>
    <mergeCell ref="N264:AB264"/>
    <mergeCell ref="B263:E263"/>
    <mergeCell ref="F263:I263"/>
    <mergeCell ref="A37:B37"/>
    <mergeCell ref="N45:AB45"/>
    <mergeCell ref="A54:E54"/>
    <mergeCell ref="A55:V55"/>
    <mergeCell ref="A125:V125"/>
  </mergeCells>
  <phoneticPr fontId="6" type="noConversion"/>
  <pageMargins left="0.7" right="0.7" top="0.75" bottom="0.75" header="0.3" footer="0.3"/>
  <ignoredErrors>
    <ignoredError sqref="Q297 Q299:Q30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979F-7C51-4501-AAA7-7A6EFFADA1AB}">
  <dimension ref="A1:V442"/>
  <sheetViews>
    <sheetView zoomScale="57" zoomScaleNormal="70" workbookViewId="0">
      <selection activeCell="E23" sqref="E23"/>
    </sheetView>
  </sheetViews>
  <sheetFormatPr defaultRowHeight="14.4"/>
  <cols>
    <col min="1" max="1" width="50.33203125" bestFit="1" customWidth="1"/>
    <col min="2" max="2" width="15.21875" customWidth="1"/>
    <col min="3" max="3" width="20.33203125" customWidth="1"/>
    <col min="4" max="4" width="10.21875" bestFit="1" customWidth="1"/>
    <col min="5" max="5" width="17.6640625" customWidth="1"/>
    <col min="6" max="7" width="16.88671875" customWidth="1"/>
    <col min="8" max="10" width="15.21875" bestFit="1" customWidth="1"/>
    <col min="11" max="12" width="16.21875" bestFit="1" customWidth="1"/>
    <col min="13" max="14" width="15.77734375" bestFit="1" customWidth="1"/>
    <col min="15" max="22" width="18" bestFit="1" customWidth="1"/>
  </cols>
  <sheetData>
    <row r="1" spans="1:22">
      <c r="A1" s="140" t="s">
        <v>18</v>
      </c>
      <c r="H1" s="10" t="s">
        <v>19</v>
      </c>
      <c r="I1" s="10" t="s">
        <v>19</v>
      </c>
      <c r="J1" s="10" t="s">
        <v>19</v>
      </c>
      <c r="K1" s="10" t="s">
        <v>19</v>
      </c>
      <c r="L1" s="10" t="s">
        <v>19</v>
      </c>
      <c r="M1" s="10" t="s">
        <v>19</v>
      </c>
      <c r="N1" s="10" t="s">
        <v>19</v>
      </c>
      <c r="O1" s="10" t="s">
        <v>19</v>
      </c>
      <c r="P1" s="10" t="s">
        <v>19</v>
      </c>
      <c r="Q1" s="10" t="s">
        <v>19</v>
      </c>
      <c r="R1" s="10" t="s">
        <v>19</v>
      </c>
      <c r="S1" s="10" t="s">
        <v>19</v>
      </c>
      <c r="T1" s="10" t="s">
        <v>19</v>
      </c>
      <c r="U1" s="10" t="s">
        <v>19</v>
      </c>
      <c r="V1" s="10" t="s">
        <v>19</v>
      </c>
    </row>
    <row r="2" spans="1:22">
      <c r="A2" s="140" t="s">
        <v>23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0" t="s">
        <v>20</v>
      </c>
      <c r="P2" s="10" t="s">
        <v>21</v>
      </c>
      <c r="Q2" s="10" t="s">
        <v>22</v>
      </c>
      <c r="R2" s="10" t="s">
        <v>417</v>
      </c>
      <c r="S2" s="10" t="s">
        <v>418</v>
      </c>
      <c r="T2" s="10" t="s">
        <v>419</v>
      </c>
      <c r="U2" s="10" t="s">
        <v>420</v>
      </c>
      <c r="V2" s="10" t="s">
        <v>421</v>
      </c>
    </row>
    <row r="3" spans="1:22">
      <c r="A3" s="140" t="s">
        <v>24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">
        <v>7</v>
      </c>
      <c r="O3" s="10">
        <v>8</v>
      </c>
      <c r="P3" s="10">
        <v>9</v>
      </c>
      <c r="Q3" s="10">
        <v>10</v>
      </c>
      <c r="R3" s="10">
        <v>11</v>
      </c>
      <c r="S3" s="10">
        <v>12</v>
      </c>
      <c r="T3" s="10">
        <v>13</v>
      </c>
      <c r="U3" s="10">
        <v>14</v>
      </c>
      <c r="V3" s="10">
        <v>15</v>
      </c>
    </row>
    <row r="5" spans="1:22" s="101" customFormat="1">
      <c r="A5" s="138" t="s">
        <v>876</v>
      </c>
      <c r="H5" s="244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6"/>
    </row>
    <row r="6" spans="1:22">
      <c r="A6" s="3" t="s">
        <v>169</v>
      </c>
      <c r="H6" s="141" t="e">
        <f t="shared" ref="H6:V6" si="0">SUM(H191,H187)</f>
        <v>#REF!</v>
      </c>
      <c r="I6" s="141" t="e">
        <f t="shared" si="0"/>
        <v>#REF!</v>
      </c>
      <c r="J6" s="141" t="e">
        <f t="shared" si="0"/>
        <v>#REF!</v>
      </c>
      <c r="K6" s="141" t="e">
        <f t="shared" si="0"/>
        <v>#REF!</v>
      </c>
      <c r="L6" s="141" t="e">
        <f t="shared" si="0"/>
        <v>#REF!</v>
      </c>
      <c r="M6" s="141" t="e">
        <f t="shared" si="0"/>
        <v>#REF!</v>
      </c>
      <c r="N6" s="141" t="e">
        <f t="shared" si="0"/>
        <v>#REF!</v>
      </c>
      <c r="O6" s="141" t="e">
        <f t="shared" si="0"/>
        <v>#REF!</v>
      </c>
      <c r="P6" s="141" t="e">
        <f t="shared" si="0"/>
        <v>#REF!</v>
      </c>
      <c r="Q6" s="141" t="e">
        <f t="shared" si="0"/>
        <v>#REF!</v>
      </c>
      <c r="R6" s="141" t="e">
        <f t="shared" si="0"/>
        <v>#REF!</v>
      </c>
      <c r="S6" s="141" t="e">
        <f t="shared" si="0"/>
        <v>#REF!</v>
      </c>
      <c r="T6" s="141" t="e">
        <f t="shared" si="0"/>
        <v>#REF!</v>
      </c>
      <c r="U6" s="141" t="e">
        <f t="shared" si="0"/>
        <v>#REF!</v>
      </c>
      <c r="V6" s="141" t="e">
        <f t="shared" si="0"/>
        <v>#REF!</v>
      </c>
    </row>
    <row r="7" spans="1:22">
      <c r="A7" s="3" t="s">
        <v>171</v>
      </c>
      <c r="H7" s="141">
        <f t="shared" ref="H7:V7" si="1">SUM(H402:H405)</f>
        <v>0</v>
      </c>
      <c r="I7" s="141">
        <f t="shared" si="1"/>
        <v>0</v>
      </c>
      <c r="J7" s="141">
        <f t="shared" si="1"/>
        <v>0</v>
      </c>
      <c r="K7" s="141">
        <f t="shared" si="1"/>
        <v>20.982909548021077</v>
      </c>
      <c r="L7" s="141">
        <f t="shared" si="1"/>
        <v>26.85348009869255</v>
      </c>
      <c r="M7" s="141">
        <f t="shared" si="1"/>
        <v>51.056302779368885</v>
      </c>
      <c r="N7" s="141">
        <f t="shared" si="1"/>
        <v>73.53760876197255</v>
      </c>
      <c r="O7" s="141">
        <f t="shared" si="1"/>
        <v>97.571230074957043</v>
      </c>
      <c r="P7" s="141">
        <f t="shared" si="1"/>
        <v>119.10003153273735</v>
      </c>
      <c r="Q7" s="141">
        <f t="shared" si="1"/>
        <v>150.41466017302085</v>
      </c>
      <c r="R7" s="141">
        <f t="shared" si="1"/>
        <v>179.96437523068701</v>
      </c>
      <c r="S7" s="141">
        <f t="shared" si="1"/>
        <v>213.86922145725998</v>
      </c>
      <c r="T7" s="141">
        <f t="shared" si="1"/>
        <v>244.20009403458221</v>
      </c>
      <c r="U7" s="141">
        <f t="shared" si="1"/>
        <v>278.31127595884044</v>
      </c>
      <c r="V7" s="141">
        <f t="shared" si="1"/>
        <v>316.79145745942816</v>
      </c>
    </row>
    <row r="8" spans="1:22">
      <c r="A8" s="3" t="s">
        <v>177</v>
      </c>
      <c r="H8" s="141">
        <f t="shared" ref="H8:V8" si="2" xml:space="preserve"> H410*H411/100</f>
        <v>0</v>
      </c>
      <c r="I8" s="141">
        <f t="shared" si="2"/>
        <v>0</v>
      </c>
      <c r="J8" s="141">
        <f t="shared" si="2"/>
        <v>0</v>
      </c>
      <c r="K8" s="141">
        <f t="shared" si="2"/>
        <v>3.1760999999999998E-2</v>
      </c>
      <c r="L8" s="141">
        <f t="shared" si="2"/>
        <v>6.2890274999999982E-2</v>
      </c>
      <c r="M8" s="141">
        <f t="shared" si="2"/>
        <v>0.11506079970000002</v>
      </c>
      <c r="N8" s="141">
        <f t="shared" si="2"/>
        <v>0.195329112</v>
      </c>
      <c r="O8" s="141">
        <f t="shared" si="2"/>
        <v>0.285670344375</v>
      </c>
      <c r="P8" s="141">
        <f t="shared" si="2"/>
        <v>0.40188989633000011</v>
      </c>
      <c r="Q8" s="141">
        <f t="shared" si="2"/>
        <v>0.54273183583500006</v>
      </c>
      <c r="R8" s="141">
        <f t="shared" si="2"/>
        <v>0.70990416560000003</v>
      </c>
      <c r="S8" s="141">
        <f t="shared" si="2"/>
        <v>0.91415633017499986</v>
      </c>
      <c r="T8" s="141">
        <f t="shared" si="2"/>
        <v>1.1486632859999999</v>
      </c>
      <c r="U8" s="141">
        <f t="shared" si="2"/>
        <v>1.3944563221499999</v>
      </c>
      <c r="V8" s="141">
        <f t="shared" si="2"/>
        <v>1.69210152</v>
      </c>
    </row>
    <row r="9" spans="1:22">
      <c r="A9" s="3" t="s">
        <v>178</v>
      </c>
      <c r="H9" s="141">
        <f t="shared" ref="H9:V9" si="3" xml:space="preserve"> H417*H416</f>
        <v>0</v>
      </c>
      <c r="I9" s="141">
        <f t="shared" si="3"/>
        <v>0</v>
      </c>
      <c r="J9" s="141">
        <f t="shared" si="3"/>
        <v>0</v>
      </c>
      <c r="K9" s="141">
        <f t="shared" si="3"/>
        <v>0.10146212999999998</v>
      </c>
      <c r="L9" s="141">
        <f t="shared" si="3"/>
        <v>0.24006805514999999</v>
      </c>
      <c r="M9" s="141">
        <f t="shared" si="3"/>
        <v>0.55504770109599999</v>
      </c>
      <c r="N9" s="141">
        <f t="shared" si="3"/>
        <v>1.1550022847999999</v>
      </c>
      <c r="O9" s="141">
        <f t="shared" si="3"/>
        <v>2.4288166980000003</v>
      </c>
      <c r="P9" s="141">
        <f t="shared" si="3"/>
        <v>4.1221656643999998</v>
      </c>
      <c r="Q9" s="141">
        <f t="shared" si="3"/>
        <v>6.7171640135985013</v>
      </c>
      <c r="R9" s="141">
        <f t="shared" si="3"/>
        <v>10.602585682415999</v>
      </c>
      <c r="S9" s="141">
        <f t="shared" si="3"/>
        <v>16.320948855119997</v>
      </c>
      <c r="T9" s="141">
        <f t="shared" si="3"/>
        <v>21.831993065400003</v>
      </c>
      <c r="U9" s="141">
        <f t="shared" si="3"/>
        <v>29.823459665999994</v>
      </c>
      <c r="V9" s="141">
        <f t="shared" si="3"/>
        <v>36.170152572959999</v>
      </c>
    </row>
    <row r="10" spans="1:22">
      <c r="A10" s="3" t="s">
        <v>179</v>
      </c>
      <c r="H10" s="141">
        <f t="shared" ref="H10:V10" si="4">H428*H429</f>
        <v>0</v>
      </c>
      <c r="I10" s="141">
        <f t="shared" si="4"/>
        <v>0</v>
      </c>
      <c r="J10" s="141">
        <f t="shared" si="4"/>
        <v>0</v>
      </c>
      <c r="K10" s="141">
        <f t="shared" si="4"/>
        <v>2.9947499999999998E-2</v>
      </c>
      <c r="L10" s="141">
        <f t="shared" si="4"/>
        <v>3.2942249999999999E-2</v>
      </c>
      <c r="M10" s="141">
        <f t="shared" si="4"/>
        <v>3.6236489999999996E-2</v>
      </c>
      <c r="N10" s="141">
        <f t="shared" si="4"/>
        <v>3.9860100000000002E-2</v>
      </c>
      <c r="O10" s="141">
        <f t="shared" si="4"/>
        <v>4.3846139999999999E-2</v>
      </c>
      <c r="P10" s="141">
        <f t="shared" si="4"/>
        <v>4.8230759999999998E-2</v>
      </c>
      <c r="Q10" s="141">
        <f t="shared" si="4"/>
        <v>5.3053830000000003E-2</v>
      </c>
      <c r="R10" s="141">
        <f t="shared" si="4"/>
        <v>5.8359149999999999E-2</v>
      </c>
      <c r="S10" s="141">
        <f t="shared" si="4"/>
        <v>6.4195139999999998E-2</v>
      </c>
      <c r="T10" s="141">
        <f t="shared" si="4"/>
        <v>7.0614629999999998E-2</v>
      </c>
      <c r="U10" s="141">
        <f t="shared" si="4"/>
        <v>7.7676120000000001E-2</v>
      </c>
      <c r="V10" s="141">
        <f t="shared" si="4"/>
        <v>8.5443749999999999E-2</v>
      </c>
    </row>
    <row r="11" spans="1:22">
      <c r="A11" s="3" t="s">
        <v>180</v>
      </c>
      <c r="C11" s="139"/>
      <c r="H11" s="141">
        <f t="shared" ref="H11:V11" si="5">H428*H429</f>
        <v>0</v>
      </c>
      <c r="I11" s="141">
        <f t="shared" si="5"/>
        <v>0</v>
      </c>
      <c r="J11" s="141">
        <f t="shared" si="5"/>
        <v>0</v>
      </c>
      <c r="K11" s="141">
        <f t="shared" si="5"/>
        <v>2.9947499999999998E-2</v>
      </c>
      <c r="L11" s="141">
        <f t="shared" si="5"/>
        <v>3.2942249999999999E-2</v>
      </c>
      <c r="M11" s="141">
        <f t="shared" si="5"/>
        <v>3.6236489999999996E-2</v>
      </c>
      <c r="N11" s="141">
        <f t="shared" si="5"/>
        <v>3.9860100000000002E-2</v>
      </c>
      <c r="O11" s="141">
        <f t="shared" si="5"/>
        <v>4.3846139999999999E-2</v>
      </c>
      <c r="P11" s="141">
        <f t="shared" si="5"/>
        <v>4.8230759999999998E-2</v>
      </c>
      <c r="Q11" s="141">
        <f t="shared" si="5"/>
        <v>5.3053830000000003E-2</v>
      </c>
      <c r="R11" s="141">
        <f t="shared" si="5"/>
        <v>5.8359149999999999E-2</v>
      </c>
      <c r="S11" s="141">
        <f t="shared" si="5"/>
        <v>6.4195139999999998E-2</v>
      </c>
      <c r="T11" s="141">
        <f t="shared" si="5"/>
        <v>7.0614629999999998E-2</v>
      </c>
      <c r="U11" s="141">
        <f t="shared" si="5"/>
        <v>7.7676120000000001E-2</v>
      </c>
      <c r="V11" s="141">
        <f t="shared" si="5"/>
        <v>8.5443749999999999E-2</v>
      </c>
    </row>
    <row r="12" spans="1:22">
      <c r="A12" s="3" t="s">
        <v>181</v>
      </c>
      <c r="H12" s="141" t="e">
        <f t="shared" ref="H12:V12" si="6" xml:space="preserve"> H434*H433</f>
        <v>#REF!</v>
      </c>
      <c r="I12" s="141" t="e">
        <f t="shared" si="6"/>
        <v>#REF!</v>
      </c>
      <c r="J12" s="141" t="e">
        <f t="shared" si="6"/>
        <v>#REF!</v>
      </c>
      <c r="K12" s="141" t="e">
        <f t="shared" si="6"/>
        <v>#REF!</v>
      </c>
      <c r="L12" s="141" t="e">
        <f t="shared" si="6"/>
        <v>#REF!</v>
      </c>
      <c r="M12" s="141" t="e">
        <f t="shared" si="6"/>
        <v>#REF!</v>
      </c>
      <c r="N12" s="141" t="e">
        <f t="shared" si="6"/>
        <v>#REF!</v>
      </c>
      <c r="O12" s="141" t="e">
        <f t="shared" si="6"/>
        <v>#REF!</v>
      </c>
      <c r="P12" s="141" t="e">
        <f t="shared" si="6"/>
        <v>#REF!</v>
      </c>
      <c r="Q12" s="141" t="e">
        <f t="shared" si="6"/>
        <v>#REF!</v>
      </c>
      <c r="R12" s="141" t="e">
        <f t="shared" si="6"/>
        <v>#REF!</v>
      </c>
      <c r="S12" s="141" t="e">
        <f t="shared" si="6"/>
        <v>#REF!</v>
      </c>
      <c r="T12" s="141" t="e">
        <f t="shared" si="6"/>
        <v>#REF!</v>
      </c>
      <c r="U12" s="141" t="e">
        <f t="shared" si="6"/>
        <v>#REF!</v>
      </c>
      <c r="V12" s="141" t="e">
        <f t="shared" si="6"/>
        <v>#REF!</v>
      </c>
    </row>
    <row r="13" spans="1:22">
      <c r="A13" s="3" t="s">
        <v>182</v>
      </c>
      <c r="H13" s="142">
        <f t="shared" ref="H13:V13" si="7" xml:space="preserve"> H439*H441/1000000000</f>
        <v>0</v>
      </c>
      <c r="I13" s="142">
        <f t="shared" si="7"/>
        <v>0</v>
      </c>
      <c r="J13" s="142">
        <f t="shared" si="7"/>
        <v>0</v>
      </c>
      <c r="K13" s="142">
        <f t="shared" si="7"/>
        <v>8.0520493624999991E-3</v>
      </c>
      <c r="L13" s="142">
        <f t="shared" si="7"/>
        <v>8.8777322105000004E-3</v>
      </c>
      <c r="M13" s="142">
        <f t="shared" si="7"/>
        <v>9.7874806545000005E-3</v>
      </c>
      <c r="N13" s="142">
        <f t="shared" si="7"/>
        <v>1.07906207345E-2</v>
      </c>
      <c r="O13" s="142">
        <f t="shared" si="7"/>
        <v>1.18973840625E-2</v>
      </c>
      <c r="P13" s="142">
        <f t="shared" si="7"/>
        <v>1.3115597710500001E-2</v>
      </c>
      <c r="Q13" s="142">
        <f t="shared" si="7"/>
        <v>1.4460567894500001E-2</v>
      </c>
      <c r="R13" s="142">
        <f t="shared" si="7"/>
        <v>1.5941937190499997E-2</v>
      </c>
      <c r="S13" s="142">
        <f t="shared" si="7"/>
        <v>1.7575692138000001E-2</v>
      </c>
      <c r="T13" s="142">
        <f t="shared" si="7"/>
        <v>1.9377406111999999E-2</v>
      </c>
      <c r="U13" s="142">
        <f t="shared" si="7"/>
        <v>2.1364021854499999E-2</v>
      </c>
      <c r="V13" s="142">
        <f t="shared" si="7"/>
        <v>2.3553947394499997E-2</v>
      </c>
    </row>
    <row r="14" spans="1:22">
      <c r="A14" s="201" t="s">
        <v>183</v>
      </c>
      <c r="H14" s="193" t="e">
        <f t="shared" ref="H14:V14" si="8">SUM(H6:H13)</f>
        <v>#REF!</v>
      </c>
      <c r="I14" s="193" t="e">
        <f t="shared" si="8"/>
        <v>#REF!</v>
      </c>
      <c r="J14" s="193" t="e">
        <f t="shared" si="8"/>
        <v>#REF!</v>
      </c>
      <c r="K14" s="193" t="e">
        <f t="shared" si="8"/>
        <v>#REF!</v>
      </c>
      <c r="L14" s="193" t="e">
        <f t="shared" si="8"/>
        <v>#REF!</v>
      </c>
      <c r="M14" s="193" t="e">
        <f t="shared" si="8"/>
        <v>#REF!</v>
      </c>
      <c r="N14" s="193" t="e">
        <f t="shared" si="8"/>
        <v>#REF!</v>
      </c>
      <c r="O14" s="193" t="e">
        <f t="shared" si="8"/>
        <v>#REF!</v>
      </c>
      <c r="P14" s="193" t="e">
        <f t="shared" si="8"/>
        <v>#REF!</v>
      </c>
      <c r="Q14" s="193" t="e">
        <f t="shared" si="8"/>
        <v>#REF!</v>
      </c>
      <c r="R14" s="193" t="e">
        <f t="shared" si="8"/>
        <v>#REF!</v>
      </c>
      <c r="S14" s="193" t="e">
        <f t="shared" si="8"/>
        <v>#REF!</v>
      </c>
      <c r="T14" s="193" t="e">
        <f t="shared" si="8"/>
        <v>#REF!</v>
      </c>
      <c r="U14" s="193" t="e">
        <f t="shared" si="8"/>
        <v>#REF!</v>
      </c>
      <c r="V14" s="193" t="e">
        <f t="shared" si="8"/>
        <v>#REF!</v>
      </c>
    </row>
    <row r="15" spans="1:22">
      <c r="A15" s="201" t="s">
        <v>176</v>
      </c>
      <c r="H15" s="193" t="str">
        <f xml:space="preserve"> IFERROR(H14/REVENUE!N14*100, "N/A")</f>
        <v>N/A</v>
      </c>
      <c r="I15" s="193" t="str">
        <f xml:space="preserve"> IFERROR(I14/REVENUE!O14*100, "N/A")</f>
        <v>N/A</v>
      </c>
      <c r="J15" s="193" t="str">
        <f xml:space="preserve"> IFERROR(J14/REVENUE!P14*100, "N/A")</f>
        <v>N/A</v>
      </c>
      <c r="K15" s="193" t="str">
        <f xml:space="preserve"> IFERROR(K14/REVENUE!Q14*100, "N/A")</f>
        <v>N/A</v>
      </c>
      <c r="L15" s="193" t="str">
        <f xml:space="preserve"> IFERROR(L14/REVENUE!R14*100, "N/A")</f>
        <v>N/A</v>
      </c>
      <c r="M15" s="193" t="str">
        <f xml:space="preserve"> IFERROR(M14/REVENUE!S14*100, "N/A")</f>
        <v>N/A</v>
      </c>
      <c r="N15" s="193" t="str">
        <f xml:space="preserve"> IFERROR(N14/REVENUE!T14*100, "N/A")</f>
        <v>N/A</v>
      </c>
      <c r="O15" s="193" t="str">
        <f xml:space="preserve"> IFERROR(O14/REVENUE!U14*100, "N/A")</f>
        <v>N/A</v>
      </c>
      <c r="P15" s="193" t="str">
        <f xml:space="preserve"> IFERROR(P14/REVENUE!V14*100, "N/A")</f>
        <v>N/A</v>
      </c>
      <c r="Q15" s="193" t="str">
        <f xml:space="preserve"> IFERROR(Q14/REVENUE!W14*100, "N/A")</f>
        <v>N/A</v>
      </c>
      <c r="R15" s="193" t="str">
        <f xml:space="preserve"> IFERROR(R14/REVENUE!X14*100, "N/A")</f>
        <v>N/A</v>
      </c>
      <c r="S15" s="193" t="str">
        <f xml:space="preserve"> IFERROR(S14/REVENUE!Y14*100, "N/A")</f>
        <v>N/A</v>
      </c>
      <c r="T15" s="193" t="str">
        <f xml:space="preserve"> IFERROR(T14/REVENUE!Z14*100, "N/A")</f>
        <v>N/A</v>
      </c>
      <c r="U15" s="193" t="str">
        <f xml:space="preserve"> IFERROR(U14/REVENUE!AA14*100, "N/A")</f>
        <v>N/A</v>
      </c>
      <c r="V15" s="193" t="str">
        <f xml:space="preserve"> IFERROR(V14/REVENUE!AB14*100, "N/A")</f>
        <v>N/A</v>
      </c>
    </row>
    <row r="17" spans="1:22" s="101" customFormat="1">
      <c r="A17" s="138" t="s">
        <v>877</v>
      </c>
    </row>
    <row r="18" spans="1:22" s="181" customFormat="1" ht="21">
      <c r="A18" s="229" t="s">
        <v>184</v>
      </c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</row>
    <row r="19" spans="1:22">
      <c r="A19" s="3" t="s">
        <v>103</v>
      </c>
      <c r="H19" s="59">
        <v>0</v>
      </c>
      <c r="I19" s="59">
        <v>0</v>
      </c>
      <c r="J19" s="59">
        <v>0</v>
      </c>
      <c r="K19" s="59">
        <v>65</v>
      </c>
      <c r="L19" s="59">
        <v>68</v>
      </c>
      <c r="M19" s="59">
        <v>81</v>
      </c>
      <c r="N19" s="59">
        <v>91</v>
      </c>
      <c r="O19" s="59">
        <v>97</v>
      </c>
      <c r="P19" s="59">
        <v>100</v>
      </c>
      <c r="Q19" s="59">
        <v>102</v>
      </c>
      <c r="R19" s="59">
        <v>104</v>
      </c>
      <c r="S19" s="59">
        <v>106</v>
      </c>
      <c r="T19" s="59">
        <v>109</v>
      </c>
      <c r="U19" s="59">
        <v>111</v>
      </c>
      <c r="V19" s="59">
        <v>113</v>
      </c>
    </row>
    <row r="20" spans="1:22">
      <c r="A20" s="3" t="s">
        <v>104</v>
      </c>
      <c r="H20" s="143">
        <v>0</v>
      </c>
      <c r="I20" s="143">
        <v>0</v>
      </c>
      <c r="J20" s="143">
        <v>0</v>
      </c>
      <c r="K20" s="143">
        <v>25</v>
      </c>
      <c r="L20" s="143">
        <v>26</v>
      </c>
      <c r="M20" s="143">
        <v>31</v>
      </c>
      <c r="N20" s="143">
        <v>35</v>
      </c>
      <c r="O20" s="143">
        <v>37</v>
      </c>
      <c r="P20" s="143">
        <v>38</v>
      </c>
      <c r="Q20" s="143">
        <v>39</v>
      </c>
      <c r="R20" s="143">
        <v>40</v>
      </c>
      <c r="S20" s="143">
        <v>41</v>
      </c>
      <c r="T20" s="143">
        <v>41</v>
      </c>
      <c r="U20" s="143">
        <v>42</v>
      </c>
      <c r="V20" s="143">
        <v>43</v>
      </c>
    </row>
    <row r="21" spans="1:22">
      <c r="A21" s="3" t="s">
        <v>105</v>
      </c>
      <c r="H21" s="143">
        <v>0</v>
      </c>
      <c r="I21" s="143">
        <v>0</v>
      </c>
      <c r="J21" s="143">
        <v>0</v>
      </c>
      <c r="K21" s="143">
        <v>196</v>
      </c>
      <c r="L21" s="143">
        <v>231</v>
      </c>
      <c r="M21" s="143">
        <v>291</v>
      </c>
      <c r="N21" s="143">
        <v>348</v>
      </c>
      <c r="O21" s="143">
        <v>401</v>
      </c>
      <c r="P21" s="143">
        <v>425</v>
      </c>
      <c r="Q21" s="143">
        <v>447</v>
      </c>
      <c r="R21" s="143">
        <v>467</v>
      </c>
      <c r="S21" s="143">
        <v>464</v>
      </c>
      <c r="T21" s="143">
        <v>460</v>
      </c>
      <c r="U21" s="143">
        <v>455</v>
      </c>
      <c r="V21" s="143">
        <v>439</v>
      </c>
    </row>
    <row r="22" spans="1:22">
      <c r="A22" s="3" t="s">
        <v>106</v>
      </c>
      <c r="H22" s="143">
        <v>0</v>
      </c>
      <c r="I22" s="143">
        <v>0</v>
      </c>
      <c r="J22" s="143">
        <v>0</v>
      </c>
      <c r="K22" s="143">
        <v>70</v>
      </c>
      <c r="L22" s="143">
        <v>73</v>
      </c>
      <c r="M22" s="143">
        <v>87</v>
      </c>
      <c r="N22" s="143">
        <v>98</v>
      </c>
      <c r="O22" s="143">
        <v>105</v>
      </c>
      <c r="P22" s="143">
        <v>108</v>
      </c>
      <c r="Q22" s="143">
        <v>110</v>
      </c>
      <c r="R22" s="143">
        <v>112</v>
      </c>
      <c r="S22" s="143">
        <v>115</v>
      </c>
      <c r="T22" s="143">
        <v>117</v>
      </c>
      <c r="U22" s="143">
        <v>119</v>
      </c>
      <c r="V22" s="143">
        <v>122</v>
      </c>
    </row>
    <row r="23" spans="1:22">
      <c r="A23" s="3" t="s">
        <v>107</v>
      </c>
      <c r="H23" s="59">
        <f t="shared" ref="H23:V23" si="9">H25-H20</f>
        <v>0</v>
      </c>
      <c r="I23" s="59">
        <f t="shared" si="9"/>
        <v>0</v>
      </c>
      <c r="J23" s="59">
        <f t="shared" si="9"/>
        <v>0</v>
      </c>
      <c r="K23" s="59">
        <f t="shared" si="9"/>
        <v>331</v>
      </c>
      <c r="L23" s="59">
        <f t="shared" si="9"/>
        <v>372</v>
      </c>
      <c r="M23" s="59">
        <f t="shared" si="9"/>
        <v>459</v>
      </c>
      <c r="N23" s="59">
        <f t="shared" si="9"/>
        <v>537</v>
      </c>
      <c r="O23" s="59">
        <f t="shared" si="9"/>
        <v>603</v>
      </c>
      <c r="P23" s="59">
        <f t="shared" si="9"/>
        <v>633</v>
      </c>
      <c r="Q23" s="59">
        <f t="shared" si="9"/>
        <v>659</v>
      </c>
      <c r="R23" s="59">
        <f t="shared" si="9"/>
        <v>683</v>
      </c>
      <c r="S23" s="59">
        <f t="shared" si="9"/>
        <v>685</v>
      </c>
      <c r="T23" s="59">
        <f t="shared" si="9"/>
        <v>686</v>
      </c>
      <c r="U23" s="59">
        <f t="shared" si="9"/>
        <v>685</v>
      </c>
      <c r="V23" s="59">
        <f t="shared" si="9"/>
        <v>674</v>
      </c>
    </row>
    <row r="24" spans="1:22">
      <c r="A24" s="3" t="s">
        <v>166</v>
      </c>
      <c r="H24" s="59">
        <f t="shared" ref="H24:V24" si="10" xml:space="preserve"> H19+H20</f>
        <v>0</v>
      </c>
      <c r="I24" s="59">
        <f t="shared" si="10"/>
        <v>0</v>
      </c>
      <c r="J24" s="59">
        <f t="shared" si="10"/>
        <v>0</v>
      </c>
      <c r="K24" s="59">
        <f t="shared" si="10"/>
        <v>90</v>
      </c>
      <c r="L24" s="59">
        <f t="shared" si="10"/>
        <v>94</v>
      </c>
      <c r="M24" s="59">
        <f t="shared" si="10"/>
        <v>112</v>
      </c>
      <c r="N24" s="59">
        <f t="shared" si="10"/>
        <v>126</v>
      </c>
      <c r="O24" s="59">
        <f t="shared" si="10"/>
        <v>134</v>
      </c>
      <c r="P24" s="59">
        <f t="shared" si="10"/>
        <v>138</v>
      </c>
      <c r="Q24" s="59">
        <f t="shared" si="10"/>
        <v>141</v>
      </c>
      <c r="R24" s="59">
        <f t="shared" si="10"/>
        <v>144</v>
      </c>
      <c r="S24" s="59">
        <f t="shared" si="10"/>
        <v>147</v>
      </c>
      <c r="T24" s="59">
        <f t="shared" si="10"/>
        <v>150</v>
      </c>
      <c r="U24" s="59">
        <f t="shared" si="10"/>
        <v>153</v>
      </c>
      <c r="V24" s="59">
        <f t="shared" si="10"/>
        <v>156</v>
      </c>
    </row>
    <row r="25" spans="1:22">
      <c r="A25" s="4" t="s">
        <v>637</v>
      </c>
      <c r="H25" s="143">
        <f t="shared" ref="H25:V25" si="11" xml:space="preserve"> SUM(H19:H22)</f>
        <v>0</v>
      </c>
      <c r="I25" s="143">
        <f t="shared" si="11"/>
        <v>0</v>
      </c>
      <c r="J25" s="143">
        <f t="shared" si="11"/>
        <v>0</v>
      </c>
      <c r="K25" s="143">
        <f t="shared" si="11"/>
        <v>356</v>
      </c>
      <c r="L25" s="143">
        <f t="shared" si="11"/>
        <v>398</v>
      </c>
      <c r="M25" s="143">
        <f t="shared" si="11"/>
        <v>490</v>
      </c>
      <c r="N25" s="143">
        <f t="shared" si="11"/>
        <v>572</v>
      </c>
      <c r="O25" s="143">
        <f t="shared" si="11"/>
        <v>640</v>
      </c>
      <c r="P25" s="143">
        <f t="shared" si="11"/>
        <v>671</v>
      </c>
      <c r="Q25" s="143">
        <f t="shared" si="11"/>
        <v>698</v>
      </c>
      <c r="R25" s="143">
        <f t="shared" si="11"/>
        <v>723</v>
      </c>
      <c r="S25" s="143">
        <f t="shared" si="11"/>
        <v>726</v>
      </c>
      <c r="T25" s="143">
        <f t="shared" si="11"/>
        <v>727</v>
      </c>
      <c r="U25" s="143">
        <f t="shared" si="11"/>
        <v>727</v>
      </c>
      <c r="V25" s="143">
        <f t="shared" si="11"/>
        <v>717</v>
      </c>
    </row>
    <row r="27" spans="1:22" s="181" customFormat="1" ht="21">
      <c r="A27" s="229" t="s">
        <v>873</v>
      </c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</row>
    <row r="28" spans="1:22" s="112" customFormat="1">
      <c r="A28" s="249" t="s">
        <v>638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</row>
    <row r="29" spans="1:22">
      <c r="A29" s="8" t="s">
        <v>875</v>
      </c>
    </row>
    <row r="30" spans="1:22">
      <c r="A30" s="7" t="s">
        <v>59</v>
      </c>
      <c r="H30" s="143">
        <v>0</v>
      </c>
      <c r="I30" s="143">
        <v>0</v>
      </c>
      <c r="J30" s="143">
        <v>0</v>
      </c>
      <c r="K30" s="143">
        <v>180</v>
      </c>
      <c r="L30" s="143">
        <v>245</v>
      </c>
      <c r="M30" s="143">
        <v>385</v>
      </c>
      <c r="N30" s="143">
        <v>520</v>
      </c>
      <c r="O30" s="143">
        <v>640</v>
      </c>
      <c r="P30" s="143">
        <v>760</v>
      </c>
      <c r="Q30" s="143">
        <v>880</v>
      </c>
      <c r="R30" s="143">
        <v>980</v>
      </c>
      <c r="S30" s="143">
        <v>1080</v>
      </c>
      <c r="T30" s="143">
        <v>1160</v>
      </c>
      <c r="U30" s="143">
        <v>1240</v>
      </c>
      <c r="V30" s="143">
        <v>1320</v>
      </c>
    </row>
    <row r="31" spans="1:22">
      <c r="A31" s="7" t="s">
        <v>614</v>
      </c>
      <c r="H31" s="143">
        <v>0</v>
      </c>
      <c r="I31" s="143">
        <v>0</v>
      </c>
      <c r="J31" s="143">
        <v>0</v>
      </c>
      <c r="K31" s="143">
        <v>135</v>
      </c>
      <c r="L31" s="143">
        <v>175</v>
      </c>
      <c r="M31" s="143">
        <v>280</v>
      </c>
      <c r="N31" s="143">
        <v>390</v>
      </c>
      <c r="O31" s="143">
        <v>480</v>
      </c>
      <c r="P31" s="143">
        <v>570</v>
      </c>
      <c r="Q31" s="143">
        <v>660</v>
      </c>
      <c r="R31" s="143">
        <v>735</v>
      </c>
      <c r="S31" s="143">
        <v>810</v>
      </c>
      <c r="T31" s="143">
        <v>870</v>
      </c>
      <c r="U31" s="143">
        <v>930</v>
      </c>
      <c r="V31" s="143">
        <v>990</v>
      </c>
    </row>
    <row r="32" spans="1:22">
      <c r="A32" s="7" t="s">
        <v>60</v>
      </c>
      <c r="H32" s="143">
        <v>0</v>
      </c>
      <c r="I32" s="143">
        <v>0</v>
      </c>
      <c r="J32" s="143">
        <v>0</v>
      </c>
      <c r="K32" s="143">
        <v>90</v>
      </c>
      <c r="L32" s="143">
        <v>105</v>
      </c>
      <c r="M32" s="143">
        <v>175</v>
      </c>
      <c r="N32" s="143">
        <v>260</v>
      </c>
      <c r="O32" s="143">
        <v>320</v>
      </c>
      <c r="P32" s="143">
        <v>380</v>
      </c>
      <c r="Q32" s="143">
        <v>440</v>
      </c>
      <c r="R32" s="143">
        <v>490</v>
      </c>
      <c r="S32" s="143">
        <v>540</v>
      </c>
      <c r="T32" s="143">
        <v>580</v>
      </c>
      <c r="U32" s="143">
        <v>620</v>
      </c>
      <c r="V32" s="143">
        <v>660</v>
      </c>
    </row>
    <row r="33" spans="1:22">
      <c r="A33" s="7" t="s">
        <v>61</v>
      </c>
      <c r="H33" s="143">
        <v>0</v>
      </c>
      <c r="I33" s="143">
        <v>0</v>
      </c>
      <c r="J33" s="143">
        <v>0</v>
      </c>
      <c r="K33" s="143">
        <v>45</v>
      </c>
      <c r="L33" s="143">
        <v>50</v>
      </c>
      <c r="M33" s="143">
        <v>85</v>
      </c>
      <c r="N33" s="143">
        <v>130</v>
      </c>
      <c r="O33" s="143">
        <v>160</v>
      </c>
      <c r="P33" s="143">
        <v>190</v>
      </c>
      <c r="Q33" s="143">
        <v>220</v>
      </c>
      <c r="R33" s="143">
        <v>245</v>
      </c>
      <c r="S33" s="143">
        <v>270</v>
      </c>
      <c r="T33" s="143">
        <v>290</v>
      </c>
      <c r="U33" s="143">
        <v>310</v>
      </c>
      <c r="V33" s="143">
        <v>330</v>
      </c>
    </row>
    <row r="34" spans="1:22">
      <c r="A34" s="55" t="s">
        <v>664</v>
      </c>
      <c r="H34" s="143">
        <v>0</v>
      </c>
      <c r="I34" s="143">
        <v>0</v>
      </c>
      <c r="J34" s="143">
        <v>0</v>
      </c>
      <c r="K34" s="143">
        <v>450</v>
      </c>
      <c r="L34" s="143">
        <v>575</v>
      </c>
      <c r="M34" s="143">
        <v>925</v>
      </c>
      <c r="N34" s="143">
        <v>1300</v>
      </c>
      <c r="O34" s="143">
        <v>1600</v>
      </c>
      <c r="P34" s="143">
        <v>1900</v>
      </c>
      <c r="Q34" s="143">
        <v>2200</v>
      </c>
      <c r="R34" s="143">
        <v>2450</v>
      </c>
      <c r="S34" s="143">
        <v>2700</v>
      </c>
      <c r="T34" s="143">
        <v>2900</v>
      </c>
      <c r="U34" s="143">
        <v>3100</v>
      </c>
      <c r="V34" s="143">
        <v>3300</v>
      </c>
    </row>
    <row r="35" spans="1:22">
      <c r="A35" s="8" t="s">
        <v>874</v>
      </c>
    </row>
    <row r="36" spans="1:22">
      <c r="A36" s="7" t="s">
        <v>59</v>
      </c>
      <c r="H36" s="143">
        <v>0</v>
      </c>
      <c r="I36" s="143">
        <v>0</v>
      </c>
      <c r="J36" s="143">
        <v>0</v>
      </c>
      <c r="K36" s="143">
        <v>350</v>
      </c>
      <c r="L36" s="143">
        <v>350</v>
      </c>
      <c r="M36" s="143">
        <v>400</v>
      </c>
      <c r="N36" s="143">
        <v>450</v>
      </c>
      <c r="O36" s="143">
        <v>459</v>
      </c>
      <c r="P36" s="143">
        <v>468</v>
      </c>
      <c r="Q36" s="143">
        <v>477</v>
      </c>
      <c r="R36" s="143">
        <v>487</v>
      </c>
      <c r="S36" s="143">
        <v>497</v>
      </c>
      <c r="T36" s="143">
        <v>507</v>
      </c>
      <c r="U36" s="143">
        <v>517</v>
      </c>
      <c r="V36" s="143">
        <v>527</v>
      </c>
    </row>
    <row r="37" spans="1:22">
      <c r="A37" s="7" t="s">
        <v>614</v>
      </c>
      <c r="H37" s="143">
        <v>0</v>
      </c>
      <c r="I37" s="143">
        <v>0</v>
      </c>
      <c r="J37" s="143">
        <v>0</v>
      </c>
      <c r="K37" s="143">
        <v>200</v>
      </c>
      <c r="L37" s="143">
        <v>200</v>
      </c>
      <c r="M37" s="143">
        <v>225</v>
      </c>
      <c r="N37" s="143">
        <v>240</v>
      </c>
      <c r="O37" s="143">
        <v>245</v>
      </c>
      <c r="P37" s="143">
        <v>250</v>
      </c>
      <c r="Q37" s="143">
        <v>255</v>
      </c>
      <c r="R37" s="143">
        <v>260</v>
      </c>
      <c r="S37" s="143">
        <v>265</v>
      </c>
      <c r="T37" s="143">
        <v>270</v>
      </c>
      <c r="U37" s="143">
        <v>275</v>
      </c>
      <c r="V37" s="143">
        <v>280</v>
      </c>
    </row>
    <row r="38" spans="1:22">
      <c r="A38" s="7" t="s">
        <v>60</v>
      </c>
      <c r="H38" s="143">
        <v>0</v>
      </c>
      <c r="I38" s="143">
        <v>0</v>
      </c>
      <c r="J38" s="143">
        <v>0</v>
      </c>
      <c r="K38" s="143">
        <v>100</v>
      </c>
      <c r="L38" s="143">
        <v>100</v>
      </c>
      <c r="M38" s="143">
        <v>110</v>
      </c>
      <c r="N38" s="143">
        <v>115</v>
      </c>
      <c r="O38" s="143">
        <v>117</v>
      </c>
      <c r="P38" s="143">
        <v>119</v>
      </c>
      <c r="Q38" s="143">
        <v>121</v>
      </c>
      <c r="R38" s="143">
        <v>124</v>
      </c>
      <c r="S38" s="143">
        <v>126</v>
      </c>
      <c r="T38" s="143">
        <v>129</v>
      </c>
      <c r="U38" s="143">
        <v>131</v>
      </c>
      <c r="V38" s="143">
        <v>134</v>
      </c>
    </row>
    <row r="39" spans="1:22">
      <c r="A39" s="7" t="s">
        <v>61</v>
      </c>
      <c r="H39" s="143">
        <v>0</v>
      </c>
      <c r="I39" s="143">
        <v>0</v>
      </c>
      <c r="J39" s="143">
        <v>0</v>
      </c>
      <c r="K39" s="143">
        <v>40</v>
      </c>
      <c r="L39" s="143">
        <v>40</v>
      </c>
      <c r="M39" s="143">
        <v>45</v>
      </c>
      <c r="N39" s="143">
        <v>48</v>
      </c>
      <c r="O39" s="143">
        <v>49</v>
      </c>
      <c r="P39" s="143">
        <v>50</v>
      </c>
      <c r="Q39" s="143">
        <v>51</v>
      </c>
      <c r="R39" s="143">
        <v>52</v>
      </c>
      <c r="S39" s="143">
        <v>53</v>
      </c>
      <c r="T39" s="143">
        <v>54</v>
      </c>
      <c r="U39" s="143">
        <v>55</v>
      </c>
      <c r="V39" s="143">
        <v>56</v>
      </c>
    </row>
    <row r="40" spans="1:22">
      <c r="A40" s="8" t="s">
        <v>109</v>
      </c>
    </row>
    <row r="41" spans="1:22">
      <c r="A41" s="7" t="s">
        <v>110</v>
      </c>
      <c r="H41" s="143">
        <v>0</v>
      </c>
      <c r="I41" s="143">
        <v>0</v>
      </c>
      <c r="J41" s="143">
        <v>0</v>
      </c>
      <c r="K41" s="143">
        <v>7</v>
      </c>
      <c r="L41" s="143">
        <v>8</v>
      </c>
      <c r="M41" s="143">
        <v>9</v>
      </c>
      <c r="N41" s="143">
        <v>11</v>
      </c>
      <c r="O41" s="143">
        <v>12</v>
      </c>
      <c r="P41" s="143">
        <v>12</v>
      </c>
      <c r="Q41" s="143">
        <v>13</v>
      </c>
      <c r="R41" s="143">
        <v>13</v>
      </c>
      <c r="S41" s="143">
        <v>14</v>
      </c>
      <c r="T41" s="143">
        <v>14</v>
      </c>
      <c r="U41" s="143">
        <v>15</v>
      </c>
      <c r="V41" s="143">
        <v>15</v>
      </c>
    </row>
    <row r="42" spans="1:22">
      <c r="A42" s="7" t="s">
        <v>111</v>
      </c>
      <c r="H42" s="143">
        <v>0</v>
      </c>
      <c r="I42" s="143">
        <v>0</v>
      </c>
      <c r="J42" s="143">
        <v>0</v>
      </c>
      <c r="K42" s="143">
        <v>8</v>
      </c>
      <c r="L42" s="143">
        <v>9</v>
      </c>
      <c r="M42" s="143">
        <v>11</v>
      </c>
      <c r="N42" s="143">
        <v>13</v>
      </c>
      <c r="O42" s="143">
        <v>14</v>
      </c>
      <c r="P42" s="143">
        <v>15</v>
      </c>
      <c r="Q42" s="143">
        <v>15</v>
      </c>
      <c r="R42" s="143">
        <v>16</v>
      </c>
      <c r="S42" s="143">
        <v>16</v>
      </c>
      <c r="T42" s="143">
        <v>17</v>
      </c>
      <c r="U42" s="143">
        <v>17</v>
      </c>
      <c r="V42" s="143">
        <v>18</v>
      </c>
    </row>
    <row r="43" spans="1:22">
      <c r="A43" s="7" t="s">
        <v>112</v>
      </c>
      <c r="H43" s="143">
        <v>0</v>
      </c>
      <c r="I43" s="143">
        <v>0</v>
      </c>
      <c r="J43" s="143">
        <v>0</v>
      </c>
      <c r="K43" s="143">
        <v>10</v>
      </c>
      <c r="L43" s="143">
        <v>10</v>
      </c>
      <c r="M43" s="143">
        <v>12</v>
      </c>
      <c r="N43" s="143">
        <v>14</v>
      </c>
      <c r="O43" s="143">
        <v>15</v>
      </c>
      <c r="P43" s="143">
        <v>16</v>
      </c>
      <c r="Q43" s="143">
        <v>16</v>
      </c>
      <c r="R43" s="143">
        <v>17</v>
      </c>
      <c r="S43" s="143">
        <v>17</v>
      </c>
      <c r="T43" s="143">
        <v>18</v>
      </c>
      <c r="U43" s="143">
        <v>18</v>
      </c>
      <c r="V43" s="143">
        <v>19</v>
      </c>
    </row>
    <row r="44" spans="1:22">
      <c r="A44" s="7" t="s">
        <v>113</v>
      </c>
      <c r="H44" s="143">
        <v>0</v>
      </c>
      <c r="I44" s="143">
        <v>0</v>
      </c>
      <c r="J44" s="143">
        <v>0</v>
      </c>
      <c r="K44" s="143">
        <v>4</v>
      </c>
      <c r="L44" s="143">
        <v>4</v>
      </c>
      <c r="M44" s="143">
        <v>5</v>
      </c>
      <c r="N44" s="143">
        <v>5</v>
      </c>
      <c r="O44" s="143">
        <v>5</v>
      </c>
      <c r="P44" s="143">
        <v>5</v>
      </c>
      <c r="Q44" s="143">
        <v>6</v>
      </c>
      <c r="R44" s="143">
        <v>6</v>
      </c>
      <c r="S44" s="143">
        <v>6</v>
      </c>
      <c r="T44" s="143">
        <v>6</v>
      </c>
      <c r="U44" s="143">
        <v>6</v>
      </c>
      <c r="V44" s="143">
        <v>6</v>
      </c>
    </row>
    <row r="45" spans="1:22">
      <c r="A45" s="7" t="s">
        <v>114</v>
      </c>
      <c r="H45" s="143">
        <v>0</v>
      </c>
      <c r="I45" s="143">
        <v>0</v>
      </c>
      <c r="J45" s="143">
        <v>0</v>
      </c>
      <c r="K45" s="143">
        <v>1</v>
      </c>
      <c r="L45" s="143">
        <v>1</v>
      </c>
      <c r="M45" s="143">
        <v>1</v>
      </c>
      <c r="N45" s="143">
        <v>1</v>
      </c>
      <c r="O45" s="143">
        <v>1</v>
      </c>
      <c r="P45" s="143">
        <v>1</v>
      </c>
      <c r="Q45" s="143">
        <v>1</v>
      </c>
      <c r="R45" s="143">
        <v>0</v>
      </c>
      <c r="S45" s="143">
        <v>1</v>
      </c>
      <c r="T45" s="143">
        <v>0</v>
      </c>
      <c r="U45" s="143">
        <v>1</v>
      </c>
      <c r="V45" s="143">
        <v>0</v>
      </c>
    </row>
    <row r="46" spans="1:22">
      <c r="A46" s="8" t="s">
        <v>878</v>
      </c>
    </row>
    <row r="47" spans="1:22">
      <c r="A47" s="7" t="s">
        <v>110</v>
      </c>
      <c r="H47" s="144">
        <v>0</v>
      </c>
      <c r="I47" s="144">
        <v>0</v>
      </c>
      <c r="J47" s="144">
        <v>0</v>
      </c>
      <c r="K47" s="144">
        <v>4500000</v>
      </c>
      <c r="L47" s="144">
        <v>4815000</v>
      </c>
      <c r="M47" s="144">
        <v>5152050</v>
      </c>
      <c r="N47" s="144">
        <v>5512694</v>
      </c>
      <c r="O47" s="144">
        <v>5898582</v>
      </c>
      <c r="P47" s="144">
        <v>6311483</v>
      </c>
      <c r="Q47" s="144">
        <v>6752287</v>
      </c>
      <c r="R47" s="144">
        <v>7224947</v>
      </c>
      <c r="S47" s="144">
        <v>7730693</v>
      </c>
      <c r="T47" s="144">
        <v>8271842</v>
      </c>
      <c r="U47" s="144">
        <v>8850871</v>
      </c>
      <c r="V47" s="144">
        <v>9470432</v>
      </c>
    </row>
    <row r="48" spans="1:22">
      <c r="A48" s="7" t="s">
        <v>111</v>
      </c>
      <c r="H48" s="144">
        <v>0</v>
      </c>
      <c r="I48" s="144">
        <v>0</v>
      </c>
      <c r="J48" s="144">
        <v>0</v>
      </c>
      <c r="K48" s="144">
        <v>3000000</v>
      </c>
      <c r="L48" s="144">
        <v>3210000</v>
      </c>
      <c r="M48" s="144">
        <v>3434700</v>
      </c>
      <c r="N48" s="144">
        <v>3675129</v>
      </c>
      <c r="O48" s="144">
        <v>3932388</v>
      </c>
      <c r="P48" s="144">
        <v>4207655</v>
      </c>
      <c r="Q48" s="144">
        <v>4502191</v>
      </c>
      <c r="R48" s="144">
        <v>4817344</v>
      </c>
      <c r="S48" s="144">
        <v>5154559</v>
      </c>
      <c r="T48" s="144">
        <v>5515378</v>
      </c>
      <c r="U48" s="144">
        <v>5901454</v>
      </c>
      <c r="V48" s="144">
        <v>6314556</v>
      </c>
    </row>
    <row r="49" spans="1:22">
      <c r="A49" s="7" t="s">
        <v>112</v>
      </c>
      <c r="H49" s="144">
        <v>0</v>
      </c>
      <c r="I49" s="144">
        <v>0</v>
      </c>
      <c r="J49" s="144">
        <v>0</v>
      </c>
      <c r="K49" s="144">
        <v>3500000</v>
      </c>
      <c r="L49" s="144">
        <v>3745000</v>
      </c>
      <c r="M49" s="144">
        <v>4007150</v>
      </c>
      <c r="N49" s="144">
        <v>4287651</v>
      </c>
      <c r="O49" s="144">
        <v>4587786</v>
      </c>
      <c r="P49" s="144">
        <v>4908931</v>
      </c>
      <c r="Q49" s="144">
        <v>5252556</v>
      </c>
      <c r="R49" s="144">
        <v>5620235</v>
      </c>
      <c r="S49" s="144">
        <v>6013651</v>
      </c>
      <c r="T49" s="144">
        <v>6434607</v>
      </c>
      <c r="U49" s="144">
        <v>6885029</v>
      </c>
      <c r="V49" s="144">
        <v>7366981</v>
      </c>
    </row>
    <row r="50" spans="1:22">
      <c r="A50" s="7" t="s">
        <v>113</v>
      </c>
      <c r="H50" s="144">
        <v>0</v>
      </c>
      <c r="I50" s="144">
        <v>0</v>
      </c>
      <c r="J50" s="144">
        <v>0</v>
      </c>
      <c r="K50" s="144">
        <v>1500000</v>
      </c>
      <c r="L50" s="144">
        <v>1605000</v>
      </c>
      <c r="M50" s="144">
        <v>1717350</v>
      </c>
      <c r="N50" s="144">
        <v>1837565</v>
      </c>
      <c r="O50" s="144">
        <v>1966194</v>
      </c>
      <c r="P50" s="144">
        <v>2103828</v>
      </c>
      <c r="Q50" s="144">
        <v>2251096</v>
      </c>
      <c r="R50" s="144">
        <v>2408672</v>
      </c>
      <c r="S50" s="144">
        <v>2577279</v>
      </c>
      <c r="T50" s="144">
        <v>2757689</v>
      </c>
      <c r="U50" s="144">
        <v>2950727</v>
      </c>
      <c r="V50" s="144">
        <v>3157278</v>
      </c>
    </row>
    <row r="51" spans="1:22">
      <c r="A51" s="7" t="s">
        <v>114</v>
      </c>
      <c r="H51" s="144">
        <v>0</v>
      </c>
      <c r="I51" s="144">
        <v>0</v>
      </c>
      <c r="J51" s="144">
        <v>0</v>
      </c>
      <c r="K51" s="144">
        <v>1000000</v>
      </c>
      <c r="L51" s="144">
        <v>1070000</v>
      </c>
      <c r="M51" s="144">
        <v>1144900</v>
      </c>
      <c r="N51" s="144">
        <v>1225043</v>
      </c>
      <c r="O51" s="144">
        <v>1310796</v>
      </c>
      <c r="P51" s="144">
        <v>1402552</v>
      </c>
      <c r="Q51" s="144">
        <v>1500731</v>
      </c>
      <c r="R51" s="144">
        <v>1605782</v>
      </c>
      <c r="S51" s="144">
        <v>1718187</v>
      </c>
      <c r="T51" s="144">
        <v>1838460</v>
      </c>
      <c r="U51" s="144">
        <v>1967252</v>
      </c>
      <c r="V51" s="144">
        <v>2104960</v>
      </c>
    </row>
    <row r="52" spans="1:22">
      <c r="A52" s="22" t="s">
        <v>115</v>
      </c>
    </row>
    <row r="53" spans="1:22">
      <c r="A53" s="3" t="s">
        <v>110</v>
      </c>
      <c r="H53" s="141">
        <f t="shared" ref="H53:V53" si="12">H47*H41/10000000</f>
        <v>0</v>
      </c>
      <c r="I53" s="141">
        <f t="shared" si="12"/>
        <v>0</v>
      </c>
      <c r="J53" s="141">
        <f t="shared" si="12"/>
        <v>0</v>
      </c>
      <c r="K53" s="141">
        <f t="shared" si="12"/>
        <v>3.15</v>
      </c>
      <c r="L53" s="141">
        <f t="shared" si="12"/>
        <v>3.8519999999999999</v>
      </c>
      <c r="M53" s="141">
        <f t="shared" si="12"/>
        <v>4.6368450000000001</v>
      </c>
      <c r="N53" s="141">
        <f t="shared" si="12"/>
        <v>6.0639633999999996</v>
      </c>
      <c r="O53" s="141">
        <f t="shared" si="12"/>
        <v>7.0782984000000004</v>
      </c>
      <c r="P53" s="141">
        <f t="shared" si="12"/>
        <v>7.5737795999999999</v>
      </c>
      <c r="Q53" s="141">
        <f t="shared" si="12"/>
        <v>8.7779731000000005</v>
      </c>
      <c r="R53" s="141">
        <f t="shared" si="12"/>
        <v>9.3924310999999996</v>
      </c>
      <c r="S53" s="141">
        <f t="shared" si="12"/>
        <v>10.8229702</v>
      </c>
      <c r="T53" s="141">
        <f t="shared" si="12"/>
        <v>11.5805788</v>
      </c>
      <c r="U53" s="141">
        <f t="shared" si="12"/>
        <v>13.2763065</v>
      </c>
      <c r="V53" s="141">
        <f t="shared" si="12"/>
        <v>14.205648</v>
      </c>
    </row>
    <row r="54" spans="1:22">
      <c r="A54" s="7" t="s">
        <v>111</v>
      </c>
      <c r="H54" s="141">
        <f t="shared" ref="H54:V54" si="13">H48*H42/10000000</f>
        <v>0</v>
      </c>
      <c r="I54" s="141">
        <f t="shared" si="13"/>
        <v>0</v>
      </c>
      <c r="J54" s="141">
        <f t="shared" si="13"/>
        <v>0</v>
      </c>
      <c r="K54" s="141">
        <f t="shared" si="13"/>
        <v>2.4</v>
      </c>
      <c r="L54" s="141">
        <f t="shared" si="13"/>
        <v>2.8889999999999998</v>
      </c>
      <c r="M54" s="141">
        <f t="shared" si="13"/>
        <v>3.7781699999999998</v>
      </c>
      <c r="N54" s="141">
        <f t="shared" si="13"/>
        <v>4.7776677000000003</v>
      </c>
      <c r="O54" s="141">
        <f t="shared" si="13"/>
        <v>5.5053432000000004</v>
      </c>
      <c r="P54" s="141">
        <f t="shared" si="13"/>
        <v>6.3114825000000003</v>
      </c>
      <c r="Q54" s="141">
        <f t="shared" si="13"/>
        <v>6.7532864999999997</v>
      </c>
      <c r="R54" s="141">
        <f t="shared" si="13"/>
        <v>7.7077504000000001</v>
      </c>
      <c r="S54" s="141">
        <f t="shared" si="13"/>
        <v>8.2472943999999995</v>
      </c>
      <c r="T54" s="141">
        <f t="shared" si="13"/>
        <v>9.3761425999999997</v>
      </c>
      <c r="U54" s="141">
        <f t="shared" si="13"/>
        <v>10.0324718</v>
      </c>
      <c r="V54" s="141">
        <f t="shared" si="13"/>
        <v>11.3662008</v>
      </c>
    </row>
    <row r="55" spans="1:22">
      <c r="A55" s="7" t="s">
        <v>112</v>
      </c>
      <c r="H55" s="141">
        <f t="shared" ref="H55:V55" si="14">H49*H43/10000000</f>
        <v>0</v>
      </c>
      <c r="I55" s="141">
        <f t="shared" si="14"/>
        <v>0</v>
      </c>
      <c r="J55" s="141">
        <f t="shared" si="14"/>
        <v>0</v>
      </c>
      <c r="K55" s="141">
        <f t="shared" si="14"/>
        <v>3.5</v>
      </c>
      <c r="L55" s="141">
        <f t="shared" si="14"/>
        <v>3.7450000000000001</v>
      </c>
      <c r="M55" s="141">
        <f t="shared" si="14"/>
        <v>4.8085800000000001</v>
      </c>
      <c r="N55" s="141">
        <f t="shared" si="14"/>
        <v>6.0027113999999999</v>
      </c>
      <c r="O55" s="141">
        <f t="shared" si="14"/>
        <v>6.8816790000000001</v>
      </c>
      <c r="P55" s="141">
        <f t="shared" si="14"/>
        <v>7.8542896000000004</v>
      </c>
      <c r="Q55" s="141">
        <f t="shared" si="14"/>
        <v>8.4040896000000007</v>
      </c>
      <c r="R55" s="141">
        <f t="shared" si="14"/>
        <v>9.5543995000000006</v>
      </c>
      <c r="S55" s="141">
        <f t="shared" si="14"/>
        <v>10.2232067</v>
      </c>
      <c r="T55" s="141">
        <f t="shared" si="14"/>
        <v>11.582292600000001</v>
      </c>
      <c r="U55" s="141">
        <f t="shared" si="14"/>
        <v>12.3930522</v>
      </c>
      <c r="V55" s="141">
        <f t="shared" si="14"/>
        <v>13.9972639</v>
      </c>
    </row>
    <row r="56" spans="1:22">
      <c r="A56" s="7" t="s">
        <v>113</v>
      </c>
      <c r="H56" s="141">
        <f t="shared" ref="H56:V56" si="15">H50*H44/10000000</f>
        <v>0</v>
      </c>
      <c r="I56" s="141">
        <f t="shared" si="15"/>
        <v>0</v>
      </c>
      <c r="J56" s="141">
        <f t="shared" si="15"/>
        <v>0</v>
      </c>
      <c r="K56" s="141">
        <f t="shared" si="15"/>
        <v>0.6</v>
      </c>
      <c r="L56" s="141">
        <f t="shared" si="15"/>
        <v>0.64200000000000002</v>
      </c>
      <c r="M56" s="141">
        <f t="shared" si="15"/>
        <v>0.85867499999999997</v>
      </c>
      <c r="N56" s="141">
        <f t="shared" si="15"/>
        <v>0.91878249999999995</v>
      </c>
      <c r="O56" s="141">
        <f t="shared" si="15"/>
        <v>0.983097</v>
      </c>
      <c r="P56" s="141">
        <f t="shared" si="15"/>
        <v>1.051914</v>
      </c>
      <c r="Q56" s="141">
        <f t="shared" si="15"/>
        <v>1.3506575999999999</v>
      </c>
      <c r="R56" s="141">
        <f t="shared" si="15"/>
        <v>1.4452031999999999</v>
      </c>
      <c r="S56" s="141">
        <f t="shared" si="15"/>
        <v>1.5463674000000001</v>
      </c>
      <c r="T56" s="141">
        <f t="shared" si="15"/>
        <v>1.6546133999999999</v>
      </c>
      <c r="U56" s="141">
        <f t="shared" si="15"/>
        <v>1.7704362</v>
      </c>
      <c r="V56" s="141">
        <f t="shared" si="15"/>
        <v>1.8943668</v>
      </c>
    </row>
    <row r="57" spans="1:22">
      <c r="A57" s="7" t="s">
        <v>114</v>
      </c>
      <c r="H57" s="141">
        <f t="shared" ref="H57:V57" si="16">H51*H45/10000000</f>
        <v>0</v>
      </c>
      <c r="I57" s="141">
        <f t="shared" si="16"/>
        <v>0</v>
      </c>
      <c r="J57" s="141">
        <f t="shared" si="16"/>
        <v>0</v>
      </c>
      <c r="K57" s="141">
        <f t="shared" si="16"/>
        <v>0.1</v>
      </c>
      <c r="L57" s="141">
        <f t="shared" si="16"/>
        <v>0.107</v>
      </c>
      <c r="M57" s="141">
        <f t="shared" si="16"/>
        <v>0.11448999999999999</v>
      </c>
      <c r="N57" s="141">
        <f t="shared" si="16"/>
        <v>0.1225043</v>
      </c>
      <c r="O57" s="141">
        <f t="shared" si="16"/>
        <v>0.13107959999999999</v>
      </c>
      <c r="P57" s="141">
        <f t="shared" si="16"/>
        <v>0.1402552</v>
      </c>
      <c r="Q57" s="141">
        <f t="shared" si="16"/>
        <v>0.15007309999999999</v>
      </c>
      <c r="R57" s="141">
        <f t="shared" si="16"/>
        <v>0</v>
      </c>
      <c r="S57" s="141">
        <f t="shared" si="16"/>
        <v>0.17181869999999999</v>
      </c>
      <c r="T57" s="141">
        <f t="shared" si="16"/>
        <v>0</v>
      </c>
      <c r="U57" s="141">
        <f t="shared" si="16"/>
        <v>0.19672519999999999</v>
      </c>
      <c r="V57" s="141">
        <f t="shared" si="16"/>
        <v>0</v>
      </c>
    </row>
    <row r="59" spans="1:22">
      <c r="A59" s="195" t="s">
        <v>116</v>
      </c>
      <c r="H59" s="145">
        <v>0</v>
      </c>
      <c r="I59" s="145">
        <v>0</v>
      </c>
      <c r="J59" s="145">
        <v>0</v>
      </c>
      <c r="K59" s="145">
        <v>0.18</v>
      </c>
      <c r="L59" s="145">
        <v>0.18</v>
      </c>
      <c r="M59" s="145">
        <v>0.17</v>
      </c>
      <c r="N59" s="145">
        <v>0.16</v>
      </c>
      <c r="O59" s="145">
        <v>0.15</v>
      </c>
      <c r="P59" s="145">
        <v>0.15</v>
      </c>
      <c r="Q59" s="145">
        <v>0.15</v>
      </c>
      <c r="R59" s="145">
        <v>0.15</v>
      </c>
      <c r="S59" s="145">
        <v>0.15</v>
      </c>
      <c r="T59" s="145">
        <v>0.15</v>
      </c>
      <c r="U59" s="145">
        <v>0.15</v>
      </c>
      <c r="V59" s="145">
        <v>0.15</v>
      </c>
    </row>
    <row r="60" spans="1:22">
      <c r="A60" s="195" t="s">
        <v>117</v>
      </c>
      <c r="H60" s="141">
        <f>REVENUE!N302</f>
        <v>0</v>
      </c>
      <c r="I60" s="141">
        <f>REVENUE!O302</f>
        <v>0</v>
      </c>
      <c r="J60" s="141">
        <f>REVENUE!P302</f>
        <v>0</v>
      </c>
      <c r="K60" s="141">
        <f>REVENUE!Q302</f>
        <v>19.619207448000004</v>
      </c>
      <c r="L60" s="141">
        <f>REVENUE!R302</f>
        <v>25.863625089310002</v>
      </c>
      <c r="M60" s="141">
        <f>REVENUE!S302</f>
        <v>55.398256662094994</v>
      </c>
      <c r="N60" s="141">
        <f>REVENUE!T302</f>
        <v>90.426094884075994</v>
      </c>
      <c r="O60" s="141">
        <f>REVENUE!U302</f>
        <v>126.142270779539</v>
      </c>
      <c r="P60" s="141">
        <f>REVENUE!V302</f>
        <v>166.18951148272004</v>
      </c>
      <c r="Q60" s="141">
        <f>REVENUE!W302</f>
        <v>215.95241715169931</v>
      </c>
      <c r="R60" s="141">
        <f>REVENUE!X302</f>
        <v>265.24590528632501</v>
      </c>
      <c r="S60" s="141">
        <f>REVENUE!Y302</f>
        <v>323.70598814805004</v>
      </c>
      <c r="T60" s="141">
        <f>REVENUE!Z302</f>
        <v>379.33554613015599</v>
      </c>
      <c r="U60" s="141">
        <f>REVENUE!AA302</f>
        <v>443.9586205100743</v>
      </c>
      <c r="V60" s="141">
        <f>REVENUE!AB302</f>
        <v>518.97108835964264</v>
      </c>
    </row>
    <row r="61" spans="1:22">
      <c r="A61" s="195" t="s">
        <v>118</v>
      </c>
      <c r="H61" s="141">
        <f t="shared" ref="H61:V61" si="17">H60*H59</f>
        <v>0</v>
      </c>
      <c r="I61" s="141">
        <f t="shared" si="17"/>
        <v>0</v>
      </c>
      <c r="J61" s="141">
        <f t="shared" si="17"/>
        <v>0</v>
      </c>
      <c r="K61" s="141">
        <f t="shared" si="17"/>
        <v>3.5314573406400007</v>
      </c>
      <c r="L61" s="141">
        <f t="shared" si="17"/>
        <v>4.6554525160758002</v>
      </c>
      <c r="M61" s="141">
        <f t="shared" si="17"/>
        <v>9.4177036325561492</v>
      </c>
      <c r="N61" s="141">
        <f t="shared" si="17"/>
        <v>14.468175181452159</v>
      </c>
      <c r="O61" s="141">
        <f t="shared" si="17"/>
        <v>18.921340616930848</v>
      </c>
      <c r="P61" s="141">
        <f t="shared" si="17"/>
        <v>24.928426722408005</v>
      </c>
      <c r="Q61" s="141">
        <f t="shared" si="17"/>
        <v>32.392862572754893</v>
      </c>
      <c r="R61" s="141">
        <f t="shared" si="17"/>
        <v>39.786885792948752</v>
      </c>
      <c r="S61" s="141">
        <f t="shared" si="17"/>
        <v>48.555898222207503</v>
      </c>
      <c r="T61" s="141">
        <f t="shared" si="17"/>
        <v>56.900331919523396</v>
      </c>
      <c r="U61" s="141">
        <f t="shared" si="17"/>
        <v>66.593793076511147</v>
      </c>
      <c r="V61" s="141">
        <f t="shared" si="17"/>
        <v>77.845663253946398</v>
      </c>
    </row>
    <row r="63" spans="1:22">
      <c r="A63" s="195" t="s">
        <v>119</v>
      </c>
      <c r="H63" s="146">
        <f t="shared" ref="H63:V63" si="18">H61+H57+H56+H55+H54+H53</f>
        <v>0</v>
      </c>
      <c r="I63" s="146">
        <f t="shared" si="18"/>
        <v>0</v>
      </c>
      <c r="J63" s="146">
        <f t="shared" si="18"/>
        <v>0</v>
      </c>
      <c r="K63" s="146">
        <f t="shared" si="18"/>
        <v>13.281457340640001</v>
      </c>
      <c r="L63" s="146">
        <f t="shared" si="18"/>
        <v>15.890452516075801</v>
      </c>
      <c r="M63" s="146">
        <f t="shared" si="18"/>
        <v>23.614463632556149</v>
      </c>
      <c r="N63" s="146">
        <f t="shared" si="18"/>
        <v>32.353804481452158</v>
      </c>
      <c r="O63" s="146">
        <f t="shared" si="18"/>
        <v>39.500837816930847</v>
      </c>
      <c r="P63" s="146">
        <f t="shared" si="18"/>
        <v>47.860147622408</v>
      </c>
      <c r="Q63" s="146">
        <f t="shared" si="18"/>
        <v>57.828942472754889</v>
      </c>
      <c r="R63" s="146">
        <f t="shared" si="18"/>
        <v>67.886669992948754</v>
      </c>
      <c r="S63" s="146">
        <f t="shared" si="18"/>
        <v>79.567555622207507</v>
      </c>
      <c r="T63" s="146">
        <f t="shared" si="18"/>
        <v>91.093959319523393</v>
      </c>
      <c r="U63" s="146">
        <f t="shared" si="18"/>
        <v>104.26278497651116</v>
      </c>
      <c r="V63" s="146">
        <f t="shared" si="18"/>
        <v>119.30914275394639</v>
      </c>
    </row>
    <row r="65" spans="1:22" s="181" customFormat="1" ht="21">
      <c r="A65" s="229" t="s">
        <v>137</v>
      </c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</row>
    <row r="66" spans="1:22">
      <c r="A66" s="3" t="s">
        <v>120</v>
      </c>
      <c r="H66" s="59">
        <f>SUMPRODUCT(REVENUE!N31:N36,REVENUE!E21:E26)</f>
        <v>0</v>
      </c>
      <c r="I66" s="59">
        <f>SUMPRODUCT(REVENUE!O31:O36,REVENUE!E21:E26)</f>
        <v>0</v>
      </c>
      <c r="J66" s="59">
        <f>SUMPRODUCT(REVENUE!P31:P36,REVENUE!E21:E26)</f>
        <v>0</v>
      </c>
      <c r="K66" s="59">
        <f>SUMPRODUCT(REVENUE!Q31:Q36,REVENUE!E21:E26)</f>
        <v>66.833333333333329</v>
      </c>
      <c r="L66" s="59">
        <f>SUMPRODUCT(REVENUE!R31:R36,REVENUE!E21:E26)</f>
        <v>83.199999999999989</v>
      </c>
      <c r="M66" s="59">
        <f>SUMPRODUCT(REVENUE!S31:S36,REVENUE!E21:E26)</f>
        <v>110.33333333333333</v>
      </c>
      <c r="N66" s="59">
        <f>SUMPRODUCT(REVENUE!T31:T36,REVENUE!E21:E26)</f>
        <v>125.21666666666667</v>
      </c>
      <c r="O66" s="59">
        <f>SUMPRODUCT(REVENUE!U31:U36,REVENUE!E21:E26)</f>
        <v>145.28333333333336</v>
      </c>
      <c r="P66" s="59">
        <f>SUMPRODUCT(REVENUE!V31:V36,REVENUE!E21:E26)</f>
        <v>162.75</v>
      </c>
      <c r="Q66" s="59">
        <f>SUMPRODUCT(REVENUE!W31:W36,REVENUE!E21:E26)</f>
        <v>183.83333333333334</v>
      </c>
      <c r="R66" s="59">
        <f>SUMPRODUCT(REVENUE!X31:X36,REVENUE!E21:E26)</f>
        <v>205.73333333333338</v>
      </c>
      <c r="S66" s="59">
        <f>SUMPRODUCT(REVENUE!Y31:Y36,REVENUE!E21:E26)</f>
        <v>210.69999999999993</v>
      </c>
      <c r="T66" s="59">
        <f>SUMPRODUCT(REVENUE!Z31:Z36,REVENUE!E21:E26)</f>
        <v>213.8</v>
      </c>
      <c r="U66" s="59">
        <f>SUMPRODUCT(REVENUE!AA31:AA36,REVENUE!E21:E26)</f>
        <v>216.90000000000003</v>
      </c>
      <c r="V66" s="59">
        <f>SUMPRODUCT(REVENUE!AB31:AB36,REVENUE!E21:E26)</f>
        <v>219.58333333333334</v>
      </c>
    </row>
    <row r="67" spans="1:22">
      <c r="A67" s="3" t="s">
        <v>639</v>
      </c>
      <c r="H67" s="148" t="e">
        <f>SUMPRODUCT(REVENUE!N31:N36,REVENUE!E21:E26)/REVENUE!E27</f>
        <v>#DIV/0!</v>
      </c>
      <c r="I67" s="148" t="e">
        <f>SUMPRODUCT(REVENUE!O31:O36,REVENUE!E21:E26)/REVENUE!E27</f>
        <v>#DIV/0!</v>
      </c>
      <c r="J67" s="148" t="e">
        <f>SUMPRODUCT(REVENUE!P31:P36,REVENUE!E21:E26)/REVENUE!E27</f>
        <v>#DIV/0!</v>
      </c>
      <c r="K67" s="148" t="e">
        <f>SUMPRODUCT(REVENUE!Q31:Q36,REVENUE!E21:E26)/REVENUE!E27</f>
        <v>#DIV/0!</v>
      </c>
      <c r="L67" s="148" t="e">
        <f>SUMPRODUCT(REVENUE!R31:R36,REVENUE!E21:E26)/REVENUE!E27</f>
        <v>#DIV/0!</v>
      </c>
      <c r="M67" s="148" t="e">
        <f>SUMPRODUCT(REVENUE!S31:S36,REVENUE!E21:E26)/REVENUE!E27</f>
        <v>#DIV/0!</v>
      </c>
      <c r="N67" s="148" t="e">
        <f>SUMPRODUCT(REVENUE!T31:T36,REVENUE!E21:E26)/REVENUE!E27</f>
        <v>#DIV/0!</v>
      </c>
      <c r="O67" s="148" t="e">
        <f>SUMPRODUCT(REVENUE!U31:U36,REVENUE!E21:E26)/REVENUE!E27</f>
        <v>#DIV/0!</v>
      </c>
      <c r="P67" s="148" t="e">
        <f>SUMPRODUCT(REVENUE!V31:V36,REVENUE!E21:E26)/REVENUE!E27</f>
        <v>#DIV/0!</v>
      </c>
      <c r="Q67" s="148" t="e">
        <f>SUMPRODUCT(REVENUE!W31:W36,REVENUE!E21:E26)/REVENUE!E27</f>
        <v>#DIV/0!</v>
      </c>
      <c r="R67" s="148" t="e">
        <f>SUMPRODUCT(REVENUE!X31:X36,REVENUE!E21:E26)/REVENUE!E27</f>
        <v>#DIV/0!</v>
      </c>
      <c r="S67" s="148" t="e">
        <f>SUMPRODUCT(REVENUE!Y31:Y36,REVENUE!E21:E26)/REVENUE!E27</f>
        <v>#DIV/0!</v>
      </c>
      <c r="T67" s="148" t="e">
        <f>SUMPRODUCT(REVENUE!Z31:Z36,REVENUE!E21:E26)/REVENUE!E27</f>
        <v>#DIV/0!</v>
      </c>
      <c r="U67" s="148" t="e">
        <f>SUMPRODUCT(REVENUE!AA31:AA36,REVENUE!E21:E26)/REVENUE!E27</f>
        <v>#DIV/0!</v>
      </c>
      <c r="V67" s="148" t="e">
        <f>SUMPRODUCT(REVENUE!AB31:AB36,REVENUE!E21:E26)/REVENUE!E27</f>
        <v>#DIV/0!</v>
      </c>
    </row>
    <row r="68" spans="1:22">
      <c r="A68" s="3" t="s">
        <v>121</v>
      </c>
      <c r="H68" s="148" t="e">
        <f>H24/REVENUE!E27</f>
        <v>#DIV/0!</v>
      </c>
      <c r="I68" s="148" t="e">
        <f>I24/REVENUE!E27</f>
        <v>#DIV/0!</v>
      </c>
      <c r="J68" s="148" t="e">
        <f>J24/REVENUE!E27</f>
        <v>#DIV/0!</v>
      </c>
      <c r="K68" s="148" t="e">
        <f>K24/REVENUE!E27</f>
        <v>#DIV/0!</v>
      </c>
      <c r="L68" s="148" t="e">
        <f>L24/REVENUE!E27</f>
        <v>#DIV/0!</v>
      </c>
      <c r="M68" s="148" t="e">
        <f>M24/REVENUE!E27</f>
        <v>#DIV/0!</v>
      </c>
      <c r="N68" s="148" t="e">
        <f>N24/REVENUE!E27</f>
        <v>#DIV/0!</v>
      </c>
      <c r="O68" s="148" t="e">
        <f>O24/REVENUE!E27</f>
        <v>#DIV/0!</v>
      </c>
      <c r="P68" s="148" t="e">
        <f>P24/REVENUE!E27</f>
        <v>#DIV/0!</v>
      </c>
      <c r="Q68" s="148" t="e">
        <f>Q24/REVENUE!E27</f>
        <v>#DIV/0!</v>
      </c>
      <c r="R68" s="148" t="e">
        <f>R24/REVENUE!E27</f>
        <v>#DIV/0!</v>
      </c>
      <c r="S68" s="148" t="e">
        <f>S24/REVENUE!E27</f>
        <v>#DIV/0!</v>
      </c>
      <c r="T68" s="148" t="e">
        <f>T24/REVENUE!E27</f>
        <v>#DIV/0!</v>
      </c>
      <c r="U68" s="148" t="e">
        <f>U24/REVENUE!E27</f>
        <v>#DIV/0!</v>
      </c>
      <c r="V68" s="148" t="e">
        <f>V24/REVENUE!E27</f>
        <v>#DIV/0!</v>
      </c>
    </row>
    <row r="70" spans="1:22">
      <c r="A70" s="8" t="s">
        <v>122</v>
      </c>
    </row>
    <row r="71" spans="1:22">
      <c r="A71" s="3" t="s">
        <v>123</v>
      </c>
      <c r="H71" s="143">
        <v>0</v>
      </c>
      <c r="I71" s="143">
        <v>0</v>
      </c>
      <c r="J71" s="143">
        <v>0</v>
      </c>
      <c r="K71" s="143">
        <v>1</v>
      </c>
      <c r="L71" s="143">
        <v>1</v>
      </c>
      <c r="M71" s="143">
        <v>1</v>
      </c>
      <c r="N71" s="143">
        <v>1</v>
      </c>
      <c r="O71" s="143">
        <v>1</v>
      </c>
      <c r="P71" s="143">
        <v>1</v>
      </c>
      <c r="Q71" s="143">
        <v>1</v>
      </c>
      <c r="R71" s="143">
        <v>1</v>
      </c>
      <c r="S71" s="143">
        <v>1</v>
      </c>
      <c r="T71" s="143">
        <v>1</v>
      </c>
      <c r="U71" s="143">
        <v>1</v>
      </c>
      <c r="V71" s="143">
        <v>1</v>
      </c>
    </row>
    <row r="72" spans="1:22">
      <c r="A72" s="3" t="s">
        <v>124</v>
      </c>
      <c r="H72" s="143">
        <v>0</v>
      </c>
      <c r="I72" s="143">
        <v>0</v>
      </c>
      <c r="J72" s="143">
        <v>0</v>
      </c>
      <c r="K72" s="143">
        <v>9</v>
      </c>
      <c r="L72" s="143">
        <v>9</v>
      </c>
      <c r="M72" s="143">
        <v>11</v>
      </c>
      <c r="N72" s="143">
        <v>13</v>
      </c>
      <c r="O72" s="143">
        <v>13</v>
      </c>
      <c r="P72" s="143">
        <v>14</v>
      </c>
      <c r="Q72" s="143">
        <v>14</v>
      </c>
      <c r="R72" s="143">
        <v>14</v>
      </c>
      <c r="S72" s="143">
        <v>15</v>
      </c>
      <c r="T72" s="143">
        <v>15</v>
      </c>
      <c r="U72" s="143">
        <v>15</v>
      </c>
      <c r="V72" s="143">
        <v>16</v>
      </c>
    </row>
    <row r="73" spans="1:22">
      <c r="A73" s="3" t="s">
        <v>125</v>
      </c>
      <c r="H73" s="143">
        <v>0</v>
      </c>
      <c r="I73" s="143">
        <v>0</v>
      </c>
      <c r="J73" s="143">
        <v>0</v>
      </c>
      <c r="K73" s="143">
        <v>23</v>
      </c>
      <c r="L73" s="143">
        <v>24</v>
      </c>
      <c r="M73" s="143">
        <v>28</v>
      </c>
      <c r="N73" s="143">
        <v>32</v>
      </c>
      <c r="O73" s="143">
        <v>34</v>
      </c>
      <c r="P73" s="143">
        <v>35</v>
      </c>
      <c r="Q73" s="143">
        <v>35</v>
      </c>
      <c r="R73" s="143">
        <v>36</v>
      </c>
      <c r="S73" s="143">
        <v>37</v>
      </c>
      <c r="T73" s="143">
        <v>38</v>
      </c>
      <c r="U73" s="143">
        <v>38</v>
      </c>
      <c r="V73" s="143">
        <v>39</v>
      </c>
    </row>
    <row r="74" spans="1:22">
      <c r="A74" s="3" t="s">
        <v>126</v>
      </c>
      <c r="H74" s="143">
        <v>0</v>
      </c>
      <c r="I74" s="143">
        <v>0</v>
      </c>
      <c r="J74" s="143">
        <v>0</v>
      </c>
      <c r="K74" s="143">
        <v>7</v>
      </c>
      <c r="L74" s="143">
        <v>8</v>
      </c>
      <c r="M74" s="143">
        <v>9</v>
      </c>
      <c r="N74" s="143">
        <v>10</v>
      </c>
      <c r="O74" s="143">
        <v>11</v>
      </c>
      <c r="P74" s="143">
        <v>11</v>
      </c>
      <c r="Q74" s="143">
        <v>11</v>
      </c>
      <c r="R74" s="143">
        <v>12</v>
      </c>
      <c r="S74" s="143">
        <v>12</v>
      </c>
      <c r="T74" s="143">
        <v>12</v>
      </c>
      <c r="U74" s="143">
        <v>12</v>
      </c>
      <c r="V74" s="143">
        <v>13</v>
      </c>
    </row>
    <row r="75" spans="1:22">
      <c r="A75" s="3" t="s">
        <v>127</v>
      </c>
      <c r="H75" s="143">
        <v>0</v>
      </c>
      <c r="I75" s="143">
        <v>0</v>
      </c>
      <c r="J75" s="143">
        <v>0</v>
      </c>
      <c r="K75" s="143">
        <v>4</v>
      </c>
      <c r="L75" s="143">
        <v>4</v>
      </c>
      <c r="M75" s="143">
        <v>4</v>
      </c>
      <c r="N75" s="143">
        <v>5</v>
      </c>
      <c r="O75" s="143">
        <v>5</v>
      </c>
      <c r="P75" s="143">
        <v>6</v>
      </c>
      <c r="Q75" s="143">
        <v>6</v>
      </c>
      <c r="R75" s="143">
        <v>6</v>
      </c>
      <c r="S75" s="143">
        <v>6</v>
      </c>
      <c r="T75" s="143">
        <v>6</v>
      </c>
      <c r="U75" s="143">
        <v>6</v>
      </c>
      <c r="V75" s="143">
        <v>6</v>
      </c>
    </row>
    <row r="76" spans="1:22">
      <c r="A76" s="3" t="s">
        <v>128</v>
      </c>
      <c r="H76" s="143">
        <v>0</v>
      </c>
      <c r="I76" s="143">
        <v>0</v>
      </c>
      <c r="J76" s="143">
        <v>0</v>
      </c>
      <c r="K76" s="143">
        <v>16</v>
      </c>
      <c r="L76" s="143">
        <v>17</v>
      </c>
      <c r="M76" s="143">
        <v>20</v>
      </c>
      <c r="N76" s="143">
        <v>23</v>
      </c>
      <c r="O76" s="143">
        <v>24</v>
      </c>
      <c r="P76" s="143">
        <v>25</v>
      </c>
      <c r="Q76" s="143">
        <v>25</v>
      </c>
      <c r="R76" s="143">
        <v>26</v>
      </c>
      <c r="S76" s="143">
        <v>26</v>
      </c>
      <c r="T76" s="143">
        <v>27</v>
      </c>
      <c r="U76" s="143">
        <v>28</v>
      </c>
      <c r="V76" s="143">
        <v>28</v>
      </c>
    </row>
    <row r="77" spans="1:22">
      <c r="A77" s="3" t="s">
        <v>129</v>
      </c>
      <c r="H77" s="143">
        <v>0</v>
      </c>
      <c r="I77" s="143">
        <v>0</v>
      </c>
      <c r="J77" s="143">
        <v>0</v>
      </c>
      <c r="K77" s="143">
        <v>22</v>
      </c>
      <c r="L77" s="143">
        <v>23</v>
      </c>
      <c r="M77" s="143">
        <v>27</v>
      </c>
      <c r="N77" s="143">
        <v>30</v>
      </c>
      <c r="O77" s="143">
        <v>32</v>
      </c>
      <c r="P77" s="143">
        <v>33</v>
      </c>
      <c r="Q77" s="143">
        <v>34</v>
      </c>
      <c r="R77" s="143">
        <v>35</v>
      </c>
      <c r="S77" s="143">
        <v>35</v>
      </c>
      <c r="T77" s="143">
        <v>36</v>
      </c>
      <c r="U77" s="143">
        <v>37</v>
      </c>
      <c r="V77" s="143">
        <v>38</v>
      </c>
    </row>
    <row r="78" spans="1:22">
      <c r="A78" s="3" t="s">
        <v>130</v>
      </c>
      <c r="H78" s="143">
        <v>0</v>
      </c>
      <c r="I78" s="143">
        <v>0</v>
      </c>
      <c r="J78" s="143">
        <v>0</v>
      </c>
      <c r="K78" s="143">
        <v>9</v>
      </c>
      <c r="L78" s="143">
        <v>9</v>
      </c>
      <c r="M78" s="143">
        <v>11</v>
      </c>
      <c r="N78" s="143">
        <v>13</v>
      </c>
      <c r="O78" s="143">
        <v>13</v>
      </c>
      <c r="P78" s="143">
        <v>14</v>
      </c>
      <c r="Q78" s="143">
        <v>14</v>
      </c>
      <c r="R78" s="143">
        <v>14</v>
      </c>
      <c r="S78" s="143">
        <v>15</v>
      </c>
      <c r="T78" s="143">
        <v>15</v>
      </c>
      <c r="U78" s="143">
        <v>15</v>
      </c>
      <c r="V78" s="143">
        <v>16</v>
      </c>
    </row>
    <row r="81" spans="1:22">
      <c r="A81" s="9" t="s">
        <v>640</v>
      </c>
    </row>
    <row r="82" spans="1:22">
      <c r="A82" s="3" t="s">
        <v>123</v>
      </c>
      <c r="H82" s="149">
        <v>0</v>
      </c>
      <c r="I82" s="149">
        <v>0</v>
      </c>
      <c r="J82" s="149">
        <v>0</v>
      </c>
      <c r="K82" s="149">
        <v>6000000</v>
      </c>
      <c r="L82" s="149">
        <v>6840000</v>
      </c>
      <c r="M82" s="149">
        <v>7797600</v>
      </c>
      <c r="N82" s="149">
        <v>8889264</v>
      </c>
      <c r="O82" s="149">
        <v>10133764</v>
      </c>
      <c r="P82" s="149">
        <v>11552491</v>
      </c>
      <c r="Q82" s="149">
        <v>13165840</v>
      </c>
      <c r="R82" s="149">
        <v>14908058</v>
      </c>
      <c r="S82" s="149">
        <v>16815187</v>
      </c>
      <c r="T82" s="149">
        <v>18908318</v>
      </c>
      <c r="U82" s="149">
        <v>21215484</v>
      </c>
      <c r="V82" s="149">
        <v>23785641</v>
      </c>
    </row>
    <row r="83" spans="1:22">
      <c r="A83" s="3" t="s">
        <v>124</v>
      </c>
      <c r="H83" s="149">
        <v>0</v>
      </c>
      <c r="I83" s="149">
        <v>0</v>
      </c>
      <c r="J83" s="149">
        <v>0</v>
      </c>
      <c r="K83" s="149">
        <v>4500000</v>
      </c>
      <c r="L83" s="149">
        <v>5130000</v>
      </c>
      <c r="M83" s="149">
        <v>5848200</v>
      </c>
      <c r="N83" s="149">
        <v>6666948</v>
      </c>
      <c r="O83" s="149">
        <v>7599321</v>
      </c>
      <c r="P83" s="149">
        <v>8663222</v>
      </c>
      <c r="Q83" s="149">
        <v>9876076</v>
      </c>
      <c r="R83" s="149">
        <v>11259728</v>
      </c>
      <c r="S83" s="149">
        <v>12836086</v>
      </c>
      <c r="T83" s="149">
        <v>14633139</v>
      </c>
      <c r="U83" s="149">
        <v>16681778</v>
      </c>
      <c r="V83" s="149">
        <v>19017227</v>
      </c>
    </row>
    <row r="84" spans="1:22">
      <c r="A84" s="3" t="s">
        <v>125</v>
      </c>
      <c r="H84" s="149">
        <v>0</v>
      </c>
      <c r="I84" s="149">
        <v>0</v>
      </c>
      <c r="J84" s="149">
        <v>0</v>
      </c>
      <c r="K84" s="149">
        <v>3500000</v>
      </c>
      <c r="L84" s="149">
        <v>3990000</v>
      </c>
      <c r="M84" s="149">
        <v>4548600</v>
      </c>
      <c r="N84" s="149">
        <v>5185404</v>
      </c>
      <c r="O84" s="149">
        <v>5911360</v>
      </c>
      <c r="P84" s="149">
        <v>6739950</v>
      </c>
      <c r="Q84" s="149">
        <v>7683543</v>
      </c>
      <c r="R84" s="149">
        <v>8759239</v>
      </c>
      <c r="S84" s="149">
        <v>9985538</v>
      </c>
      <c r="T84" s="149">
        <v>11383513</v>
      </c>
      <c r="U84" s="149">
        <v>12997205</v>
      </c>
      <c r="V84" s="149">
        <v>14816814</v>
      </c>
    </row>
    <row r="85" spans="1:22">
      <c r="A85" s="3" t="s">
        <v>126</v>
      </c>
      <c r="H85" s="149">
        <v>0</v>
      </c>
      <c r="I85" s="149">
        <v>0</v>
      </c>
      <c r="J85" s="149">
        <v>0</v>
      </c>
      <c r="K85" s="149">
        <v>2500000</v>
      </c>
      <c r="L85" s="149">
        <v>2850000</v>
      </c>
      <c r="M85" s="149">
        <v>3249000</v>
      </c>
      <c r="N85" s="149">
        <v>3703860</v>
      </c>
      <c r="O85" s="149">
        <v>4222400</v>
      </c>
      <c r="P85" s="149">
        <v>4813536</v>
      </c>
      <c r="Q85" s="149">
        <v>5486425</v>
      </c>
      <c r="R85" s="149">
        <v>6254524</v>
      </c>
      <c r="S85" s="149">
        <v>7130158</v>
      </c>
      <c r="T85" s="149">
        <v>8128381</v>
      </c>
      <c r="U85" s="149">
        <v>9266356</v>
      </c>
      <c r="V85" s="149">
        <v>10563646</v>
      </c>
    </row>
    <row r="86" spans="1:22">
      <c r="A86" s="3" t="s">
        <v>127</v>
      </c>
      <c r="H86" s="149">
        <v>0</v>
      </c>
      <c r="I86" s="149">
        <v>0</v>
      </c>
      <c r="J86" s="149">
        <v>0</v>
      </c>
      <c r="K86" s="149">
        <v>1800000</v>
      </c>
      <c r="L86" s="149">
        <v>2052000</v>
      </c>
      <c r="M86" s="149">
        <v>2339280</v>
      </c>
      <c r="N86" s="149">
        <v>2666779</v>
      </c>
      <c r="O86" s="149">
        <v>3040123</v>
      </c>
      <c r="P86" s="149">
        <v>3465740</v>
      </c>
      <c r="Q86" s="149">
        <v>3951948</v>
      </c>
      <c r="R86" s="149">
        <v>4504221</v>
      </c>
      <c r="S86" s="149">
        <v>5134811</v>
      </c>
      <c r="T86" s="149">
        <v>5853684</v>
      </c>
      <c r="U86" s="149">
        <v>6673200</v>
      </c>
      <c r="V86" s="149">
        <v>7607448</v>
      </c>
    </row>
    <row r="87" spans="1:22">
      <c r="A87" s="3" t="s">
        <v>128</v>
      </c>
      <c r="H87" s="149">
        <v>0</v>
      </c>
      <c r="I87" s="149">
        <v>0</v>
      </c>
      <c r="J87" s="149">
        <v>0</v>
      </c>
      <c r="K87" s="149">
        <v>1200000</v>
      </c>
      <c r="L87" s="149">
        <v>1368000</v>
      </c>
      <c r="M87" s="149">
        <v>1559520</v>
      </c>
      <c r="N87" s="149">
        <v>1777853</v>
      </c>
      <c r="O87" s="149">
        <v>2026754</v>
      </c>
      <c r="P87" s="149">
        <v>2310495</v>
      </c>
      <c r="Q87" s="149">
        <v>2634964</v>
      </c>
      <c r="R87" s="149">
        <v>3004859</v>
      </c>
      <c r="S87" s="149">
        <v>3426539</v>
      </c>
      <c r="T87" s="149">
        <v>3907255</v>
      </c>
      <c r="U87" s="149">
        <v>4455266</v>
      </c>
      <c r="V87" s="149">
        <v>5090003</v>
      </c>
    </row>
    <row r="88" spans="1:22">
      <c r="A88" s="3" t="s">
        <v>129</v>
      </c>
      <c r="H88" s="149">
        <v>0</v>
      </c>
      <c r="I88" s="149">
        <v>0</v>
      </c>
      <c r="J88" s="149">
        <v>0</v>
      </c>
      <c r="K88" s="149">
        <v>1000000</v>
      </c>
      <c r="L88" s="149">
        <v>1140000</v>
      </c>
      <c r="M88" s="149">
        <v>1299600</v>
      </c>
      <c r="N88" s="149">
        <v>1481544</v>
      </c>
      <c r="O88" s="149">
        <v>1691359</v>
      </c>
      <c r="P88" s="149">
        <v>1927149</v>
      </c>
      <c r="Q88" s="149">
        <v>2197950</v>
      </c>
      <c r="R88" s="149">
        <v>2509663</v>
      </c>
      <c r="S88" s="149">
        <v>2879013</v>
      </c>
      <c r="T88" s="149">
        <v>3317075</v>
      </c>
      <c r="U88" s="149">
        <v>3832460</v>
      </c>
      <c r="V88" s="149">
        <v>4468003</v>
      </c>
    </row>
    <row r="89" spans="1:22">
      <c r="A89" s="3" t="s">
        <v>130</v>
      </c>
      <c r="H89" s="149">
        <v>0</v>
      </c>
      <c r="I89" s="149">
        <v>0</v>
      </c>
      <c r="J89" s="149">
        <v>0</v>
      </c>
      <c r="K89" s="149">
        <v>800000</v>
      </c>
      <c r="L89" s="149">
        <v>912000</v>
      </c>
      <c r="M89" s="149">
        <v>1039680</v>
      </c>
      <c r="N89" s="149">
        <v>1185235</v>
      </c>
      <c r="O89" s="149">
        <v>1353087</v>
      </c>
      <c r="P89" s="149">
        <v>1541719</v>
      </c>
      <c r="Q89" s="149">
        <v>1758360</v>
      </c>
      <c r="R89" s="149">
        <v>2007730</v>
      </c>
      <c r="S89" s="149">
        <v>2294410</v>
      </c>
      <c r="T89" s="149">
        <v>2653660</v>
      </c>
      <c r="U89" s="149">
        <v>3065968</v>
      </c>
      <c r="V89" s="149">
        <v>3574403</v>
      </c>
    </row>
    <row r="91" spans="1:22">
      <c r="A91" s="22" t="s">
        <v>131</v>
      </c>
    </row>
    <row r="92" spans="1:22">
      <c r="A92" s="3" t="s">
        <v>123</v>
      </c>
      <c r="H92" s="141">
        <f t="shared" ref="H92:V92" si="19">H82*H71/10000000</f>
        <v>0</v>
      </c>
      <c r="I92" s="141">
        <f t="shared" si="19"/>
        <v>0</v>
      </c>
      <c r="J92" s="141">
        <f t="shared" si="19"/>
        <v>0</v>
      </c>
      <c r="K92" s="141">
        <f t="shared" si="19"/>
        <v>0.6</v>
      </c>
      <c r="L92" s="141">
        <f t="shared" si="19"/>
        <v>0.68400000000000005</v>
      </c>
      <c r="M92" s="141">
        <f t="shared" si="19"/>
        <v>0.77976000000000001</v>
      </c>
      <c r="N92" s="141">
        <f t="shared" si="19"/>
        <v>0.88892640000000001</v>
      </c>
      <c r="O92" s="141">
        <f t="shared" si="19"/>
        <v>1.0133764000000001</v>
      </c>
      <c r="P92" s="141">
        <f t="shared" si="19"/>
        <v>1.1552491</v>
      </c>
      <c r="Q92" s="141">
        <f t="shared" si="19"/>
        <v>1.316584</v>
      </c>
      <c r="R92" s="141">
        <f t="shared" si="19"/>
        <v>1.4908058</v>
      </c>
      <c r="S92" s="141">
        <f t="shared" si="19"/>
        <v>1.6815187</v>
      </c>
      <c r="T92" s="141">
        <f t="shared" si="19"/>
        <v>1.8908318</v>
      </c>
      <c r="U92" s="141">
        <f t="shared" si="19"/>
        <v>2.1215484</v>
      </c>
      <c r="V92" s="141">
        <f t="shared" si="19"/>
        <v>2.3785641000000002</v>
      </c>
    </row>
    <row r="93" spans="1:22">
      <c r="A93" s="3" t="s">
        <v>124</v>
      </c>
      <c r="H93" s="141">
        <f t="shared" ref="H93:V93" si="20">H83*H72/10000000</f>
        <v>0</v>
      </c>
      <c r="I93" s="141">
        <f t="shared" si="20"/>
        <v>0</v>
      </c>
      <c r="J93" s="141">
        <f t="shared" si="20"/>
        <v>0</v>
      </c>
      <c r="K93" s="141">
        <f t="shared" si="20"/>
        <v>4.05</v>
      </c>
      <c r="L93" s="141">
        <f t="shared" si="20"/>
        <v>4.617</v>
      </c>
      <c r="M93" s="141">
        <f t="shared" si="20"/>
        <v>6.43302</v>
      </c>
      <c r="N93" s="141">
        <f t="shared" si="20"/>
        <v>8.6670324000000001</v>
      </c>
      <c r="O93" s="141">
        <f t="shared" si="20"/>
        <v>9.8791173000000008</v>
      </c>
      <c r="P93" s="141">
        <f t="shared" si="20"/>
        <v>12.128510800000001</v>
      </c>
      <c r="Q93" s="141">
        <f t="shared" si="20"/>
        <v>13.8265064</v>
      </c>
      <c r="R93" s="141">
        <f t="shared" si="20"/>
        <v>15.763619200000001</v>
      </c>
      <c r="S93" s="141">
        <f t="shared" si="20"/>
        <v>19.254128999999999</v>
      </c>
      <c r="T93" s="141">
        <f t="shared" si="20"/>
        <v>21.9497085</v>
      </c>
      <c r="U93" s="141">
        <f t="shared" si="20"/>
        <v>25.022666999999998</v>
      </c>
      <c r="V93" s="141">
        <f t="shared" si="20"/>
        <v>30.427563200000002</v>
      </c>
    </row>
    <row r="94" spans="1:22">
      <c r="A94" s="3" t="s">
        <v>125</v>
      </c>
      <c r="H94" s="141">
        <f t="shared" ref="H94:V94" si="21">H84*H73/10000000</f>
        <v>0</v>
      </c>
      <c r="I94" s="141">
        <f t="shared" si="21"/>
        <v>0</v>
      </c>
      <c r="J94" s="141">
        <f t="shared" si="21"/>
        <v>0</v>
      </c>
      <c r="K94" s="141">
        <f t="shared" si="21"/>
        <v>8.0500000000000007</v>
      </c>
      <c r="L94" s="141">
        <f t="shared" si="21"/>
        <v>9.5760000000000005</v>
      </c>
      <c r="M94" s="141">
        <f t="shared" si="21"/>
        <v>12.736079999999999</v>
      </c>
      <c r="N94" s="141">
        <f t="shared" si="21"/>
        <v>16.5932928</v>
      </c>
      <c r="O94" s="141">
        <f t="shared" si="21"/>
        <v>20.098624000000001</v>
      </c>
      <c r="P94" s="141">
        <f t="shared" si="21"/>
        <v>23.589825000000001</v>
      </c>
      <c r="Q94" s="141">
        <f t="shared" si="21"/>
        <v>26.892400500000001</v>
      </c>
      <c r="R94" s="141">
        <f t="shared" si="21"/>
        <v>31.5332604</v>
      </c>
      <c r="S94" s="141">
        <f t="shared" si="21"/>
        <v>36.946490599999997</v>
      </c>
      <c r="T94" s="141">
        <f t="shared" si="21"/>
        <v>43.257349400000003</v>
      </c>
      <c r="U94" s="141">
        <f t="shared" si="21"/>
        <v>49.389378999999998</v>
      </c>
      <c r="V94" s="141">
        <f t="shared" si="21"/>
        <v>57.785574599999997</v>
      </c>
    </row>
    <row r="95" spans="1:22">
      <c r="A95" s="3" t="s">
        <v>126</v>
      </c>
      <c r="H95" s="141">
        <f t="shared" ref="H95:V95" si="22">H85*H74/10000000</f>
        <v>0</v>
      </c>
      <c r="I95" s="141">
        <f t="shared" si="22"/>
        <v>0</v>
      </c>
      <c r="J95" s="141">
        <f t="shared" si="22"/>
        <v>0</v>
      </c>
      <c r="K95" s="141">
        <f t="shared" si="22"/>
        <v>1.75</v>
      </c>
      <c r="L95" s="141">
        <f t="shared" si="22"/>
        <v>2.2799999999999998</v>
      </c>
      <c r="M95" s="141">
        <f t="shared" si="22"/>
        <v>2.9241000000000001</v>
      </c>
      <c r="N95" s="141">
        <f t="shared" si="22"/>
        <v>3.7038600000000002</v>
      </c>
      <c r="O95" s="141">
        <f t="shared" si="22"/>
        <v>4.6446399999999999</v>
      </c>
      <c r="P95" s="141">
        <f t="shared" si="22"/>
        <v>5.2948896000000003</v>
      </c>
      <c r="Q95" s="141">
        <f t="shared" si="22"/>
        <v>6.0350675000000003</v>
      </c>
      <c r="R95" s="141">
        <f t="shared" si="22"/>
        <v>7.5054287999999998</v>
      </c>
      <c r="S95" s="141">
        <f t="shared" si="22"/>
        <v>8.5561895999999997</v>
      </c>
      <c r="T95" s="141">
        <f t="shared" si="22"/>
        <v>9.7540572000000001</v>
      </c>
      <c r="U95" s="141">
        <f t="shared" si="22"/>
        <v>11.1196272</v>
      </c>
      <c r="V95" s="141">
        <f t="shared" si="22"/>
        <v>13.732739799999999</v>
      </c>
    </row>
    <row r="96" spans="1:22">
      <c r="A96" s="3" t="s">
        <v>127</v>
      </c>
      <c r="H96" s="141">
        <f t="shared" ref="H96:V96" si="23">H86*H75/10000000</f>
        <v>0</v>
      </c>
      <c r="I96" s="141">
        <f t="shared" si="23"/>
        <v>0</v>
      </c>
      <c r="J96" s="141">
        <f t="shared" si="23"/>
        <v>0</v>
      </c>
      <c r="K96" s="141">
        <f t="shared" si="23"/>
        <v>0.72</v>
      </c>
      <c r="L96" s="141">
        <f t="shared" si="23"/>
        <v>0.82079999999999997</v>
      </c>
      <c r="M96" s="141">
        <f t="shared" si="23"/>
        <v>0.93571199999999999</v>
      </c>
      <c r="N96" s="141">
        <f t="shared" si="23"/>
        <v>1.3333895</v>
      </c>
      <c r="O96" s="141">
        <f t="shared" si="23"/>
        <v>1.5200615</v>
      </c>
      <c r="P96" s="141">
        <f t="shared" si="23"/>
        <v>2.0794440000000001</v>
      </c>
      <c r="Q96" s="141">
        <f t="shared" si="23"/>
        <v>2.3711688</v>
      </c>
      <c r="R96" s="141">
        <f t="shared" si="23"/>
        <v>2.7025326000000001</v>
      </c>
      <c r="S96" s="141">
        <f t="shared" si="23"/>
        <v>3.0808865999999999</v>
      </c>
      <c r="T96" s="141">
        <f t="shared" si="23"/>
        <v>3.5122103999999998</v>
      </c>
      <c r="U96" s="141">
        <f t="shared" si="23"/>
        <v>4.0039199999999999</v>
      </c>
      <c r="V96" s="141">
        <f t="shared" si="23"/>
        <v>4.5644688000000002</v>
      </c>
    </row>
    <row r="97" spans="1:22">
      <c r="A97" s="3" t="s">
        <v>128</v>
      </c>
      <c r="H97" s="141">
        <f t="shared" ref="H97:V97" si="24">H87*H76/10000000</f>
        <v>0</v>
      </c>
      <c r="I97" s="141">
        <f t="shared" si="24"/>
        <v>0</v>
      </c>
      <c r="J97" s="141">
        <f t="shared" si="24"/>
        <v>0</v>
      </c>
      <c r="K97" s="141">
        <f t="shared" si="24"/>
        <v>1.92</v>
      </c>
      <c r="L97" s="141">
        <f t="shared" si="24"/>
        <v>2.3256000000000001</v>
      </c>
      <c r="M97" s="141">
        <f t="shared" si="24"/>
        <v>3.11904</v>
      </c>
      <c r="N97" s="141">
        <f t="shared" si="24"/>
        <v>4.0890618999999999</v>
      </c>
      <c r="O97" s="141">
        <f t="shared" si="24"/>
        <v>4.8642095999999997</v>
      </c>
      <c r="P97" s="141">
        <f t="shared" si="24"/>
        <v>5.7762374999999997</v>
      </c>
      <c r="Q97" s="141">
        <f t="shared" si="24"/>
        <v>6.5874100000000002</v>
      </c>
      <c r="R97" s="141">
        <f t="shared" si="24"/>
        <v>7.8126334000000002</v>
      </c>
      <c r="S97" s="141">
        <f t="shared" si="24"/>
        <v>8.9090013999999993</v>
      </c>
      <c r="T97" s="141">
        <f t="shared" si="24"/>
        <v>10.5495885</v>
      </c>
      <c r="U97" s="141">
        <f t="shared" si="24"/>
        <v>12.4747448</v>
      </c>
      <c r="V97" s="141">
        <f t="shared" si="24"/>
        <v>14.252008399999999</v>
      </c>
    </row>
    <row r="98" spans="1:22">
      <c r="A98" s="3" t="s">
        <v>129</v>
      </c>
      <c r="H98" s="141">
        <f t="shared" ref="H98:V98" si="25">H88*H77/10000000</f>
        <v>0</v>
      </c>
      <c r="I98" s="141">
        <f t="shared" si="25"/>
        <v>0</v>
      </c>
      <c r="J98" s="141">
        <f t="shared" si="25"/>
        <v>0</v>
      </c>
      <c r="K98" s="141">
        <f t="shared" si="25"/>
        <v>2.2000000000000002</v>
      </c>
      <c r="L98" s="141">
        <f t="shared" si="25"/>
        <v>2.6219999999999999</v>
      </c>
      <c r="M98" s="141">
        <f t="shared" si="25"/>
        <v>3.5089199999999998</v>
      </c>
      <c r="N98" s="141">
        <f t="shared" si="25"/>
        <v>4.4446320000000004</v>
      </c>
      <c r="O98" s="141">
        <f t="shared" si="25"/>
        <v>5.4123488000000002</v>
      </c>
      <c r="P98" s="141">
        <f t="shared" si="25"/>
        <v>6.3595917000000002</v>
      </c>
      <c r="Q98" s="141">
        <f t="shared" si="25"/>
        <v>7.4730299999999996</v>
      </c>
      <c r="R98" s="141">
        <f t="shared" si="25"/>
        <v>8.7838204999999991</v>
      </c>
      <c r="S98" s="141">
        <f t="shared" si="25"/>
        <v>10.0765455</v>
      </c>
      <c r="T98" s="141">
        <f t="shared" si="25"/>
        <v>11.941470000000001</v>
      </c>
      <c r="U98" s="141">
        <f t="shared" si="25"/>
        <v>14.180102</v>
      </c>
      <c r="V98" s="141">
        <f t="shared" si="25"/>
        <v>16.978411399999999</v>
      </c>
    </row>
    <row r="99" spans="1:22">
      <c r="A99" s="3" t="s">
        <v>130</v>
      </c>
      <c r="H99" s="141">
        <f t="shared" ref="H99:V99" si="26">H89*H78/10000000</f>
        <v>0</v>
      </c>
      <c r="I99" s="141">
        <f t="shared" si="26"/>
        <v>0</v>
      </c>
      <c r="J99" s="141">
        <f t="shared" si="26"/>
        <v>0</v>
      </c>
      <c r="K99" s="141">
        <f t="shared" si="26"/>
        <v>0.72</v>
      </c>
      <c r="L99" s="141">
        <f t="shared" si="26"/>
        <v>0.82079999999999997</v>
      </c>
      <c r="M99" s="141">
        <f t="shared" si="26"/>
        <v>1.143648</v>
      </c>
      <c r="N99" s="141">
        <f t="shared" si="26"/>
        <v>1.5408055000000001</v>
      </c>
      <c r="O99" s="141">
        <f t="shared" si="26"/>
        <v>1.7590131</v>
      </c>
      <c r="P99" s="141">
        <f t="shared" si="26"/>
        <v>2.1584066000000002</v>
      </c>
      <c r="Q99" s="141">
        <f t="shared" si="26"/>
        <v>2.4617040000000001</v>
      </c>
      <c r="R99" s="141">
        <f t="shared" si="26"/>
        <v>2.8108219999999999</v>
      </c>
      <c r="S99" s="141">
        <f t="shared" si="26"/>
        <v>3.4416150000000001</v>
      </c>
      <c r="T99" s="141">
        <f t="shared" si="26"/>
        <v>3.9804900000000001</v>
      </c>
      <c r="U99" s="141">
        <f t="shared" si="26"/>
        <v>4.5989519999999997</v>
      </c>
      <c r="V99" s="141">
        <f t="shared" si="26"/>
        <v>5.7190447999999998</v>
      </c>
    </row>
    <row r="101" spans="1:22">
      <c r="A101" s="20" t="s">
        <v>7</v>
      </c>
      <c r="H101" s="59">
        <f t="shared" ref="H101:V101" si="27">SUM(H92:H99)</f>
        <v>0</v>
      </c>
      <c r="I101" s="59">
        <f t="shared" si="27"/>
        <v>0</v>
      </c>
      <c r="J101" s="59">
        <f t="shared" si="27"/>
        <v>0</v>
      </c>
      <c r="K101" s="59">
        <f t="shared" si="27"/>
        <v>20.009999999999998</v>
      </c>
      <c r="L101" s="59">
        <f t="shared" si="27"/>
        <v>23.746199999999998</v>
      </c>
      <c r="M101" s="59">
        <f t="shared" si="27"/>
        <v>31.580279999999998</v>
      </c>
      <c r="N101" s="59">
        <f t="shared" si="27"/>
        <v>41.261000499999994</v>
      </c>
      <c r="O101" s="59">
        <f t="shared" si="27"/>
        <v>49.191390700000007</v>
      </c>
      <c r="P101" s="59">
        <f t="shared" si="27"/>
        <v>58.542154300000007</v>
      </c>
      <c r="Q101" s="59">
        <f t="shared" si="27"/>
        <v>66.963871199999986</v>
      </c>
      <c r="R101" s="59">
        <f t="shared" si="27"/>
        <v>78.402922700000005</v>
      </c>
      <c r="S101" s="59">
        <f t="shared" si="27"/>
        <v>91.946376399999977</v>
      </c>
      <c r="T101" s="59">
        <f t="shared" si="27"/>
        <v>106.8357058</v>
      </c>
      <c r="U101" s="59">
        <f t="shared" si="27"/>
        <v>122.91094039999999</v>
      </c>
      <c r="V101" s="59">
        <f t="shared" si="27"/>
        <v>145.83837510000001</v>
      </c>
    </row>
    <row r="103" spans="1:22">
      <c r="A103" s="3" t="s">
        <v>132</v>
      </c>
      <c r="H103" s="150">
        <v>0.15</v>
      </c>
      <c r="I103" s="150">
        <v>0.15</v>
      </c>
      <c r="J103" s="150">
        <v>0.15</v>
      </c>
      <c r="K103" s="150">
        <v>0.15</v>
      </c>
      <c r="L103" s="150">
        <v>0.15</v>
      </c>
      <c r="M103" s="150">
        <v>0.15</v>
      </c>
      <c r="N103" s="150">
        <v>0.15</v>
      </c>
      <c r="O103" s="150">
        <v>0.15</v>
      </c>
      <c r="P103" s="150">
        <v>0.15</v>
      </c>
      <c r="Q103" s="150">
        <v>0.15</v>
      </c>
      <c r="R103" s="150">
        <v>0.15</v>
      </c>
      <c r="S103" s="150">
        <v>0.15</v>
      </c>
      <c r="T103" s="150">
        <v>0.15</v>
      </c>
      <c r="U103" s="150">
        <v>0.15</v>
      </c>
      <c r="V103" s="150">
        <v>0.15</v>
      </c>
    </row>
    <row r="104" spans="1:22">
      <c r="A104" s="3" t="s">
        <v>133</v>
      </c>
      <c r="H104" s="151" t="e">
        <f xml:space="preserve"> REVENUE!N384-REVENUE!N302+REVENUE!N123</f>
        <v>#REF!</v>
      </c>
      <c r="I104" s="151" t="e">
        <f xml:space="preserve"> REVENUE!O384-REVENUE!O302+REVENUE!O123</f>
        <v>#REF!</v>
      </c>
      <c r="J104" s="151" t="e">
        <f xml:space="preserve"> REVENUE!P384-REVENUE!P302+REVENUE!P123</f>
        <v>#REF!</v>
      </c>
      <c r="K104" s="151" t="e">
        <f xml:space="preserve"> REVENUE!Q384-REVENUE!Q302+REVENUE!Q123</f>
        <v>#REF!</v>
      </c>
      <c r="L104" s="151" t="e">
        <f xml:space="preserve"> REVENUE!R384-REVENUE!R302+REVENUE!R123</f>
        <v>#REF!</v>
      </c>
      <c r="M104" s="151" t="e">
        <f xml:space="preserve"> REVENUE!S384-REVENUE!S302+REVENUE!S123</f>
        <v>#REF!</v>
      </c>
      <c r="N104" s="151" t="e">
        <f xml:space="preserve"> REVENUE!T384-REVENUE!T302+REVENUE!T123</f>
        <v>#REF!</v>
      </c>
      <c r="O104" s="151" t="e">
        <f xml:space="preserve"> REVENUE!U384-REVENUE!U302+REVENUE!U123</f>
        <v>#REF!</v>
      </c>
      <c r="P104" s="151" t="e">
        <f xml:space="preserve"> REVENUE!V384-REVENUE!V302+REVENUE!V123</f>
        <v>#REF!</v>
      </c>
      <c r="Q104" s="151" t="e">
        <f xml:space="preserve"> REVENUE!W384-REVENUE!W302+REVENUE!W123</f>
        <v>#REF!</v>
      </c>
      <c r="R104" s="151" t="e">
        <f xml:space="preserve"> REVENUE!X384-REVENUE!X302+REVENUE!X123</f>
        <v>#REF!</v>
      </c>
      <c r="S104" s="151" t="e">
        <f xml:space="preserve"> REVENUE!Y384-REVENUE!Y302+REVENUE!Y123</f>
        <v>#REF!</v>
      </c>
      <c r="T104" s="151" t="e">
        <f xml:space="preserve"> REVENUE!Z384-REVENUE!Z302+REVENUE!Z123</f>
        <v>#REF!</v>
      </c>
      <c r="U104" s="151" t="e">
        <f xml:space="preserve"> REVENUE!AA384-REVENUE!AA302+REVENUE!AA123</f>
        <v>#REF!</v>
      </c>
      <c r="V104" s="151" t="e">
        <f xml:space="preserve"> REVENUE!AB384-REVENUE!AB302+REVENUE!AB123</f>
        <v>#REF!</v>
      </c>
    </row>
    <row r="105" spans="1:22">
      <c r="A105" s="3" t="s">
        <v>134</v>
      </c>
      <c r="H105" s="151" t="e">
        <f t="shared" ref="H105:V105" si="28">H104*H103</f>
        <v>#REF!</v>
      </c>
      <c r="I105" s="151" t="e">
        <f t="shared" si="28"/>
        <v>#REF!</v>
      </c>
      <c r="J105" s="151" t="e">
        <f t="shared" si="28"/>
        <v>#REF!</v>
      </c>
      <c r="K105" s="151" t="e">
        <f t="shared" si="28"/>
        <v>#REF!</v>
      </c>
      <c r="L105" s="151" t="e">
        <f t="shared" si="28"/>
        <v>#REF!</v>
      </c>
      <c r="M105" s="151" t="e">
        <f t="shared" si="28"/>
        <v>#REF!</v>
      </c>
      <c r="N105" s="151" t="e">
        <f t="shared" si="28"/>
        <v>#REF!</v>
      </c>
      <c r="O105" s="151" t="e">
        <f t="shared" si="28"/>
        <v>#REF!</v>
      </c>
      <c r="P105" s="151" t="e">
        <f t="shared" si="28"/>
        <v>#REF!</v>
      </c>
      <c r="Q105" s="151" t="e">
        <f t="shared" si="28"/>
        <v>#REF!</v>
      </c>
      <c r="R105" s="151" t="e">
        <f t="shared" si="28"/>
        <v>#REF!</v>
      </c>
      <c r="S105" s="151" t="e">
        <f t="shared" si="28"/>
        <v>#REF!</v>
      </c>
      <c r="T105" s="151" t="e">
        <f t="shared" si="28"/>
        <v>#REF!</v>
      </c>
      <c r="U105" s="151" t="e">
        <f t="shared" si="28"/>
        <v>#REF!</v>
      </c>
      <c r="V105" s="151" t="e">
        <f t="shared" si="28"/>
        <v>#REF!</v>
      </c>
    </row>
    <row r="107" spans="1:22">
      <c r="A107" s="21" t="s">
        <v>136</v>
      </c>
      <c r="H107" s="151" t="e">
        <f t="shared" ref="H107:V107" si="29" xml:space="preserve"> SUM(H101, H105)</f>
        <v>#REF!</v>
      </c>
      <c r="I107" s="151" t="e">
        <f t="shared" si="29"/>
        <v>#REF!</v>
      </c>
      <c r="J107" s="151" t="e">
        <f t="shared" si="29"/>
        <v>#REF!</v>
      </c>
      <c r="K107" s="151" t="e">
        <f t="shared" si="29"/>
        <v>#REF!</v>
      </c>
      <c r="L107" s="151" t="e">
        <f t="shared" si="29"/>
        <v>#REF!</v>
      </c>
      <c r="M107" s="151" t="e">
        <f t="shared" si="29"/>
        <v>#REF!</v>
      </c>
      <c r="N107" s="151" t="e">
        <f t="shared" si="29"/>
        <v>#REF!</v>
      </c>
      <c r="O107" s="151" t="e">
        <f t="shared" si="29"/>
        <v>#REF!</v>
      </c>
      <c r="P107" s="151" t="e">
        <f t="shared" si="29"/>
        <v>#REF!</v>
      </c>
      <c r="Q107" s="151" t="e">
        <f t="shared" si="29"/>
        <v>#REF!</v>
      </c>
      <c r="R107" s="151" t="e">
        <f t="shared" si="29"/>
        <v>#REF!</v>
      </c>
      <c r="S107" s="151" t="e">
        <f t="shared" si="29"/>
        <v>#REF!</v>
      </c>
      <c r="T107" s="151" t="e">
        <f t="shared" si="29"/>
        <v>#REF!</v>
      </c>
      <c r="U107" s="151" t="e">
        <f t="shared" si="29"/>
        <v>#REF!</v>
      </c>
      <c r="V107" s="151" t="e">
        <f t="shared" si="29"/>
        <v>#REF!</v>
      </c>
    </row>
    <row r="109" spans="1:22" s="86" customFormat="1">
      <c r="A109" s="248" t="s">
        <v>138</v>
      </c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</row>
    <row r="111" spans="1:22">
      <c r="A111" s="3" t="s">
        <v>104</v>
      </c>
      <c r="B111" s="3"/>
      <c r="H111" s="143">
        <v>0</v>
      </c>
      <c r="I111" s="143">
        <v>0</v>
      </c>
      <c r="J111" s="143">
        <v>0</v>
      </c>
      <c r="K111" s="143">
        <v>25</v>
      </c>
      <c r="L111" s="143">
        <v>26</v>
      </c>
      <c r="M111" s="143">
        <v>31</v>
      </c>
      <c r="N111" s="143">
        <v>35</v>
      </c>
      <c r="O111" s="143">
        <v>37</v>
      </c>
      <c r="P111" s="143">
        <v>38</v>
      </c>
      <c r="Q111" s="143">
        <v>39</v>
      </c>
      <c r="R111" s="143">
        <v>40</v>
      </c>
      <c r="S111" s="143">
        <v>41</v>
      </c>
      <c r="T111" s="143">
        <v>41</v>
      </c>
      <c r="U111" s="143">
        <v>42</v>
      </c>
      <c r="V111" s="143">
        <v>43</v>
      </c>
    </row>
    <row r="112" spans="1:22">
      <c r="A112" s="3" t="s">
        <v>139</v>
      </c>
      <c r="B112" s="3"/>
      <c r="H112" s="143">
        <v>0</v>
      </c>
      <c r="I112" s="143">
        <v>0</v>
      </c>
      <c r="J112" s="143">
        <v>0</v>
      </c>
      <c r="K112" s="144">
        <v>1560000</v>
      </c>
      <c r="L112" s="144">
        <v>1778400</v>
      </c>
      <c r="M112" s="144">
        <v>2027376</v>
      </c>
      <c r="N112" s="144">
        <v>2311209</v>
      </c>
      <c r="O112" s="144">
        <v>2634778</v>
      </c>
      <c r="P112" s="144">
        <v>3003647</v>
      </c>
      <c r="Q112" s="144">
        <v>3424157</v>
      </c>
      <c r="R112" s="144">
        <v>3903539</v>
      </c>
      <c r="S112" s="144">
        <v>4450035</v>
      </c>
      <c r="T112" s="144">
        <v>5073040</v>
      </c>
      <c r="U112" s="144">
        <v>5783265</v>
      </c>
      <c r="V112" s="144">
        <v>6592922</v>
      </c>
    </row>
    <row r="113" spans="1:22">
      <c r="A113" s="3" t="s">
        <v>140</v>
      </c>
      <c r="B113" s="3"/>
      <c r="H113" s="141">
        <f t="shared" ref="H113:V113" si="30">H112*H111/10000000</f>
        <v>0</v>
      </c>
      <c r="I113" s="141">
        <f t="shared" si="30"/>
        <v>0</v>
      </c>
      <c r="J113" s="141">
        <f t="shared" si="30"/>
        <v>0</v>
      </c>
      <c r="K113" s="141">
        <f t="shared" si="30"/>
        <v>3.9</v>
      </c>
      <c r="L113" s="141">
        <f t="shared" si="30"/>
        <v>4.6238400000000004</v>
      </c>
      <c r="M113" s="141">
        <f t="shared" si="30"/>
        <v>6.2848655999999998</v>
      </c>
      <c r="N113" s="141">
        <f t="shared" si="30"/>
        <v>8.0892315000000004</v>
      </c>
      <c r="O113" s="141">
        <f t="shared" si="30"/>
        <v>9.7486785999999999</v>
      </c>
      <c r="P113" s="141">
        <f t="shared" si="30"/>
        <v>11.413858599999999</v>
      </c>
      <c r="Q113" s="141">
        <f t="shared" si="30"/>
        <v>13.3542123</v>
      </c>
      <c r="R113" s="141">
        <f t="shared" si="30"/>
        <v>15.614155999999999</v>
      </c>
      <c r="S113" s="141">
        <f t="shared" si="30"/>
        <v>18.245143500000001</v>
      </c>
      <c r="T113" s="141">
        <f t="shared" si="30"/>
        <v>20.799464</v>
      </c>
      <c r="U113" s="141">
        <f t="shared" si="30"/>
        <v>24.289712999999999</v>
      </c>
      <c r="V113" s="141">
        <f t="shared" si="30"/>
        <v>28.349564600000001</v>
      </c>
    </row>
    <row r="115" spans="1:22" s="86" customFormat="1">
      <c r="A115" s="248" t="s">
        <v>152</v>
      </c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</row>
    <row r="117" spans="1:22">
      <c r="A117" s="3" t="s">
        <v>141</v>
      </c>
      <c r="H117" s="59">
        <f>SUMPRODUCT(REVENUE!N31:N36,REVENUE!E21:E26)</f>
        <v>0</v>
      </c>
      <c r="I117" s="59">
        <f>SUMPRODUCT(REVENUE!O31:O36,REVENUE!E21:E26)</f>
        <v>0</v>
      </c>
      <c r="J117" s="59">
        <f>SUMPRODUCT(REVENUE!P31:P36,REVENUE!E21:E26)</f>
        <v>0</v>
      </c>
      <c r="K117" s="59">
        <f>SUMPRODUCT(REVENUE!Q31:Q36,REVENUE!E21:E26)</f>
        <v>66.833333333333329</v>
      </c>
      <c r="L117" s="59">
        <f>SUMPRODUCT(REVENUE!R31:R36,REVENUE!E21:E26)</f>
        <v>83.199999999999989</v>
      </c>
      <c r="M117" s="59">
        <f>SUMPRODUCT(REVENUE!S31:S36,REVENUE!E21:E26)</f>
        <v>110.33333333333333</v>
      </c>
      <c r="N117" s="59">
        <f>SUMPRODUCT(REVENUE!T31:T36,REVENUE!E21:E26)</f>
        <v>125.21666666666667</v>
      </c>
      <c r="O117" s="59">
        <f>SUMPRODUCT(REVENUE!U31:U36,REVENUE!E21:E26)</f>
        <v>145.28333333333336</v>
      </c>
      <c r="P117" s="59">
        <f>SUMPRODUCT(REVENUE!V31:V36,REVENUE!E21:E26)</f>
        <v>162.75</v>
      </c>
      <c r="Q117" s="59">
        <f>SUMPRODUCT(REVENUE!W31:W36,REVENUE!E21:E26)</f>
        <v>183.83333333333334</v>
      </c>
      <c r="R117" s="59">
        <f>SUMPRODUCT(REVENUE!X31:X36,REVENUE!E21:E26)</f>
        <v>205.73333333333338</v>
      </c>
      <c r="S117" s="59">
        <f>SUMPRODUCT(REVENUE!Y31:Y36,REVENUE!E21:E26)</f>
        <v>210.69999999999993</v>
      </c>
      <c r="T117" s="59">
        <f>SUMPRODUCT(REVENUE!Z31:Z36,REVENUE!E21:E26)</f>
        <v>213.8</v>
      </c>
      <c r="U117" s="59">
        <f>SUMPRODUCT(REVENUE!AA31:AA36,REVENUE!E21:E26)</f>
        <v>216.90000000000003</v>
      </c>
      <c r="V117" s="59">
        <f>SUMPRODUCT(REVENUE!AB31:AB36,REVENUE!E21:E26)</f>
        <v>219.58333333333334</v>
      </c>
    </row>
    <row r="118" spans="1:22">
      <c r="A118" s="3" t="s">
        <v>142</v>
      </c>
      <c r="H118" s="143">
        <v>0</v>
      </c>
      <c r="I118" s="143">
        <v>0</v>
      </c>
      <c r="J118" s="143">
        <v>0</v>
      </c>
      <c r="K118" s="143">
        <v>196</v>
      </c>
      <c r="L118" s="143">
        <v>231</v>
      </c>
      <c r="M118" s="143">
        <v>291</v>
      </c>
      <c r="N118" s="143">
        <v>348</v>
      </c>
      <c r="O118" s="143">
        <v>401</v>
      </c>
      <c r="P118" s="143">
        <v>425</v>
      </c>
      <c r="Q118" s="143">
        <v>447</v>
      </c>
      <c r="R118" s="143">
        <v>467</v>
      </c>
      <c r="S118" s="143">
        <v>464</v>
      </c>
      <c r="T118" s="143">
        <v>460</v>
      </c>
      <c r="U118" s="143">
        <v>455</v>
      </c>
      <c r="V118" s="143">
        <v>439</v>
      </c>
    </row>
    <row r="120" spans="1:22">
      <c r="A120" s="9" t="s">
        <v>105</v>
      </c>
    </row>
    <row r="121" spans="1:22">
      <c r="A121" s="3" t="s">
        <v>143</v>
      </c>
      <c r="H121" s="143">
        <v>0</v>
      </c>
      <c r="I121" s="143">
        <v>0</v>
      </c>
      <c r="J121" s="143">
        <v>0</v>
      </c>
      <c r="K121" s="143">
        <v>1</v>
      </c>
      <c r="L121" s="143">
        <v>1</v>
      </c>
      <c r="M121" s="143">
        <v>1</v>
      </c>
      <c r="N121" s="143">
        <v>1</v>
      </c>
      <c r="O121" s="143">
        <v>1</v>
      </c>
      <c r="P121" s="143">
        <v>1</v>
      </c>
      <c r="Q121" s="143">
        <v>1</v>
      </c>
      <c r="R121" s="143">
        <v>1</v>
      </c>
      <c r="S121" s="143">
        <v>1</v>
      </c>
      <c r="T121" s="143">
        <v>1</v>
      </c>
      <c r="U121" s="143">
        <v>1</v>
      </c>
      <c r="V121" s="143">
        <v>1</v>
      </c>
    </row>
    <row r="122" spans="1:22">
      <c r="A122" s="3" t="s">
        <v>144</v>
      </c>
      <c r="H122" s="143">
        <v>0</v>
      </c>
      <c r="I122" s="143">
        <v>0</v>
      </c>
      <c r="J122" s="143">
        <v>0</v>
      </c>
      <c r="K122" s="143">
        <v>1</v>
      </c>
      <c r="L122" s="143">
        <v>1</v>
      </c>
      <c r="M122" s="143">
        <v>2</v>
      </c>
      <c r="N122" s="143">
        <v>2</v>
      </c>
      <c r="O122" s="143">
        <v>2</v>
      </c>
      <c r="P122" s="143">
        <v>2</v>
      </c>
      <c r="Q122" s="143">
        <v>2</v>
      </c>
      <c r="R122" s="143">
        <v>2</v>
      </c>
      <c r="S122" s="143">
        <v>2</v>
      </c>
      <c r="T122" s="143">
        <v>2</v>
      </c>
      <c r="U122" s="143">
        <v>2</v>
      </c>
      <c r="V122" s="143">
        <v>2</v>
      </c>
    </row>
    <row r="123" spans="1:22">
      <c r="A123" s="3" t="s">
        <v>145</v>
      </c>
      <c r="H123" s="143">
        <v>0</v>
      </c>
      <c r="I123" s="143">
        <v>0</v>
      </c>
      <c r="J123" s="143">
        <v>0</v>
      </c>
      <c r="K123" s="143">
        <v>10</v>
      </c>
      <c r="L123" s="143">
        <v>12</v>
      </c>
      <c r="M123" s="143">
        <v>14</v>
      </c>
      <c r="N123" s="143">
        <v>15</v>
      </c>
      <c r="O123" s="143">
        <v>15</v>
      </c>
      <c r="P123" s="143">
        <v>16</v>
      </c>
      <c r="Q123" s="143">
        <v>16</v>
      </c>
      <c r="R123" s="143">
        <v>18</v>
      </c>
      <c r="S123" s="143">
        <v>18</v>
      </c>
      <c r="T123" s="143">
        <v>18</v>
      </c>
      <c r="U123" s="143">
        <v>18</v>
      </c>
      <c r="V123" s="143">
        <v>18</v>
      </c>
    </row>
    <row r="124" spans="1:22">
      <c r="A124" s="3" t="s">
        <v>146</v>
      </c>
      <c r="H124" s="143">
        <v>0</v>
      </c>
      <c r="I124" s="143">
        <v>0</v>
      </c>
      <c r="J124" s="143">
        <v>0</v>
      </c>
      <c r="K124" s="143">
        <v>8</v>
      </c>
      <c r="L124" s="143">
        <v>10</v>
      </c>
      <c r="M124" s="143">
        <v>12</v>
      </c>
      <c r="N124" s="143">
        <v>15</v>
      </c>
      <c r="O124" s="143">
        <v>18</v>
      </c>
      <c r="P124" s="143">
        <v>20</v>
      </c>
      <c r="Q124" s="143">
        <v>22</v>
      </c>
      <c r="R124" s="143">
        <v>25</v>
      </c>
      <c r="S124" s="143">
        <v>25</v>
      </c>
      <c r="T124" s="143">
        <v>25</v>
      </c>
      <c r="U124" s="143">
        <v>25</v>
      </c>
      <c r="V124" s="143">
        <v>25</v>
      </c>
    </row>
    <row r="125" spans="1:22">
      <c r="A125" s="3" t="s">
        <v>147</v>
      </c>
      <c r="H125" s="143">
        <v>0</v>
      </c>
      <c r="I125" s="143">
        <v>0</v>
      </c>
      <c r="J125" s="143">
        <v>0</v>
      </c>
      <c r="K125" s="143">
        <v>15</v>
      </c>
      <c r="L125" s="143">
        <v>20</v>
      </c>
      <c r="M125" s="143">
        <v>25</v>
      </c>
      <c r="N125" s="143">
        <v>30</v>
      </c>
      <c r="O125" s="143">
        <v>35</v>
      </c>
      <c r="P125" s="143">
        <v>40</v>
      </c>
      <c r="Q125" s="143">
        <v>45</v>
      </c>
      <c r="R125" s="143">
        <v>50</v>
      </c>
      <c r="S125" s="143">
        <v>47</v>
      </c>
      <c r="T125" s="143">
        <v>45</v>
      </c>
      <c r="U125" s="143">
        <v>45</v>
      </c>
      <c r="V125" s="143">
        <v>45</v>
      </c>
    </row>
    <row r="126" spans="1:22">
      <c r="A126" s="3" t="s">
        <v>148</v>
      </c>
      <c r="H126" s="143">
        <v>0</v>
      </c>
      <c r="I126" s="143">
        <v>0</v>
      </c>
      <c r="J126" s="143">
        <v>0</v>
      </c>
      <c r="K126" s="143">
        <v>140</v>
      </c>
      <c r="L126" s="143">
        <v>165</v>
      </c>
      <c r="M126" s="143">
        <v>210</v>
      </c>
      <c r="N126" s="143">
        <v>255</v>
      </c>
      <c r="O126" s="143">
        <v>295</v>
      </c>
      <c r="P126" s="143">
        <v>315</v>
      </c>
      <c r="Q126" s="143">
        <v>330</v>
      </c>
      <c r="R126" s="143">
        <v>345</v>
      </c>
      <c r="S126" s="143">
        <v>340</v>
      </c>
      <c r="T126" s="143">
        <v>338</v>
      </c>
      <c r="U126" s="143">
        <v>335</v>
      </c>
      <c r="V126" s="143">
        <v>330</v>
      </c>
    </row>
    <row r="127" spans="1:22">
      <c r="A127" s="3" t="s">
        <v>149</v>
      </c>
      <c r="H127" s="143">
        <v>0</v>
      </c>
      <c r="I127" s="143">
        <v>0</v>
      </c>
      <c r="J127" s="143">
        <v>0</v>
      </c>
      <c r="K127" s="143">
        <v>21</v>
      </c>
      <c r="L127" s="143">
        <v>22</v>
      </c>
      <c r="M127" s="143">
        <v>27</v>
      </c>
      <c r="N127" s="143">
        <v>30</v>
      </c>
      <c r="O127" s="143">
        <v>35</v>
      </c>
      <c r="P127" s="143">
        <v>31</v>
      </c>
      <c r="Q127" s="143">
        <v>31</v>
      </c>
      <c r="R127" s="143">
        <v>26</v>
      </c>
      <c r="S127" s="143">
        <v>31</v>
      </c>
      <c r="T127" s="143">
        <v>31</v>
      </c>
      <c r="U127" s="143">
        <v>29</v>
      </c>
      <c r="V127" s="143">
        <v>18</v>
      </c>
    </row>
    <row r="129" spans="1:22">
      <c r="A129" s="9" t="s">
        <v>150</v>
      </c>
    </row>
    <row r="130" spans="1:22">
      <c r="A130" s="3" t="s">
        <v>143</v>
      </c>
      <c r="H130" s="141">
        <v>0</v>
      </c>
      <c r="I130" s="141">
        <v>0</v>
      </c>
      <c r="J130" s="141">
        <v>0</v>
      </c>
      <c r="K130" s="143">
        <v>0.1</v>
      </c>
      <c r="L130" s="143">
        <v>0.11</v>
      </c>
      <c r="M130" s="143">
        <v>0.13</v>
      </c>
      <c r="N130" s="143">
        <v>0.15</v>
      </c>
      <c r="O130" s="143">
        <v>0.17</v>
      </c>
      <c r="P130" s="143">
        <v>0.19</v>
      </c>
      <c r="Q130" s="143">
        <v>0.22</v>
      </c>
      <c r="R130" s="143">
        <v>0.25</v>
      </c>
      <c r="S130" s="143">
        <v>0.28999999999999998</v>
      </c>
      <c r="T130" s="143">
        <v>0.33</v>
      </c>
      <c r="U130" s="143">
        <v>0.37</v>
      </c>
      <c r="V130" s="143">
        <v>0.42</v>
      </c>
    </row>
    <row r="131" spans="1:22">
      <c r="A131" s="3" t="s">
        <v>144</v>
      </c>
      <c r="H131" s="141">
        <v>0</v>
      </c>
      <c r="I131" s="141">
        <v>0</v>
      </c>
      <c r="J131" s="141">
        <v>0</v>
      </c>
      <c r="K131" s="143">
        <v>0.09</v>
      </c>
      <c r="L131" s="143">
        <v>0.1</v>
      </c>
      <c r="M131" s="143">
        <v>0.12</v>
      </c>
      <c r="N131" s="143">
        <v>0.13</v>
      </c>
      <c r="O131" s="143">
        <v>0.15</v>
      </c>
      <c r="P131" s="143">
        <v>0.17</v>
      </c>
      <c r="Q131" s="143">
        <v>0.2</v>
      </c>
      <c r="R131" s="143">
        <v>0.23</v>
      </c>
      <c r="S131" s="143">
        <v>0.26</v>
      </c>
      <c r="T131" s="143">
        <v>0.28999999999999998</v>
      </c>
      <c r="U131" s="143">
        <v>0.33</v>
      </c>
      <c r="V131" s="143">
        <v>0.38</v>
      </c>
    </row>
    <row r="132" spans="1:22">
      <c r="A132" s="3" t="s">
        <v>145</v>
      </c>
      <c r="H132" s="141">
        <v>0</v>
      </c>
      <c r="I132" s="141">
        <v>0</v>
      </c>
      <c r="J132" s="141">
        <v>0</v>
      </c>
      <c r="K132" s="143">
        <v>0.08</v>
      </c>
      <c r="L132" s="143">
        <v>0.09</v>
      </c>
      <c r="M132" s="143">
        <v>0.1</v>
      </c>
      <c r="N132" s="143">
        <v>0.12</v>
      </c>
      <c r="O132" s="143">
        <v>0.13</v>
      </c>
      <c r="P132" s="143">
        <v>0.15</v>
      </c>
      <c r="Q132" s="143">
        <v>0.17</v>
      </c>
      <c r="R132" s="143">
        <v>0.2</v>
      </c>
      <c r="S132" s="143">
        <v>0.23</v>
      </c>
      <c r="T132" s="143">
        <v>0.26</v>
      </c>
      <c r="U132" s="143">
        <v>0.3</v>
      </c>
      <c r="V132" s="143">
        <v>0.34</v>
      </c>
    </row>
    <row r="133" spans="1:22">
      <c r="A133" s="3" t="s">
        <v>146</v>
      </c>
      <c r="H133" s="141">
        <v>0</v>
      </c>
      <c r="I133" s="141">
        <v>0</v>
      </c>
      <c r="J133" s="141">
        <v>0</v>
      </c>
      <c r="K133" s="143">
        <v>0.1</v>
      </c>
      <c r="L133" s="143">
        <v>0.11</v>
      </c>
      <c r="M133" s="143">
        <v>0.12</v>
      </c>
      <c r="N133" s="143">
        <v>0.14000000000000001</v>
      </c>
      <c r="O133" s="143">
        <v>0.16</v>
      </c>
      <c r="P133" s="143">
        <v>0.18</v>
      </c>
      <c r="Q133" s="143">
        <v>0.21</v>
      </c>
      <c r="R133" s="143">
        <v>0.24</v>
      </c>
      <c r="S133" s="143">
        <v>0.27</v>
      </c>
      <c r="T133" s="143">
        <v>0.31</v>
      </c>
      <c r="U133" s="143">
        <v>0.35</v>
      </c>
      <c r="V133" s="143">
        <v>0.4</v>
      </c>
    </row>
    <row r="134" spans="1:22">
      <c r="A134" s="3" t="s">
        <v>147</v>
      </c>
      <c r="H134" s="141">
        <v>0</v>
      </c>
      <c r="I134" s="141">
        <v>0</v>
      </c>
      <c r="J134" s="141">
        <v>0</v>
      </c>
      <c r="K134" s="143">
        <v>0.09</v>
      </c>
      <c r="L134" s="143">
        <v>0.1</v>
      </c>
      <c r="M134" s="143">
        <v>0.12</v>
      </c>
      <c r="N134" s="143">
        <v>0.13</v>
      </c>
      <c r="O134" s="143">
        <v>0.15</v>
      </c>
      <c r="P134" s="143">
        <v>0.17</v>
      </c>
      <c r="Q134" s="143">
        <v>0.2</v>
      </c>
      <c r="R134" s="143">
        <v>0.23</v>
      </c>
      <c r="S134" s="143">
        <v>0.26</v>
      </c>
      <c r="T134" s="143">
        <v>0.28999999999999998</v>
      </c>
      <c r="U134" s="143">
        <v>0.33</v>
      </c>
      <c r="V134" s="143">
        <v>0.38</v>
      </c>
    </row>
    <row r="135" spans="1:22">
      <c r="A135" s="3" t="s">
        <v>148</v>
      </c>
      <c r="H135" s="141">
        <v>0</v>
      </c>
      <c r="I135" s="141">
        <v>0</v>
      </c>
      <c r="J135" s="141">
        <v>0</v>
      </c>
      <c r="K135" s="143">
        <v>0.04</v>
      </c>
      <c r="L135" s="143">
        <v>0.05</v>
      </c>
      <c r="M135" s="143">
        <v>0.06</v>
      </c>
      <c r="N135" s="143">
        <v>7.0000000000000007E-2</v>
      </c>
      <c r="O135" s="143">
        <v>0.08</v>
      </c>
      <c r="P135" s="143">
        <v>0.09</v>
      </c>
      <c r="Q135" s="143">
        <v>0.1</v>
      </c>
      <c r="R135" s="143">
        <v>0.11</v>
      </c>
      <c r="S135" s="143">
        <v>0.13</v>
      </c>
      <c r="T135" s="143">
        <v>0.15</v>
      </c>
      <c r="U135" s="143">
        <v>0.17</v>
      </c>
      <c r="V135" s="143">
        <v>0.19</v>
      </c>
    </row>
    <row r="136" spans="1:22">
      <c r="A136" s="3" t="s">
        <v>149</v>
      </c>
      <c r="H136" s="141">
        <v>0</v>
      </c>
      <c r="I136" s="141">
        <v>0</v>
      </c>
      <c r="J136" s="141">
        <v>0</v>
      </c>
      <c r="K136" s="143">
        <v>0.03</v>
      </c>
      <c r="L136" s="143">
        <v>0.03</v>
      </c>
      <c r="M136" s="143">
        <v>0.04</v>
      </c>
      <c r="N136" s="143">
        <v>0.04</v>
      </c>
      <c r="O136" s="143">
        <v>0.05</v>
      </c>
      <c r="P136" s="143">
        <v>0.05</v>
      </c>
      <c r="Q136" s="143">
        <v>0.06</v>
      </c>
      <c r="R136" s="143">
        <v>7.0000000000000007E-2</v>
      </c>
      <c r="S136" s="143">
        <v>0.08</v>
      </c>
      <c r="T136" s="143">
        <v>0.09</v>
      </c>
      <c r="U136" s="143">
        <v>0.1</v>
      </c>
      <c r="V136" s="143">
        <v>0.12</v>
      </c>
    </row>
    <row r="138" spans="1:22">
      <c r="A138" s="247" t="s">
        <v>641</v>
      </c>
      <c r="B138" s="247"/>
    </row>
    <row r="139" spans="1:22">
      <c r="A139" s="3" t="s">
        <v>143</v>
      </c>
      <c r="B139" s="3"/>
      <c r="H139" s="141">
        <f t="shared" ref="H139:V139" si="31">H130*H121</f>
        <v>0</v>
      </c>
      <c r="I139" s="141">
        <f t="shared" si="31"/>
        <v>0</v>
      </c>
      <c r="J139" s="141">
        <f t="shared" si="31"/>
        <v>0</v>
      </c>
      <c r="K139" s="141">
        <f t="shared" si="31"/>
        <v>0.1</v>
      </c>
      <c r="L139" s="141">
        <f t="shared" si="31"/>
        <v>0.11</v>
      </c>
      <c r="M139" s="141">
        <f t="shared" si="31"/>
        <v>0.13</v>
      </c>
      <c r="N139" s="141">
        <f t="shared" si="31"/>
        <v>0.15</v>
      </c>
      <c r="O139" s="141">
        <f t="shared" si="31"/>
        <v>0.17</v>
      </c>
      <c r="P139" s="141">
        <f t="shared" si="31"/>
        <v>0.19</v>
      </c>
      <c r="Q139" s="141">
        <f t="shared" si="31"/>
        <v>0.22</v>
      </c>
      <c r="R139" s="141">
        <f t="shared" si="31"/>
        <v>0.25</v>
      </c>
      <c r="S139" s="141">
        <f t="shared" si="31"/>
        <v>0.28999999999999998</v>
      </c>
      <c r="T139" s="141">
        <f t="shared" si="31"/>
        <v>0.33</v>
      </c>
      <c r="U139" s="141">
        <f t="shared" si="31"/>
        <v>0.37</v>
      </c>
      <c r="V139" s="141">
        <f t="shared" si="31"/>
        <v>0.42</v>
      </c>
    </row>
    <row r="140" spans="1:22">
      <c r="A140" s="3" t="s">
        <v>144</v>
      </c>
      <c r="B140" s="3"/>
      <c r="H140" s="141">
        <f t="shared" ref="H140:V140" si="32">H131*H122</f>
        <v>0</v>
      </c>
      <c r="I140" s="141">
        <f t="shared" si="32"/>
        <v>0</v>
      </c>
      <c r="J140" s="141">
        <f t="shared" si="32"/>
        <v>0</v>
      </c>
      <c r="K140" s="141">
        <f t="shared" si="32"/>
        <v>0.09</v>
      </c>
      <c r="L140" s="141">
        <f t="shared" si="32"/>
        <v>0.1</v>
      </c>
      <c r="M140" s="141">
        <f t="shared" si="32"/>
        <v>0.24</v>
      </c>
      <c r="N140" s="141">
        <f t="shared" si="32"/>
        <v>0.26</v>
      </c>
      <c r="O140" s="141">
        <f t="shared" si="32"/>
        <v>0.3</v>
      </c>
      <c r="P140" s="141">
        <f t="shared" si="32"/>
        <v>0.34</v>
      </c>
      <c r="Q140" s="141">
        <f t="shared" si="32"/>
        <v>0.4</v>
      </c>
      <c r="R140" s="141">
        <f t="shared" si="32"/>
        <v>0.46</v>
      </c>
      <c r="S140" s="141">
        <f t="shared" si="32"/>
        <v>0.52</v>
      </c>
      <c r="T140" s="141">
        <f t="shared" si="32"/>
        <v>0.57999999999999996</v>
      </c>
      <c r="U140" s="141">
        <f t="shared" si="32"/>
        <v>0.66</v>
      </c>
      <c r="V140" s="141">
        <f t="shared" si="32"/>
        <v>0.76</v>
      </c>
    </row>
    <row r="141" spans="1:22">
      <c r="A141" s="3" t="s">
        <v>145</v>
      </c>
      <c r="B141" s="3"/>
      <c r="H141" s="141">
        <f t="shared" ref="H141:V141" si="33">H132*H123</f>
        <v>0</v>
      </c>
      <c r="I141" s="141">
        <f t="shared" si="33"/>
        <v>0</v>
      </c>
      <c r="J141" s="141">
        <f t="shared" si="33"/>
        <v>0</v>
      </c>
      <c r="K141" s="141">
        <f t="shared" si="33"/>
        <v>0.8</v>
      </c>
      <c r="L141" s="141">
        <f t="shared" si="33"/>
        <v>1.08</v>
      </c>
      <c r="M141" s="141">
        <f t="shared" si="33"/>
        <v>1.4000000000000001</v>
      </c>
      <c r="N141" s="141">
        <f t="shared" si="33"/>
        <v>1.7999999999999998</v>
      </c>
      <c r="O141" s="141">
        <f t="shared" si="33"/>
        <v>1.9500000000000002</v>
      </c>
      <c r="P141" s="141">
        <f t="shared" si="33"/>
        <v>2.4</v>
      </c>
      <c r="Q141" s="141">
        <f t="shared" si="33"/>
        <v>2.72</v>
      </c>
      <c r="R141" s="141">
        <f t="shared" si="33"/>
        <v>3.6</v>
      </c>
      <c r="S141" s="141">
        <f t="shared" si="33"/>
        <v>4.1400000000000006</v>
      </c>
      <c r="T141" s="141">
        <f t="shared" si="33"/>
        <v>4.68</v>
      </c>
      <c r="U141" s="141">
        <f t="shared" si="33"/>
        <v>5.3999999999999995</v>
      </c>
      <c r="V141" s="141">
        <f t="shared" si="33"/>
        <v>6.12</v>
      </c>
    </row>
    <row r="142" spans="1:22">
      <c r="A142" s="3" t="s">
        <v>146</v>
      </c>
      <c r="B142" s="3"/>
      <c r="H142" s="141">
        <f t="shared" ref="H142:V142" si="34">H133*H124</f>
        <v>0</v>
      </c>
      <c r="I142" s="141">
        <f t="shared" si="34"/>
        <v>0</v>
      </c>
      <c r="J142" s="141">
        <f t="shared" si="34"/>
        <v>0</v>
      </c>
      <c r="K142" s="141">
        <f t="shared" si="34"/>
        <v>0.8</v>
      </c>
      <c r="L142" s="141">
        <f t="shared" si="34"/>
        <v>1.1000000000000001</v>
      </c>
      <c r="M142" s="141">
        <f t="shared" si="34"/>
        <v>1.44</v>
      </c>
      <c r="N142" s="141">
        <f t="shared" si="34"/>
        <v>2.1</v>
      </c>
      <c r="O142" s="141">
        <f t="shared" si="34"/>
        <v>2.88</v>
      </c>
      <c r="P142" s="141">
        <f t="shared" si="34"/>
        <v>3.5999999999999996</v>
      </c>
      <c r="Q142" s="141">
        <f t="shared" si="34"/>
        <v>4.62</v>
      </c>
      <c r="R142" s="141">
        <f t="shared" si="34"/>
        <v>6</v>
      </c>
      <c r="S142" s="141">
        <f t="shared" si="34"/>
        <v>6.75</v>
      </c>
      <c r="T142" s="141">
        <f t="shared" si="34"/>
        <v>7.75</v>
      </c>
      <c r="U142" s="141">
        <f t="shared" si="34"/>
        <v>8.75</v>
      </c>
      <c r="V142" s="141">
        <f t="shared" si="34"/>
        <v>10</v>
      </c>
    </row>
    <row r="143" spans="1:22">
      <c r="A143" s="3" t="s">
        <v>147</v>
      </c>
      <c r="B143" s="3"/>
      <c r="H143" s="141">
        <f t="shared" ref="H143:V143" si="35">H134*H125</f>
        <v>0</v>
      </c>
      <c r="I143" s="141">
        <f t="shared" si="35"/>
        <v>0</v>
      </c>
      <c r="J143" s="141">
        <f t="shared" si="35"/>
        <v>0</v>
      </c>
      <c r="K143" s="141">
        <f t="shared" si="35"/>
        <v>1.3499999999999999</v>
      </c>
      <c r="L143" s="141">
        <f t="shared" si="35"/>
        <v>2</v>
      </c>
      <c r="M143" s="141">
        <f t="shared" si="35"/>
        <v>3</v>
      </c>
      <c r="N143" s="141">
        <f t="shared" si="35"/>
        <v>3.9000000000000004</v>
      </c>
      <c r="O143" s="141">
        <f t="shared" si="35"/>
        <v>5.25</v>
      </c>
      <c r="P143" s="141">
        <f t="shared" si="35"/>
        <v>6.8000000000000007</v>
      </c>
      <c r="Q143" s="141">
        <f t="shared" si="35"/>
        <v>9</v>
      </c>
      <c r="R143" s="141">
        <f t="shared" si="35"/>
        <v>11.5</v>
      </c>
      <c r="S143" s="141">
        <f t="shared" si="35"/>
        <v>12.22</v>
      </c>
      <c r="T143" s="141">
        <f t="shared" si="35"/>
        <v>13.049999999999999</v>
      </c>
      <c r="U143" s="141">
        <f t="shared" si="35"/>
        <v>14.850000000000001</v>
      </c>
      <c r="V143" s="141">
        <f t="shared" si="35"/>
        <v>17.100000000000001</v>
      </c>
    </row>
    <row r="144" spans="1:22">
      <c r="A144" s="3" t="s">
        <v>148</v>
      </c>
      <c r="B144" s="3"/>
      <c r="H144" s="141">
        <f t="shared" ref="H144:V144" si="36">H135*H126</f>
        <v>0</v>
      </c>
      <c r="I144" s="141">
        <f t="shared" si="36"/>
        <v>0</v>
      </c>
      <c r="J144" s="141">
        <f t="shared" si="36"/>
        <v>0</v>
      </c>
      <c r="K144" s="141">
        <f t="shared" si="36"/>
        <v>5.6000000000000005</v>
      </c>
      <c r="L144" s="141">
        <f t="shared" si="36"/>
        <v>8.25</v>
      </c>
      <c r="M144" s="141">
        <f t="shared" si="36"/>
        <v>12.6</v>
      </c>
      <c r="N144" s="141">
        <f t="shared" si="36"/>
        <v>17.850000000000001</v>
      </c>
      <c r="O144" s="141">
        <f t="shared" si="36"/>
        <v>23.6</v>
      </c>
      <c r="P144" s="141">
        <f t="shared" si="36"/>
        <v>28.349999999999998</v>
      </c>
      <c r="Q144" s="141">
        <f t="shared" si="36"/>
        <v>33</v>
      </c>
      <c r="R144" s="141">
        <f t="shared" si="36"/>
        <v>37.950000000000003</v>
      </c>
      <c r="S144" s="141">
        <f t="shared" si="36"/>
        <v>44.2</v>
      </c>
      <c r="T144" s="141">
        <f t="shared" si="36"/>
        <v>50.699999999999996</v>
      </c>
      <c r="U144" s="141">
        <f t="shared" si="36"/>
        <v>56.95</v>
      </c>
      <c r="V144" s="141">
        <f t="shared" si="36"/>
        <v>62.7</v>
      </c>
    </row>
    <row r="145" spans="1:22">
      <c r="A145" s="3" t="s">
        <v>149</v>
      </c>
      <c r="B145" s="3"/>
      <c r="H145" s="141">
        <f t="shared" ref="H145:V145" si="37">H136*H127</f>
        <v>0</v>
      </c>
      <c r="I145" s="141">
        <f t="shared" si="37"/>
        <v>0</v>
      </c>
      <c r="J145" s="141">
        <f t="shared" si="37"/>
        <v>0</v>
      </c>
      <c r="K145" s="141">
        <f t="shared" si="37"/>
        <v>0.63</v>
      </c>
      <c r="L145" s="141">
        <f t="shared" si="37"/>
        <v>0.65999999999999992</v>
      </c>
      <c r="M145" s="141">
        <f t="shared" si="37"/>
        <v>1.08</v>
      </c>
      <c r="N145" s="141">
        <f t="shared" si="37"/>
        <v>1.2</v>
      </c>
      <c r="O145" s="141">
        <f t="shared" si="37"/>
        <v>1.75</v>
      </c>
      <c r="P145" s="141">
        <f t="shared" si="37"/>
        <v>1.55</v>
      </c>
      <c r="Q145" s="141">
        <f t="shared" si="37"/>
        <v>1.8599999999999999</v>
      </c>
      <c r="R145" s="141">
        <f t="shared" si="37"/>
        <v>1.8200000000000003</v>
      </c>
      <c r="S145" s="141">
        <f t="shared" si="37"/>
        <v>2.48</v>
      </c>
      <c r="T145" s="141">
        <f t="shared" si="37"/>
        <v>2.79</v>
      </c>
      <c r="U145" s="141">
        <f t="shared" si="37"/>
        <v>2.9000000000000004</v>
      </c>
      <c r="V145" s="141">
        <f t="shared" si="37"/>
        <v>2.16</v>
      </c>
    </row>
    <row r="147" spans="1:22">
      <c r="A147" s="20" t="s">
        <v>151</v>
      </c>
      <c r="B147" s="14"/>
      <c r="H147" s="141">
        <f t="shared" ref="H147:V147" si="38">SUM(H139:H145)</f>
        <v>0</v>
      </c>
      <c r="I147" s="141">
        <f t="shared" si="38"/>
        <v>0</v>
      </c>
      <c r="J147" s="141">
        <f t="shared" si="38"/>
        <v>0</v>
      </c>
      <c r="K147" s="141">
        <f t="shared" si="38"/>
        <v>9.370000000000001</v>
      </c>
      <c r="L147" s="141">
        <f t="shared" si="38"/>
        <v>13.3</v>
      </c>
      <c r="M147" s="141">
        <f t="shared" si="38"/>
        <v>19.89</v>
      </c>
      <c r="N147" s="141">
        <f t="shared" si="38"/>
        <v>27.26</v>
      </c>
      <c r="O147" s="141">
        <f t="shared" si="38"/>
        <v>35.900000000000006</v>
      </c>
      <c r="P147" s="141">
        <f t="shared" si="38"/>
        <v>43.23</v>
      </c>
      <c r="Q147" s="141">
        <f t="shared" si="38"/>
        <v>51.82</v>
      </c>
      <c r="R147" s="141">
        <f t="shared" si="38"/>
        <v>61.580000000000005</v>
      </c>
      <c r="S147" s="141">
        <f t="shared" si="38"/>
        <v>70.600000000000009</v>
      </c>
      <c r="T147" s="141">
        <f t="shared" si="38"/>
        <v>79.88000000000001</v>
      </c>
      <c r="U147" s="141">
        <f t="shared" si="38"/>
        <v>89.88000000000001</v>
      </c>
      <c r="V147" s="141">
        <f t="shared" si="38"/>
        <v>99.26</v>
      </c>
    </row>
    <row r="150" spans="1:22" s="86" customFormat="1">
      <c r="A150" s="248" t="s">
        <v>153</v>
      </c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</row>
    <row r="152" spans="1:22">
      <c r="A152" s="9" t="s">
        <v>141</v>
      </c>
      <c r="H152" s="59">
        <f>SUMPRODUCT(REVENUE!N31:N36,REVENUE!E21:E26)</f>
        <v>0</v>
      </c>
      <c r="I152" s="59">
        <f>SUMPRODUCT(REVENUE!O31:O36,REVENUE!E21:E26)</f>
        <v>0</v>
      </c>
      <c r="J152" s="59">
        <f>SUMPRODUCT(REVENUE!P31:P36,REVENUE!E21:E26)</f>
        <v>0</v>
      </c>
      <c r="K152" s="59">
        <f>SUMPRODUCT(REVENUE!Q31:Q36,REVENUE!E21:E26)</f>
        <v>66.833333333333329</v>
      </c>
      <c r="L152" s="59">
        <f>SUMPRODUCT(REVENUE!R31:R36,REVENUE!E21:E26)</f>
        <v>83.199999999999989</v>
      </c>
      <c r="M152" s="59">
        <f>SUMPRODUCT(REVENUE!S31:S36,REVENUE!E21:E26)</f>
        <v>110.33333333333333</v>
      </c>
      <c r="N152" s="59">
        <f>SUMPRODUCT(REVENUE!T31:T36,REVENUE!E21:E26)</f>
        <v>125.21666666666667</v>
      </c>
      <c r="O152" s="59">
        <f>SUMPRODUCT(REVENUE!U31:U36,REVENUE!E21:E26)</f>
        <v>145.28333333333336</v>
      </c>
      <c r="P152" s="59">
        <f>SUMPRODUCT(REVENUE!V31:V36,REVENUE!E21:E26)</f>
        <v>162.75</v>
      </c>
      <c r="Q152" s="59">
        <f>SUMPRODUCT(REVENUE!W31:W36,REVENUE!E21:E26)</f>
        <v>183.83333333333334</v>
      </c>
      <c r="R152" s="59">
        <f>SUMPRODUCT(REVENUE!X31:X36,REVENUE!E21:E26)</f>
        <v>205.73333333333338</v>
      </c>
      <c r="S152" s="59">
        <f>SUMPRODUCT(REVENUE!Y31:Y36,REVENUE!E21:E26)</f>
        <v>210.69999999999993</v>
      </c>
      <c r="T152">
        <f>SUMPRODUCT(REVENUE!Z31:Z36,REVENUE!E21:E26)</f>
        <v>213.8</v>
      </c>
      <c r="U152">
        <f>SUMPRODUCT(REVENUE!AA31:AA36,REVENUE!E21:E26)</f>
        <v>216.90000000000003</v>
      </c>
      <c r="V152">
        <f>SUMPRODUCT(REVENUE!AB31:AB36,REVENUE!E21:E26)</f>
        <v>219.58333333333334</v>
      </c>
    </row>
    <row r="153" spans="1:22">
      <c r="A153" s="3" t="s">
        <v>154</v>
      </c>
      <c r="H153" s="59" t="e">
        <f>H152/REVENUE!E27</f>
        <v>#DIV/0!</v>
      </c>
      <c r="I153" s="59" t="e">
        <f>I152/REVENUE!E27</f>
        <v>#DIV/0!</v>
      </c>
      <c r="J153" s="59" t="e">
        <f>J152/REVENUE!E27</f>
        <v>#DIV/0!</v>
      </c>
      <c r="K153" s="59" t="e">
        <f>K152/REVENUE!E27</f>
        <v>#DIV/0!</v>
      </c>
      <c r="L153" s="59" t="e">
        <f>L152/REVENUE!E27</f>
        <v>#DIV/0!</v>
      </c>
      <c r="M153" s="59" t="e">
        <f>M152/REVENUE!E27</f>
        <v>#DIV/0!</v>
      </c>
      <c r="N153" s="59" t="e">
        <f>N152/REVENUE!E27</f>
        <v>#DIV/0!</v>
      </c>
      <c r="O153" s="59" t="e">
        <f>O152/REVENUE!E27</f>
        <v>#DIV/0!</v>
      </c>
      <c r="P153" s="59" t="e">
        <f>P152/REVENUE!E27</f>
        <v>#DIV/0!</v>
      </c>
      <c r="Q153" s="59" t="e">
        <f>Q152/REVENUE!E27</f>
        <v>#DIV/0!</v>
      </c>
      <c r="R153" s="59" t="e">
        <f>R152/REVENUE!E27</f>
        <v>#DIV/0!</v>
      </c>
      <c r="S153" s="59" t="e">
        <f>S152/REVENUE!E27</f>
        <v>#DIV/0!</v>
      </c>
      <c r="T153" t="e">
        <f>T152/REVENUE!E27</f>
        <v>#DIV/0!</v>
      </c>
      <c r="U153" t="e">
        <f>U152/REVENUE!E27</f>
        <v>#DIV/0!</v>
      </c>
      <c r="V153" t="e">
        <f>V152/REVENUE!E27</f>
        <v>#DIV/0!</v>
      </c>
    </row>
    <row r="155" spans="1:22">
      <c r="A155" s="9" t="s">
        <v>106</v>
      </c>
    </row>
    <row r="156" spans="1:22">
      <c r="A156" s="3" t="s">
        <v>155</v>
      </c>
      <c r="H156" s="143">
        <v>0</v>
      </c>
      <c r="I156" s="143">
        <v>0</v>
      </c>
      <c r="J156" s="143">
        <v>0</v>
      </c>
      <c r="K156" s="143">
        <v>1</v>
      </c>
      <c r="L156" s="143">
        <v>1</v>
      </c>
      <c r="M156" s="143">
        <v>1</v>
      </c>
      <c r="N156" s="143">
        <v>1</v>
      </c>
      <c r="O156" s="143">
        <v>1</v>
      </c>
      <c r="P156" s="143">
        <v>1</v>
      </c>
      <c r="Q156" s="143">
        <v>1</v>
      </c>
      <c r="R156" s="143">
        <v>1</v>
      </c>
      <c r="S156" s="143">
        <v>1</v>
      </c>
      <c r="T156" s="143">
        <v>1</v>
      </c>
      <c r="U156" s="143">
        <v>1</v>
      </c>
      <c r="V156" s="143">
        <v>1</v>
      </c>
    </row>
    <row r="157" spans="1:22">
      <c r="A157" s="3" t="s">
        <v>156</v>
      </c>
      <c r="H157" s="143">
        <v>0</v>
      </c>
      <c r="I157" s="143">
        <v>0</v>
      </c>
      <c r="J157" s="143">
        <v>0</v>
      </c>
      <c r="K157" s="143">
        <v>2</v>
      </c>
      <c r="L157" s="143">
        <v>2</v>
      </c>
      <c r="M157" s="143">
        <v>3</v>
      </c>
      <c r="N157" s="143">
        <v>3</v>
      </c>
      <c r="O157" s="143">
        <v>4</v>
      </c>
      <c r="P157" s="143">
        <v>4</v>
      </c>
      <c r="Q157" s="143">
        <v>4</v>
      </c>
      <c r="R157" s="143">
        <v>5</v>
      </c>
      <c r="S157" s="143">
        <v>5</v>
      </c>
      <c r="T157" s="143">
        <v>5</v>
      </c>
      <c r="U157" s="143">
        <v>5</v>
      </c>
      <c r="V157" s="143">
        <v>5</v>
      </c>
    </row>
    <row r="158" spans="1:22">
      <c r="A158" s="3" t="s">
        <v>157</v>
      </c>
      <c r="H158" s="143">
        <v>0</v>
      </c>
      <c r="I158" s="143">
        <v>0</v>
      </c>
      <c r="J158" s="143">
        <v>0</v>
      </c>
      <c r="K158" s="143">
        <v>3</v>
      </c>
      <c r="L158" s="143">
        <v>4</v>
      </c>
      <c r="M158" s="143">
        <v>5</v>
      </c>
      <c r="N158" s="143">
        <v>6</v>
      </c>
      <c r="O158" s="143">
        <v>7</v>
      </c>
      <c r="P158" s="143">
        <v>7</v>
      </c>
      <c r="Q158" s="143">
        <v>8</v>
      </c>
      <c r="R158" s="143">
        <v>8</v>
      </c>
      <c r="S158" s="143">
        <v>8</v>
      </c>
      <c r="T158" s="143">
        <v>8</v>
      </c>
      <c r="U158" s="143">
        <v>8</v>
      </c>
      <c r="V158" s="143">
        <v>8</v>
      </c>
    </row>
    <row r="159" spans="1:22">
      <c r="A159" s="3" t="s">
        <v>158</v>
      </c>
      <c r="H159" s="143">
        <v>0</v>
      </c>
      <c r="I159" s="143">
        <v>0</v>
      </c>
      <c r="J159" s="143">
        <v>0</v>
      </c>
      <c r="K159" s="143">
        <v>8</v>
      </c>
      <c r="L159" s="143">
        <v>10</v>
      </c>
      <c r="M159" s="143">
        <v>13</v>
      </c>
      <c r="N159" s="143">
        <v>16</v>
      </c>
      <c r="O159" s="143">
        <v>18</v>
      </c>
      <c r="P159" s="143">
        <v>20</v>
      </c>
      <c r="Q159" s="143">
        <v>21</v>
      </c>
      <c r="R159" s="143">
        <v>22</v>
      </c>
      <c r="S159" s="143">
        <v>22</v>
      </c>
      <c r="T159" s="143">
        <v>22</v>
      </c>
      <c r="U159" s="143">
        <v>22</v>
      </c>
      <c r="V159" s="143">
        <v>22</v>
      </c>
    </row>
    <row r="160" spans="1:22">
      <c r="A160" s="3" t="s">
        <v>159</v>
      </c>
      <c r="H160" s="143">
        <v>0</v>
      </c>
      <c r="I160" s="143">
        <v>0</v>
      </c>
      <c r="J160" s="143">
        <v>0</v>
      </c>
      <c r="K160" s="143">
        <v>15</v>
      </c>
      <c r="L160" s="143">
        <v>18</v>
      </c>
      <c r="M160" s="143">
        <v>23</v>
      </c>
      <c r="N160" s="143">
        <v>27</v>
      </c>
      <c r="O160" s="143">
        <v>32</v>
      </c>
      <c r="P160" s="143">
        <v>34</v>
      </c>
      <c r="Q160" s="143">
        <v>36</v>
      </c>
      <c r="R160" s="143">
        <v>38</v>
      </c>
      <c r="S160" s="143">
        <v>37</v>
      </c>
      <c r="T160" s="143">
        <v>36</v>
      </c>
      <c r="U160" s="143">
        <v>36</v>
      </c>
      <c r="V160" s="143">
        <v>35</v>
      </c>
    </row>
    <row r="161" spans="1:22">
      <c r="A161" s="3" t="s">
        <v>160</v>
      </c>
      <c r="H161" s="143">
        <v>0</v>
      </c>
      <c r="I161" s="143">
        <v>0</v>
      </c>
      <c r="J161" s="143">
        <v>0</v>
      </c>
      <c r="K161" s="143">
        <v>10</v>
      </c>
      <c r="L161" s="143">
        <v>12</v>
      </c>
      <c r="M161" s="143">
        <v>15</v>
      </c>
      <c r="N161" s="143">
        <v>17</v>
      </c>
      <c r="O161" s="143">
        <v>20</v>
      </c>
      <c r="P161" s="143">
        <v>21</v>
      </c>
      <c r="Q161" s="143">
        <v>22</v>
      </c>
      <c r="R161" s="143">
        <v>23</v>
      </c>
      <c r="S161" s="143">
        <v>22</v>
      </c>
      <c r="T161" s="143">
        <v>21</v>
      </c>
      <c r="U161" s="143">
        <v>20</v>
      </c>
      <c r="V161" s="143">
        <v>19</v>
      </c>
    </row>
    <row r="162" spans="1:22">
      <c r="A162" s="3" t="s">
        <v>161</v>
      </c>
      <c r="H162" s="143">
        <v>0</v>
      </c>
      <c r="I162" s="143">
        <v>0</v>
      </c>
      <c r="J162" s="143">
        <v>0</v>
      </c>
      <c r="K162" s="143">
        <v>16</v>
      </c>
      <c r="L162" s="143">
        <v>19</v>
      </c>
      <c r="M162" s="143">
        <v>23</v>
      </c>
      <c r="N162" s="143">
        <v>29</v>
      </c>
      <c r="O162" s="143">
        <v>31</v>
      </c>
      <c r="P162" s="143">
        <v>33</v>
      </c>
      <c r="Q162" s="143">
        <v>34</v>
      </c>
      <c r="R162" s="143">
        <v>34</v>
      </c>
      <c r="S162" s="143">
        <v>34</v>
      </c>
      <c r="T162" s="143">
        <v>34</v>
      </c>
      <c r="U162" s="143">
        <v>34</v>
      </c>
      <c r="V162" s="143">
        <v>34</v>
      </c>
    </row>
    <row r="164" spans="1:22">
      <c r="A164" s="9" t="s">
        <v>162</v>
      </c>
    </row>
    <row r="165" spans="1:22">
      <c r="A165" s="3" t="s">
        <v>155</v>
      </c>
      <c r="H165" s="143">
        <v>0</v>
      </c>
      <c r="I165" s="143">
        <v>0</v>
      </c>
      <c r="J165" s="143">
        <v>0</v>
      </c>
      <c r="K165" s="143">
        <v>0.18</v>
      </c>
      <c r="L165" s="143">
        <v>0.21</v>
      </c>
      <c r="M165" s="143">
        <v>0.23</v>
      </c>
      <c r="N165" s="143">
        <v>0.27</v>
      </c>
      <c r="O165" s="143">
        <v>0.3</v>
      </c>
      <c r="P165" s="143">
        <v>0.35</v>
      </c>
      <c r="Q165" s="143">
        <v>0.39</v>
      </c>
      <c r="R165" s="143">
        <v>0.45</v>
      </c>
      <c r="S165" s="143">
        <v>0.51</v>
      </c>
      <c r="T165" s="143">
        <v>0.59</v>
      </c>
      <c r="U165" s="143">
        <v>0.67</v>
      </c>
      <c r="V165" s="143">
        <v>0.76</v>
      </c>
    </row>
    <row r="166" spans="1:22">
      <c r="A166" s="3" t="s">
        <v>156</v>
      </c>
      <c r="H166" s="143">
        <v>0</v>
      </c>
      <c r="I166" s="143">
        <v>0</v>
      </c>
      <c r="J166" s="143">
        <v>0</v>
      </c>
      <c r="K166" s="143">
        <v>0.12</v>
      </c>
      <c r="L166" s="143">
        <v>0.14000000000000001</v>
      </c>
      <c r="M166" s="143">
        <v>0.16</v>
      </c>
      <c r="N166" s="143">
        <v>0.18</v>
      </c>
      <c r="O166" s="143">
        <v>0.2</v>
      </c>
      <c r="P166" s="143">
        <v>0.23</v>
      </c>
      <c r="Q166" s="143">
        <v>0.26</v>
      </c>
      <c r="R166" s="143">
        <v>0.3</v>
      </c>
      <c r="S166" s="143">
        <v>0.34</v>
      </c>
      <c r="T166" s="143">
        <v>0.39</v>
      </c>
      <c r="U166" s="143">
        <v>0.44</v>
      </c>
      <c r="V166" s="143">
        <v>0.51</v>
      </c>
    </row>
    <row r="167" spans="1:22">
      <c r="A167" s="3" t="s">
        <v>157</v>
      </c>
      <c r="H167" s="143">
        <v>0</v>
      </c>
      <c r="I167" s="143">
        <v>0</v>
      </c>
      <c r="J167" s="143">
        <v>0</v>
      </c>
      <c r="K167" s="143">
        <v>0.08</v>
      </c>
      <c r="L167" s="143">
        <v>0.09</v>
      </c>
      <c r="M167" s="143">
        <v>0.1</v>
      </c>
      <c r="N167" s="143">
        <v>0.12</v>
      </c>
      <c r="O167" s="143">
        <v>0.14000000000000001</v>
      </c>
      <c r="P167" s="143">
        <v>0.15</v>
      </c>
      <c r="Q167" s="143">
        <v>0.18</v>
      </c>
      <c r="R167" s="143">
        <v>0.2</v>
      </c>
      <c r="S167" s="143">
        <v>0.23</v>
      </c>
      <c r="T167" s="143">
        <v>0.26</v>
      </c>
      <c r="U167" s="143">
        <v>0.3</v>
      </c>
      <c r="V167" s="143">
        <v>0.34</v>
      </c>
    </row>
    <row r="168" spans="1:22">
      <c r="A168" s="3" t="s">
        <v>158</v>
      </c>
      <c r="H168" s="143">
        <v>0</v>
      </c>
      <c r="I168" s="143">
        <v>0</v>
      </c>
      <c r="J168" s="143">
        <v>0</v>
      </c>
      <c r="K168" s="143">
        <v>0.06</v>
      </c>
      <c r="L168" s="143">
        <v>0.06</v>
      </c>
      <c r="M168" s="143">
        <v>7.0000000000000007E-2</v>
      </c>
      <c r="N168" s="143">
        <v>0.08</v>
      </c>
      <c r="O168" s="143">
        <v>0.09</v>
      </c>
      <c r="P168" s="143">
        <v>0.11</v>
      </c>
      <c r="Q168" s="143">
        <v>0.12</v>
      </c>
      <c r="R168" s="143">
        <v>0.14000000000000001</v>
      </c>
      <c r="S168" s="143">
        <v>0.16</v>
      </c>
      <c r="T168" s="143">
        <v>0.18</v>
      </c>
      <c r="U168" s="143">
        <v>0.2</v>
      </c>
      <c r="V168" s="143">
        <v>0.23</v>
      </c>
    </row>
    <row r="169" spans="1:22">
      <c r="A169" s="3" t="s">
        <v>159</v>
      </c>
      <c r="H169" s="143">
        <v>0</v>
      </c>
      <c r="I169" s="143">
        <v>0</v>
      </c>
      <c r="J169" s="143">
        <v>0</v>
      </c>
      <c r="K169" s="143">
        <v>0.04</v>
      </c>
      <c r="L169" s="143">
        <v>0.04</v>
      </c>
      <c r="M169" s="143">
        <v>0.05</v>
      </c>
      <c r="N169" s="143">
        <v>0.05</v>
      </c>
      <c r="O169" s="143">
        <v>0.06</v>
      </c>
      <c r="P169" s="143">
        <v>7.0000000000000007E-2</v>
      </c>
      <c r="Q169" s="143">
        <v>0.08</v>
      </c>
      <c r="R169" s="143">
        <v>0.09</v>
      </c>
      <c r="S169" s="143">
        <v>0.1</v>
      </c>
      <c r="T169" s="143">
        <v>0.11</v>
      </c>
      <c r="U169" s="143">
        <v>0.13</v>
      </c>
      <c r="V169" s="143">
        <v>0.15</v>
      </c>
    </row>
    <row r="170" spans="1:22">
      <c r="A170" s="3" t="s">
        <v>160</v>
      </c>
      <c r="H170" s="143">
        <v>0</v>
      </c>
      <c r="I170" s="143">
        <v>0</v>
      </c>
      <c r="J170" s="143">
        <v>0</v>
      </c>
      <c r="K170" s="143">
        <v>0.03</v>
      </c>
      <c r="L170" s="143">
        <v>0.03</v>
      </c>
      <c r="M170" s="143">
        <v>0.04</v>
      </c>
      <c r="N170" s="143">
        <v>0.04</v>
      </c>
      <c r="O170" s="143">
        <v>0.05</v>
      </c>
      <c r="P170" s="143">
        <v>0.06</v>
      </c>
      <c r="Q170" s="143">
        <v>7.0000000000000007E-2</v>
      </c>
      <c r="R170" s="143">
        <v>0.08</v>
      </c>
      <c r="S170" s="143">
        <v>0.09</v>
      </c>
      <c r="T170" s="143">
        <v>0.1</v>
      </c>
      <c r="U170" s="143">
        <v>0.11</v>
      </c>
      <c r="V170" s="143">
        <v>0.13</v>
      </c>
    </row>
    <row r="171" spans="1:22">
      <c r="A171" s="3" t="s">
        <v>161</v>
      </c>
      <c r="H171" s="143">
        <v>0</v>
      </c>
      <c r="I171" s="143">
        <v>0</v>
      </c>
      <c r="J171" s="143">
        <v>0</v>
      </c>
      <c r="K171" s="143">
        <v>0.03</v>
      </c>
      <c r="L171" s="143">
        <v>0.04</v>
      </c>
      <c r="M171" s="143">
        <v>0.04</v>
      </c>
      <c r="N171" s="143">
        <v>0.05</v>
      </c>
      <c r="O171" s="143">
        <v>0.05</v>
      </c>
      <c r="P171" s="143">
        <v>0.06</v>
      </c>
      <c r="Q171" s="143">
        <v>7.0000000000000007E-2</v>
      </c>
      <c r="R171" s="143">
        <v>0.08</v>
      </c>
      <c r="S171" s="143">
        <v>0.09</v>
      </c>
      <c r="T171" s="143">
        <v>0.1</v>
      </c>
      <c r="U171" s="143">
        <v>0.12</v>
      </c>
      <c r="V171" s="143">
        <v>0.14000000000000001</v>
      </c>
    </row>
    <row r="173" spans="1:22">
      <c r="A173" s="22" t="s">
        <v>163</v>
      </c>
    </row>
    <row r="174" spans="1:22">
      <c r="A174" s="3" t="s">
        <v>155</v>
      </c>
      <c r="H174" s="141">
        <f t="shared" ref="H174:V174" si="39">H165*H156</f>
        <v>0</v>
      </c>
      <c r="I174" s="141">
        <f t="shared" si="39"/>
        <v>0</v>
      </c>
      <c r="J174" s="141">
        <f t="shared" si="39"/>
        <v>0</v>
      </c>
      <c r="K174" s="141">
        <f t="shared" si="39"/>
        <v>0.18</v>
      </c>
      <c r="L174" s="141">
        <f t="shared" si="39"/>
        <v>0.21</v>
      </c>
      <c r="M174" s="141">
        <f t="shared" si="39"/>
        <v>0.23</v>
      </c>
      <c r="N174" s="141">
        <f t="shared" si="39"/>
        <v>0.27</v>
      </c>
      <c r="O174" s="141">
        <f t="shared" si="39"/>
        <v>0.3</v>
      </c>
      <c r="P174" s="141">
        <f t="shared" si="39"/>
        <v>0.35</v>
      </c>
      <c r="Q174" s="141">
        <f t="shared" si="39"/>
        <v>0.39</v>
      </c>
      <c r="R174" s="141">
        <f t="shared" si="39"/>
        <v>0.45</v>
      </c>
      <c r="S174" s="141">
        <f t="shared" si="39"/>
        <v>0.51</v>
      </c>
      <c r="T174" s="141">
        <f t="shared" si="39"/>
        <v>0.59</v>
      </c>
      <c r="U174" s="141">
        <f t="shared" si="39"/>
        <v>0.67</v>
      </c>
      <c r="V174" s="141">
        <f t="shared" si="39"/>
        <v>0.76</v>
      </c>
    </row>
    <row r="175" spans="1:22">
      <c r="A175" s="3" t="s">
        <v>156</v>
      </c>
      <c r="H175" s="141">
        <f t="shared" ref="H175:V175" si="40">H166*H157</f>
        <v>0</v>
      </c>
      <c r="I175" s="141">
        <f t="shared" si="40"/>
        <v>0</v>
      </c>
      <c r="J175" s="141">
        <f t="shared" si="40"/>
        <v>0</v>
      </c>
      <c r="K175" s="141">
        <f t="shared" si="40"/>
        <v>0.24</v>
      </c>
      <c r="L175" s="141">
        <f t="shared" si="40"/>
        <v>0.28000000000000003</v>
      </c>
      <c r="M175" s="141">
        <f t="shared" si="40"/>
        <v>0.48</v>
      </c>
      <c r="N175" s="141">
        <f t="shared" si="40"/>
        <v>0.54</v>
      </c>
      <c r="O175" s="141">
        <f t="shared" si="40"/>
        <v>0.8</v>
      </c>
      <c r="P175" s="141">
        <f t="shared" si="40"/>
        <v>0.92</v>
      </c>
      <c r="Q175" s="141">
        <f t="shared" si="40"/>
        <v>1.04</v>
      </c>
      <c r="R175" s="141">
        <f t="shared" si="40"/>
        <v>1.5</v>
      </c>
      <c r="S175" s="141">
        <f t="shared" si="40"/>
        <v>1.7000000000000002</v>
      </c>
      <c r="T175" s="141">
        <f t="shared" si="40"/>
        <v>1.9500000000000002</v>
      </c>
      <c r="U175" s="141">
        <f t="shared" si="40"/>
        <v>2.2000000000000002</v>
      </c>
      <c r="V175" s="141">
        <f t="shared" si="40"/>
        <v>2.5499999999999998</v>
      </c>
    </row>
    <row r="176" spans="1:22">
      <c r="A176" s="3" t="s">
        <v>157</v>
      </c>
      <c r="H176" s="141">
        <f t="shared" ref="H176:V176" si="41">H167*H158</f>
        <v>0</v>
      </c>
      <c r="I176" s="141">
        <f t="shared" si="41"/>
        <v>0</v>
      </c>
      <c r="J176" s="141">
        <f t="shared" si="41"/>
        <v>0</v>
      </c>
      <c r="K176" s="141">
        <f t="shared" si="41"/>
        <v>0.24</v>
      </c>
      <c r="L176" s="141">
        <f t="shared" si="41"/>
        <v>0.36</v>
      </c>
      <c r="M176" s="141">
        <f t="shared" si="41"/>
        <v>0.5</v>
      </c>
      <c r="N176" s="141">
        <f t="shared" si="41"/>
        <v>0.72</v>
      </c>
      <c r="O176" s="141">
        <f t="shared" si="41"/>
        <v>0.98000000000000009</v>
      </c>
      <c r="P176" s="141">
        <f t="shared" si="41"/>
        <v>1.05</v>
      </c>
      <c r="Q176" s="141">
        <f t="shared" si="41"/>
        <v>1.44</v>
      </c>
      <c r="R176" s="141">
        <f t="shared" si="41"/>
        <v>1.6</v>
      </c>
      <c r="S176" s="141">
        <f t="shared" si="41"/>
        <v>1.84</v>
      </c>
      <c r="T176" s="141">
        <f t="shared" si="41"/>
        <v>2.08</v>
      </c>
      <c r="U176" s="141">
        <f t="shared" si="41"/>
        <v>2.4</v>
      </c>
      <c r="V176" s="141">
        <f t="shared" si="41"/>
        <v>2.72</v>
      </c>
    </row>
    <row r="177" spans="1:22">
      <c r="A177" s="3" t="s">
        <v>158</v>
      </c>
      <c r="H177" s="141">
        <f t="shared" ref="H177:V177" si="42">H168*H159</f>
        <v>0</v>
      </c>
      <c r="I177" s="141">
        <f t="shared" si="42"/>
        <v>0</v>
      </c>
      <c r="J177" s="141">
        <f t="shared" si="42"/>
        <v>0</v>
      </c>
      <c r="K177" s="141">
        <f t="shared" si="42"/>
        <v>0.48</v>
      </c>
      <c r="L177" s="141">
        <f t="shared" si="42"/>
        <v>0.6</v>
      </c>
      <c r="M177" s="141">
        <f t="shared" si="42"/>
        <v>0.91000000000000014</v>
      </c>
      <c r="N177" s="141">
        <f t="shared" si="42"/>
        <v>1.28</v>
      </c>
      <c r="O177" s="141">
        <f t="shared" si="42"/>
        <v>1.6199999999999999</v>
      </c>
      <c r="P177" s="141">
        <f t="shared" si="42"/>
        <v>2.2000000000000002</v>
      </c>
      <c r="Q177" s="141">
        <f t="shared" si="42"/>
        <v>2.52</v>
      </c>
      <c r="R177" s="141">
        <f t="shared" si="42"/>
        <v>3.08</v>
      </c>
      <c r="S177" s="141">
        <f t="shared" si="42"/>
        <v>3.52</v>
      </c>
      <c r="T177" s="141">
        <f t="shared" si="42"/>
        <v>3.96</v>
      </c>
      <c r="U177" s="141">
        <f t="shared" si="42"/>
        <v>4.4000000000000004</v>
      </c>
      <c r="V177" s="141">
        <f t="shared" si="42"/>
        <v>5.0600000000000005</v>
      </c>
    </row>
    <row r="178" spans="1:22">
      <c r="A178" s="3" t="s">
        <v>159</v>
      </c>
      <c r="H178" s="141">
        <f t="shared" ref="H178:V178" si="43">H169*H160</f>
        <v>0</v>
      </c>
      <c r="I178" s="141">
        <f t="shared" si="43"/>
        <v>0</v>
      </c>
      <c r="J178" s="141">
        <f t="shared" si="43"/>
        <v>0</v>
      </c>
      <c r="K178" s="141">
        <f t="shared" si="43"/>
        <v>0.6</v>
      </c>
      <c r="L178" s="141">
        <f t="shared" si="43"/>
        <v>0.72</v>
      </c>
      <c r="M178" s="141">
        <f t="shared" si="43"/>
        <v>1.1500000000000001</v>
      </c>
      <c r="N178" s="141">
        <f t="shared" si="43"/>
        <v>1.35</v>
      </c>
      <c r="O178" s="141">
        <f t="shared" si="43"/>
        <v>1.92</v>
      </c>
      <c r="P178" s="141">
        <f t="shared" si="43"/>
        <v>2.3800000000000003</v>
      </c>
      <c r="Q178" s="141">
        <f t="shared" si="43"/>
        <v>2.88</v>
      </c>
      <c r="R178" s="141">
        <f t="shared" si="43"/>
        <v>3.42</v>
      </c>
      <c r="S178" s="141">
        <f t="shared" si="43"/>
        <v>3.7</v>
      </c>
      <c r="T178" s="141">
        <f t="shared" si="43"/>
        <v>3.96</v>
      </c>
      <c r="U178" s="141">
        <f t="shared" si="43"/>
        <v>4.68</v>
      </c>
      <c r="V178" s="141">
        <f t="shared" si="43"/>
        <v>5.25</v>
      </c>
    </row>
    <row r="179" spans="1:22">
      <c r="A179" s="3" t="s">
        <v>160</v>
      </c>
      <c r="H179" s="141">
        <f t="shared" ref="H179:V179" si="44">H170*H161</f>
        <v>0</v>
      </c>
      <c r="I179" s="141">
        <f t="shared" si="44"/>
        <v>0</v>
      </c>
      <c r="J179" s="141">
        <f t="shared" si="44"/>
        <v>0</v>
      </c>
      <c r="K179" s="141">
        <f t="shared" si="44"/>
        <v>0.3</v>
      </c>
      <c r="L179" s="141">
        <f t="shared" si="44"/>
        <v>0.36</v>
      </c>
      <c r="M179" s="141">
        <f t="shared" si="44"/>
        <v>0.6</v>
      </c>
      <c r="N179" s="141">
        <f t="shared" si="44"/>
        <v>0.68</v>
      </c>
      <c r="O179" s="141">
        <f t="shared" si="44"/>
        <v>1</v>
      </c>
      <c r="P179" s="141">
        <f t="shared" si="44"/>
        <v>1.26</v>
      </c>
      <c r="Q179" s="141">
        <f t="shared" si="44"/>
        <v>1.54</v>
      </c>
      <c r="R179" s="141">
        <f t="shared" si="44"/>
        <v>1.84</v>
      </c>
      <c r="S179" s="141">
        <f t="shared" si="44"/>
        <v>1.98</v>
      </c>
      <c r="T179" s="141">
        <f t="shared" si="44"/>
        <v>2.1</v>
      </c>
      <c r="U179" s="141">
        <f t="shared" si="44"/>
        <v>2.2000000000000002</v>
      </c>
      <c r="V179" s="141">
        <f t="shared" si="44"/>
        <v>2.4700000000000002</v>
      </c>
    </row>
    <row r="180" spans="1:22">
      <c r="A180" s="3" t="s">
        <v>161</v>
      </c>
      <c r="H180" s="141">
        <f t="shared" ref="H180:V180" si="45">H171*H162</f>
        <v>0</v>
      </c>
      <c r="I180" s="141">
        <f t="shared" si="45"/>
        <v>0</v>
      </c>
      <c r="J180" s="141">
        <f t="shared" si="45"/>
        <v>0</v>
      </c>
      <c r="K180" s="141">
        <f t="shared" si="45"/>
        <v>0.48</v>
      </c>
      <c r="L180" s="141">
        <f t="shared" si="45"/>
        <v>0.76</v>
      </c>
      <c r="M180" s="141">
        <f t="shared" si="45"/>
        <v>0.92</v>
      </c>
      <c r="N180" s="141">
        <f t="shared" si="45"/>
        <v>1.4500000000000002</v>
      </c>
      <c r="O180" s="141">
        <f t="shared" si="45"/>
        <v>1.55</v>
      </c>
      <c r="P180" s="141">
        <f t="shared" si="45"/>
        <v>1.98</v>
      </c>
      <c r="Q180" s="141">
        <f t="shared" si="45"/>
        <v>2.3800000000000003</v>
      </c>
      <c r="R180" s="141">
        <f t="shared" si="45"/>
        <v>2.72</v>
      </c>
      <c r="S180" s="141">
        <f t="shared" si="45"/>
        <v>3.06</v>
      </c>
      <c r="T180" s="141">
        <f t="shared" si="45"/>
        <v>3.4000000000000004</v>
      </c>
      <c r="U180" s="141">
        <f t="shared" si="45"/>
        <v>4.08</v>
      </c>
      <c r="V180" s="141">
        <f t="shared" si="45"/>
        <v>4.7600000000000007</v>
      </c>
    </row>
    <row r="181" spans="1:22">
      <c r="A181" s="20" t="s">
        <v>164</v>
      </c>
      <c r="H181" s="141">
        <f t="shared" ref="H181:V181" si="46">SUM(H174:H180)</f>
        <v>0</v>
      </c>
      <c r="I181" s="141">
        <f t="shared" si="46"/>
        <v>0</v>
      </c>
      <c r="J181" s="141">
        <f t="shared" si="46"/>
        <v>0</v>
      </c>
      <c r="K181" s="141">
        <f t="shared" si="46"/>
        <v>2.5199999999999996</v>
      </c>
      <c r="L181" s="141">
        <f t="shared" si="46"/>
        <v>3.29</v>
      </c>
      <c r="M181" s="141">
        <f t="shared" si="46"/>
        <v>4.7900000000000009</v>
      </c>
      <c r="N181" s="141">
        <f t="shared" si="46"/>
        <v>6.29</v>
      </c>
      <c r="O181" s="141">
        <f t="shared" si="46"/>
        <v>8.17</v>
      </c>
      <c r="P181" s="141">
        <f t="shared" si="46"/>
        <v>10.14</v>
      </c>
      <c r="Q181" s="141">
        <f t="shared" si="46"/>
        <v>12.19</v>
      </c>
      <c r="R181" s="141">
        <f t="shared" si="46"/>
        <v>14.610000000000001</v>
      </c>
      <c r="S181" s="141">
        <f t="shared" si="46"/>
        <v>16.309999999999999</v>
      </c>
      <c r="T181" s="141">
        <f t="shared" si="46"/>
        <v>18.04</v>
      </c>
      <c r="U181" s="141">
        <f t="shared" si="46"/>
        <v>20.630000000000003</v>
      </c>
      <c r="V181" s="141">
        <f t="shared" si="46"/>
        <v>23.57</v>
      </c>
    </row>
    <row r="183" spans="1:22" s="86" customFormat="1">
      <c r="A183" s="248" t="s">
        <v>642</v>
      </c>
      <c r="B183" s="248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</row>
    <row r="184" spans="1:22">
      <c r="A184" s="3" t="s">
        <v>165</v>
      </c>
      <c r="H184" s="141">
        <f t="shared" ref="H184:V184" si="47">H61+H57+H56+H55+H54+H53</f>
        <v>0</v>
      </c>
      <c r="I184" s="141">
        <f t="shared" si="47"/>
        <v>0</v>
      </c>
      <c r="J184" s="141">
        <f t="shared" si="47"/>
        <v>0</v>
      </c>
      <c r="K184" s="141">
        <f t="shared" si="47"/>
        <v>13.281457340640001</v>
      </c>
      <c r="L184" s="141">
        <f t="shared" si="47"/>
        <v>15.890452516075801</v>
      </c>
      <c r="M184" s="141">
        <f t="shared" si="47"/>
        <v>23.614463632556149</v>
      </c>
      <c r="N184" s="141">
        <f t="shared" si="47"/>
        <v>32.353804481452158</v>
      </c>
      <c r="O184" s="141">
        <f t="shared" si="47"/>
        <v>39.500837816930847</v>
      </c>
      <c r="P184" s="141">
        <f t="shared" si="47"/>
        <v>47.860147622408</v>
      </c>
      <c r="Q184" s="141">
        <f t="shared" si="47"/>
        <v>57.828942472754889</v>
      </c>
      <c r="R184" s="141">
        <f t="shared" si="47"/>
        <v>67.886669992948754</v>
      </c>
      <c r="S184" s="141">
        <f t="shared" si="47"/>
        <v>79.567555622207507</v>
      </c>
      <c r="T184" s="141">
        <f t="shared" si="47"/>
        <v>91.093959319523393</v>
      </c>
      <c r="U184" s="141">
        <f t="shared" si="47"/>
        <v>104.26278497651116</v>
      </c>
      <c r="V184" s="141">
        <f t="shared" si="47"/>
        <v>119.30914275394639</v>
      </c>
    </row>
    <row r="185" spans="1:22">
      <c r="A185" s="3" t="s">
        <v>135</v>
      </c>
      <c r="H185" s="141" t="e">
        <f t="shared" ref="H185:V185" si="48" xml:space="preserve"> SUM(H101, H105)</f>
        <v>#REF!</v>
      </c>
      <c r="I185" s="141" t="e">
        <f t="shared" si="48"/>
        <v>#REF!</v>
      </c>
      <c r="J185" s="141" t="e">
        <f t="shared" si="48"/>
        <v>#REF!</v>
      </c>
      <c r="K185" s="141" t="e">
        <f t="shared" si="48"/>
        <v>#REF!</v>
      </c>
      <c r="L185" s="141" t="e">
        <f t="shared" si="48"/>
        <v>#REF!</v>
      </c>
      <c r="M185" s="141" t="e">
        <f t="shared" si="48"/>
        <v>#REF!</v>
      </c>
      <c r="N185" s="141" t="e">
        <f t="shared" si="48"/>
        <v>#REF!</v>
      </c>
      <c r="O185" s="141" t="e">
        <f t="shared" si="48"/>
        <v>#REF!</v>
      </c>
      <c r="P185" s="141" t="e">
        <f t="shared" si="48"/>
        <v>#REF!</v>
      </c>
      <c r="Q185" s="141" t="e">
        <f t="shared" si="48"/>
        <v>#REF!</v>
      </c>
      <c r="R185" s="141" t="e">
        <f t="shared" si="48"/>
        <v>#REF!</v>
      </c>
      <c r="S185" s="141" t="e">
        <f t="shared" si="48"/>
        <v>#REF!</v>
      </c>
      <c r="T185" s="141" t="e">
        <f t="shared" si="48"/>
        <v>#REF!</v>
      </c>
      <c r="U185" s="141" t="e">
        <f t="shared" si="48"/>
        <v>#REF!</v>
      </c>
      <c r="V185" s="141" t="e">
        <f t="shared" si="48"/>
        <v>#REF!</v>
      </c>
    </row>
    <row r="186" spans="1:22">
      <c r="A186" s="3" t="s">
        <v>140</v>
      </c>
      <c r="H186" s="141">
        <f t="shared" ref="H186:V186" si="49">H112*H111/10000000</f>
        <v>0</v>
      </c>
      <c r="I186" s="141">
        <f t="shared" si="49"/>
        <v>0</v>
      </c>
      <c r="J186" s="141">
        <f t="shared" si="49"/>
        <v>0</v>
      </c>
      <c r="K186" s="141">
        <f t="shared" si="49"/>
        <v>3.9</v>
      </c>
      <c r="L186" s="141">
        <f t="shared" si="49"/>
        <v>4.6238400000000004</v>
      </c>
      <c r="M186" s="141">
        <f t="shared" si="49"/>
        <v>6.2848655999999998</v>
      </c>
      <c r="N186" s="141">
        <f t="shared" si="49"/>
        <v>8.0892315000000004</v>
      </c>
      <c r="O186" s="141">
        <f t="shared" si="49"/>
        <v>9.7486785999999999</v>
      </c>
      <c r="P186" s="141">
        <f t="shared" si="49"/>
        <v>11.413858599999999</v>
      </c>
      <c r="Q186" s="141">
        <f t="shared" si="49"/>
        <v>13.3542123</v>
      </c>
      <c r="R186" s="141">
        <f t="shared" si="49"/>
        <v>15.614155999999999</v>
      </c>
      <c r="S186" s="141">
        <f t="shared" si="49"/>
        <v>18.245143500000001</v>
      </c>
      <c r="T186" s="141">
        <f t="shared" si="49"/>
        <v>20.799464</v>
      </c>
      <c r="U186" s="141">
        <f t="shared" si="49"/>
        <v>24.289712999999999</v>
      </c>
      <c r="V186" s="141">
        <f t="shared" si="49"/>
        <v>28.349564600000001</v>
      </c>
    </row>
    <row r="187" spans="1:22">
      <c r="A187" s="20" t="s">
        <v>892</v>
      </c>
      <c r="H187" s="141" t="e">
        <f t="shared" ref="H187:V187" si="50">SUM(H184:H186)</f>
        <v>#REF!</v>
      </c>
      <c r="I187" s="141" t="e">
        <f t="shared" si="50"/>
        <v>#REF!</v>
      </c>
      <c r="J187" s="141" t="e">
        <f t="shared" si="50"/>
        <v>#REF!</v>
      </c>
      <c r="K187" s="141" t="e">
        <f t="shared" si="50"/>
        <v>#REF!</v>
      </c>
      <c r="L187" s="141" t="e">
        <f t="shared" si="50"/>
        <v>#REF!</v>
      </c>
      <c r="M187" s="141" t="e">
        <f t="shared" si="50"/>
        <v>#REF!</v>
      </c>
      <c r="N187" s="141" t="e">
        <f t="shared" si="50"/>
        <v>#REF!</v>
      </c>
      <c r="O187" s="141" t="e">
        <f t="shared" si="50"/>
        <v>#REF!</v>
      </c>
      <c r="P187" s="141" t="e">
        <f t="shared" si="50"/>
        <v>#REF!</v>
      </c>
      <c r="Q187" s="141" t="e">
        <f t="shared" si="50"/>
        <v>#REF!</v>
      </c>
      <c r="R187" s="141" t="e">
        <f t="shared" si="50"/>
        <v>#REF!</v>
      </c>
      <c r="S187" s="141" t="e">
        <f t="shared" si="50"/>
        <v>#REF!</v>
      </c>
      <c r="T187" s="141" t="e">
        <f t="shared" si="50"/>
        <v>#REF!</v>
      </c>
      <c r="U187" s="141" t="e">
        <f t="shared" si="50"/>
        <v>#REF!</v>
      </c>
      <c r="V187" s="141" t="e">
        <f t="shared" si="50"/>
        <v>#REF!</v>
      </c>
    </row>
    <row r="188" spans="1:22"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</row>
    <row r="189" spans="1:22">
      <c r="A189" s="3" t="s">
        <v>167</v>
      </c>
      <c r="H189">
        <f t="shared" ref="H189:V189" si="51">SUM(H139:H145)</f>
        <v>0</v>
      </c>
      <c r="I189">
        <f t="shared" si="51"/>
        <v>0</v>
      </c>
      <c r="J189">
        <f t="shared" si="51"/>
        <v>0</v>
      </c>
      <c r="K189">
        <f t="shared" si="51"/>
        <v>9.370000000000001</v>
      </c>
      <c r="L189">
        <f t="shared" si="51"/>
        <v>13.3</v>
      </c>
      <c r="M189">
        <f t="shared" si="51"/>
        <v>19.89</v>
      </c>
      <c r="N189">
        <f t="shared" si="51"/>
        <v>27.26</v>
      </c>
      <c r="O189">
        <f t="shared" si="51"/>
        <v>35.900000000000006</v>
      </c>
      <c r="P189">
        <f t="shared" si="51"/>
        <v>43.23</v>
      </c>
      <c r="Q189">
        <f t="shared" si="51"/>
        <v>51.82</v>
      </c>
      <c r="R189">
        <f t="shared" si="51"/>
        <v>61.580000000000005</v>
      </c>
      <c r="S189">
        <f t="shared" si="51"/>
        <v>70.600000000000009</v>
      </c>
      <c r="T189">
        <f t="shared" si="51"/>
        <v>79.88000000000001</v>
      </c>
      <c r="U189">
        <f t="shared" si="51"/>
        <v>89.88000000000001</v>
      </c>
      <c r="V189">
        <f t="shared" si="51"/>
        <v>99.26</v>
      </c>
    </row>
    <row r="190" spans="1:22">
      <c r="A190" s="3" t="s">
        <v>168</v>
      </c>
      <c r="H190" s="141">
        <f t="shared" ref="H190:V190" si="52">SUM(H174:H180)</f>
        <v>0</v>
      </c>
      <c r="I190" s="141">
        <f t="shared" si="52"/>
        <v>0</v>
      </c>
      <c r="J190" s="141">
        <f t="shared" si="52"/>
        <v>0</v>
      </c>
      <c r="K190" s="141">
        <f t="shared" si="52"/>
        <v>2.5199999999999996</v>
      </c>
      <c r="L190" s="141">
        <f t="shared" si="52"/>
        <v>3.29</v>
      </c>
      <c r="M190" s="141">
        <f t="shared" si="52"/>
        <v>4.7900000000000009</v>
      </c>
      <c r="N190" s="141">
        <f t="shared" si="52"/>
        <v>6.29</v>
      </c>
      <c r="O190" s="141">
        <f t="shared" si="52"/>
        <v>8.17</v>
      </c>
      <c r="P190" s="141">
        <f t="shared" si="52"/>
        <v>10.14</v>
      </c>
      <c r="Q190" s="141">
        <f t="shared" si="52"/>
        <v>12.19</v>
      </c>
      <c r="R190" s="141">
        <f t="shared" si="52"/>
        <v>14.610000000000001</v>
      </c>
      <c r="S190" s="141">
        <f t="shared" si="52"/>
        <v>16.309999999999999</v>
      </c>
      <c r="T190" s="141">
        <f t="shared" si="52"/>
        <v>18.04</v>
      </c>
      <c r="U190" s="141">
        <f t="shared" si="52"/>
        <v>20.630000000000003</v>
      </c>
      <c r="V190" s="141">
        <f t="shared" si="52"/>
        <v>23.57</v>
      </c>
    </row>
    <row r="191" spans="1:22">
      <c r="A191" s="20" t="s">
        <v>893</v>
      </c>
      <c r="H191" s="141">
        <f t="shared" ref="H191:V191" si="53">SUM(H189:H190)</f>
        <v>0</v>
      </c>
      <c r="I191" s="141">
        <f t="shared" si="53"/>
        <v>0</v>
      </c>
      <c r="J191" s="141">
        <f t="shared" si="53"/>
        <v>0</v>
      </c>
      <c r="K191" s="141">
        <f t="shared" si="53"/>
        <v>11.89</v>
      </c>
      <c r="L191" s="141">
        <f t="shared" si="53"/>
        <v>16.59</v>
      </c>
      <c r="M191" s="141">
        <f t="shared" si="53"/>
        <v>24.68</v>
      </c>
      <c r="N191" s="141">
        <f t="shared" si="53"/>
        <v>33.550000000000004</v>
      </c>
      <c r="O191" s="141">
        <f t="shared" si="53"/>
        <v>44.070000000000007</v>
      </c>
      <c r="P191" s="141">
        <f t="shared" si="53"/>
        <v>53.37</v>
      </c>
      <c r="Q191" s="141">
        <f t="shared" si="53"/>
        <v>64.010000000000005</v>
      </c>
      <c r="R191" s="141">
        <f t="shared" si="53"/>
        <v>76.190000000000012</v>
      </c>
      <c r="S191" s="141">
        <f t="shared" si="53"/>
        <v>86.910000000000011</v>
      </c>
      <c r="T191" s="141">
        <f t="shared" si="53"/>
        <v>97.920000000000016</v>
      </c>
      <c r="U191" s="141">
        <f t="shared" si="53"/>
        <v>110.51000000000002</v>
      </c>
      <c r="V191" s="141">
        <f t="shared" si="53"/>
        <v>122.83000000000001</v>
      </c>
    </row>
    <row r="193" spans="1:22" s="184" customFormat="1" ht="15.6">
      <c r="A193" s="182" t="s">
        <v>894</v>
      </c>
      <c r="B193"/>
      <c r="C193"/>
      <c r="D193"/>
      <c r="E193"/>
      <c r="F193"/>
      <c r="G193"/>
      <c r="H193" s="183" t="e">
        <f t="shared" ref="H193:V193" si="54">SUM(H191,H187)</f>
        <v>#REF!</v>
      </c>
      <c r="I193" s="183" t="e">
        <f t="shared" si="54"/>
        <v>#REF!</v>
      </c>
      <c r="J193" s="183" t="e">
        <f t="shared" si="54"/>
        <v>#REF!</v>
      </c>
      <c r="K193" s="183" t="e">
        <f t="shared" si="54"/>
        <v>#REF!</v>
      </c>
      <c r="L193" s="183" t="e">
        <f t="shared" si="54"/>
        <v>#REF!</v>
      </c>
      <c r="M193" s="183" t="e">
        <f t="shared" si="54"/>
        <v>#REF!</v>
      </c>
      <c r="N193" s="183" t="e">
        <f t="shared" si="54"/>
        <v>#REF!</v>
      </c>
      <c r="O193" s="183" t="e">
        <f t="shared" si="54"/>
        <v>#REF!</v>
      </c>
      <c r="P193" s="183" t="e">
        <f t="shared" si="54"/>
        <v>#REF!</v>
      </c>
      <c r="Q193" s="183" t="e">
        <f t="shared" si="54"/>
        <v>#REF!</v>
      </c>
      <c r="R193" s="183" t="e">
        <f t="shared" si="54"/>
        <v>#REF!</v>
      </c>
      <c r="S193" s="183" t="e">
        <f t="shared" si="54"/>
        <v>#REF!</v>
      </c>
      <c r="T193" s="183" t="e">
        <f t="shared" si="54"/>
        <v>#REF!</v>
      </c>
      <c r="U193" s="183" t="e">
        <f t="shared" si="54"/>
        <v>#REF!</v>
      </c>
      <c r="V193" s="183" t="e">
        <f t="shared" si="54"/>
        <v>#REF!</v>
      </c>
    </row>
    <row r="195" spans="1:22" s="181" customFormat="1" ht="21">
      <c r="A195" s="229" t="s">
        <v>646</v>
      </c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</row>
    <row r="196" spans="1:22">
      <c r="A196" s="243" t="s">
        <v>647</v>
      </c>
      <c r="B196" s="243"/>
      <c r="C196" s="243"/>
      <c r="D196" s="243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</row>
    <row r="197" spans="1:22" s="198" customFormat="1">
      <c r="A197" s="198" t="s">
        <v>648</v>
      </c>
    </row>
    <row r="199" spans="1:22">
      <c r="A199" s="7" t="s">
        <v>534</v>
      </c>
      <c r="B199" s="78" t="s">
        <v>437</v>
      </c>
      <c r="H199" s="143">
        <v>0</v>
      </c>
      <c r="I199" s="143">
        <v>0</v>
      </c>
      <c r="J199" s="143">
        <v>0</v>
      </c>
      <c r="K199" s="152">
        <v>1197</v>
      </c>
      <c r="L199" s="152">
        <v>1397</v>
      </c>
      <c r="M199" s="152">
        <v>2239</v>
      </c>
      <c r="N199" s="152">
        <v>2856</v>
      </c>
      <c r="O199" s="152">
        <v>3451</v>
      </c>
      <c r="P199" s="152">
        <v>4060</v>
      </c>
      <c r="Q199" s="152">
        <v>4669</v>
      </c>
      <c r="R199" s="152">
        <v>5075</v>
      </c>
      <c r="S199" s="152">
        <v>5481</v>
      </c>
      <c r="T199" s="152">
        <v>5684</v>
      </c>
      <c r="U199" s="152">
        <v>5887</v>
      </c>
      <c r="V199" s="152">
        <v>6090</v>
      </c>
    </row>
    <row r="200" spans="1:22">
      <c r="A200" s="7" t="s">
        <v>535</v>
      </c>
      <c r="B200" s="78" t="s">
        <v>437</v>
      </c>
      <c r="H200" s="143">
        <v>0</v>
      </c>
      <c r="I200" s="143">
        <v>0</v>
      </c>
      <c r="J200" s="143">
        <v>0</v>
      </c>
      <c r="K200" s="152">
        <v>1803</v>
      </c>
      <c r="L200" s="152">
        <v>2103</v>
      </c>
      <c r="M200" s="152">
        <v>3261</v>
      </c>
      <c r="N200" s="152">
        <v>4144</v>
      </c>
      <c r="O200" s="152">
        <v>5049</v>
      </c>
      <c r="P200" s="152">
        <v>5940</v>
      </c>
      <c r="Q200" s="152">
        <v>6831</v>
      </c>
      <c r="R200" s="152">
        <v>7425</v>
      </c>
      <c r="S200" s="152">
        <v>8019</v>
      </c>
      <c r="T200" s="152">
        <v>8316</v>
      </c>
      <c r="U200" s="152">
        <v>8613</v>
      </c>
      <c r="V200" s="152">
        <v>8910</v>
      </c>
    </row>
    <row r="202" spans="1:22" s="198" customFormat="1">
      <c r="A202" s="198" t="s">
        <v>649</v>
      </c>
    </row>
    <row r="204" spans="1:22">
      <c r="A204" s="80" t="s">
        <v>547</v>
      </c>
    </row>
    <row r="205" spans="1:22">
      <c r="A205" s="68" t="s">
        <v>253</v>
      </c>
      <c r="H205" s="150">
        <v>0</v>
      </c>
      <c r="I205" s="150">
        <v>0</v>
      </c>
      <c r="J205" s="150">
        <v>0</v>
      </c>
      <c r="K205" s="145">
        <v>0.1</v>
      </c>
      <c r="L205" s="145">
        <v>0.1</v>
      </c>
      <c r="M205" s="145">
        <v>0.08</v>
      </c>
      <c r="N205" s="145">
        <v>7.0000000000000007E-2</v>
      </c>
      <c r="O205" s="145">
        <v>0.06</v>
      </c>
      <c r="P205" s="145">
        <v>0.05</v>
      </c>
      <c r="Q205" s="145">
        <v>0.05</v>
      </c>
      <c r="R205" s="145">
        <v>0.05</v>
      </c>
      <c r="S205" s="145">
        <v>0.05</v>
      </c>
      <c r="T205" s="145">
        <v>0.05</v>
      </c>
      <c r="U205" s="145">
        <v>0.05</v>
      </c>
      <c r="V205" s="145">
        <v>0.05</v>
      </c>
    </row>
    <row r="206" spans="1:22">
      <c r="A206" s="68" t="s">
        <v>255</v>
      </c>
      <c r="H206" s="150">
        <v>0</v>
      </c>
      <c r="I206" s="150">
        <v>0</v>
      </c>
      <c r="J206" s="150">
        <v>0</v>
      </c>
      <c r="K206" s="145">
        <v>0.05</v>
      </c>
      <c r="L206" s="145">
        <v>0.05</v>
      </c>
      <c r="M206" s="145">
        <v>0.04</v>
      </c>
      <c r="N206" s="145">
        <v>0.04</v>
      </c>
      <c r="O206" s="145">
        <v>0.04</v>
      </c>
      <c r="P206" s="145">
        <v>0.03</v>
      </c>
      <c r="Q206" s="145">
        <v>0.03</v>
      </c>
      <c r="R206" s="145">
        <v>0.03</v>
      </c>
      <c r="S206" s="145">
        <v>0.03</v>
      </c>
      <c r="T206" s="145">
        <v>0.03</v>
      </c>
      <c r="U206" s="145">
        <v>0.03</v>
      </c>
      <c r="V206" s="145">
        <v>0.03</v>
      </c>
    </row>
    <row r="207" spans="1:22">
      <c r="A207" s="68" t="s">
        <v>257</v>
      </c>
      <c r="H207" s="150">
        <v>0</v>
      </c>
      <c r="I207" s="150">
        <v>0</v>
      </c>
      <c r="J207" s="150">
        <v>0</v>
      </c>
      <c r="K207" s="145">
        <v>0.15</v>
      </c>
      <c r="L207" s="145">
        <v>0.15</v>
      </c>
      <c r="M207" s="145">
        <v>0.12</v>
      </c>
      <c r="N207" s="145">
        <v>0.1</v>
      </c>
      <c r="O207" s="145">
        <v>0.09</v>
      </c>
      <c r="P207" s="145">
        <v>0.08</v>
      </c>
      <c r="Q207" s="145">
        <v>0.08</v>
      </c>
      <c r="R207" s="145">
        <v>0.08</v>
      </c>
      <c r="S207" s="145">
        <v>0.08</v>
      </c>
      <c r="T207" s="145">
        <v>0.08</v>
      </c>
      <c r="U207" s="145">
        <v>0.08</v>
      </c>
      <c r="V207" s="145">
        <v>0.08</v>
      </c>
    </row>
    <row r="208" spans="1:22">
      <c r="A208" s="68" t="s">
        <v>259</v>
      </c>
      <c r="H208" s="150">
        <v>0</v>
      </c>
      <c r="I208" s="150">
        <v>0</v>
      </c>
      <c r="J208" s="150">
        <v>0</v>
      </c>
      <c r="K208" s="145">
        <v>0.08</v>
      </c>
      <c r="L208" s="145">
        <v>0.08</v>
      </c>
      <c r="M208" s="145">
        <v>7.0000000000000007E-2</v>
      </c>
      <c r="N208" s="145">
        <v>0.06</v>
      </c>
      <c r="O208" s="145">
        <v>0.06</v>
      </c>
      <c r="P208" s="145">
        <v>0.05</v>
      </c>
      <c r="Q208" s="145">
        <v>0.05</v>
      </c>
      <c r="R208" s="145">
        <v>0.05</v>
      </c>
      <c r="S208" s="145">
        <v>0.05</v>
      </c>
      <c r="T208" s="145">
        <v>0.05</v>
      </c>
      <c r="U208" s="145">
        <v>0.05</v>
      </c>
      <c r="V208" s="145">
        <v>0.05</v>
      </c>
    </row>
    <row r="209" spans="1:22">
      <c r="A209" s="68" t="s">
        <v>261</v>
      </c>
      <c r="H209" s="150">
        <v>0</v>
      </c>
      <c r="I209" s="150">
        <v>0</v>
      </c>
      <c r="J209" s="150">
        <v>0</v>
      </c>
      <c r="K209" s="145">
        <v>0.2</v>
      </c>
      <c r="L209" s="145">
        <v>0.2</v>
      </c>
      <c r="M209" s="145">
        <v>0.18</v>
      </c>
      <c r="N209" s="145">
        <v>0.15</v>
      </c>
      <c r="O209" s="145">
        <v>0.14000000000000001</v>
      </c>
      <c r="P209" s="145">
        <v>0.12</v>
      </c>
      <c r="Q209" s="145">
        <v>0.12</v>
      </c>
      <c r="R209" s="145">
        <v>0.12</v>
      </c>
      <c r="S209" s="145">
        <v>0.12</v>
      </c>
      <c r="T209" s="145">
        <v>0.12</v>
      </c>
      <c r="U209" s="145">
        <v>0.12</v>
      </c>
      <c r="V209" s="145">
        <v>0.12</v>
      </c>
    </row>
    <row r="210" spans="1:22">
      <c r="A210" s="68" t="s">
        <v>263</v>
      </c>
      <c r="H210" s="150">
        <v>0</v>
      </c>
      <c r="I210" s="150">
        <v>0</v>
      </c>
      <c r="J210" s="150">
        <v>0</v>
      </c>
      <c r="K210" s="145">
        <v>0.03</v>
      </c>
      <c r="L210" s="145">
        <v>0.03</v>
      </c>
      <c r="M210" s="145">
        <v>0.03</v>
      </c>
      <c r="N210" s="145">
        <v>0.03</v>
      </c>
      <c r="O210" s="145">
        <v>0.03</v>
      </c>
      <c r="P210" s="145">
        <v>0.02</v>
      </c>
      <c r="Q210" s="145">
        <v>0.02</v>
      </c>
      <c r="R210" s="145">
        <v>0.02</v>
      </c>
      <c r="S210" s="145">
        <v>0.02</v>
      </c>
      <c r="T210" s="145">
        <v>0.02</v>
      </c>
      <c r="U210" s="145">
        <v>0.02</v>
      </c>
      <c r="V210" s="145">
        <v>0.02</v>
      </c>
    </row>
    <row r="211" spans="1:22">
      <c r="A211" t="s">
        <v>265</v>
      </c>
      <c r="H211">
        <v>0</v>
      </c>
      <c r="I211">
        <v>0</v>
      </c>
      <c r="J211">
        <v>0</v>
      </c>
      <c r="K211">
        <v>0.01</v>
      </c>
      <c r="L211">
        <v>0.01</v>
      </c>
      <c r="M211">
        <v>0.01</v>
      </c>
      <c r="N211">
        <v>0.01</v>
      </c>
      <c r="O211">
        <v>0.01</v>
      </c>
      <c r="P211">
        <v>0.01</v>
      </c>
      <c r="Q211">
        <v>0.01</v>
      </c>
      <c r="R211">
        <v>0.01</v>
      </c>
      <c r="S211">
        <v>0.01</v>
      </c>
      <c r="T211">
        <v>0.01</v>
      </c>
      <c r="U211">
        <v>0.01</v>
      </c>
      <c r="V211">
        <v>0.01</v>
      </c>
    </row>
    <row r="212" spans="1:22">
      <c r="A212" t="s">
        <v>267</v>
      </c>
      <c r="H212">
        <v>0</v>
      </c>
      <c r="I212">
        <v>0</v>
      </c>
      <c r="J212">
        <v>0</v>
      </c>
      <c r="K212">
        <v>0.05</v>
      </c>
      <c r="L212">
        <v>0.05</v>
      </c>
      <c r="M212">
        <v>0.05</v>
      </c>
      <c r="N212">
        <v>0.04</v>
      </c>
      <c r="O212">
        <v>0.04</v>
      </c>
      <c r="P212">
        <v>0.04</v>
      </c>
      <c r="Q212">
        <v>0.04</v>
      </c>
      <c r="R212">
        <v>0.04</v>
      </c>
      <c r="S212">
        <v>0.04</v>
      </c>
      <c r="T212">
        <v>0.04</v>
      </c>
      <c r="U212">
        <v>0.04</v>
      </c>
      <c r="V212">
        <v>0.04</v>
      </c>
    </row>
    <row r="213" spans="1:22">
      <c r="A213" s="68" t="s">
        <v>270</v>
      </c>
      <c r="H213" s="150">
        <v>0</v>
      </c>
      <c r="I213" s="150">
        <v>0</v>
      </c>
      <c r="J213" s="150">
        <v>0</v>
      </c>
      <c r="K213" s="145">
        <v>0.04</v>
      </c>
      <c r="L213" s="145">
        <v>0.04</v>
      </c>
      <c r="M213" s="145">
        <v>0.04</v>
      </c>
      <c r="N213" s="145">
        <v>0.03</v>
      </c>
      <c r="O213" s="145">
        <v>0.03</v>
      </c>
      <c r="P213" s="145">
        <v>0.03</v>
      </c>
      <c r="Q213" s="145">
        <v>0.03</v>
      </c>
      <c r="R213" s="145">
        <v>0.03</v>
      </c>
      <c r="S213" s="145">
        <v>0.03</v>
      </c>
      <c r="T213" s="145">
        <v>0.03</v>
      </c>
      <c r="U213" s="145">
        <v>0.03</v>
      </c>
      <c r="V213" s="145">
        <v>0.03</v>
      </c>
    </row>
    <row r="214" spans="1:22">
      <c r="A214" s="68" t="s">
        <v>285</v>
      </c>
      <c r="H214" s="150">
        <v>0</v>
      </c>
      <c r="I214" s="150">
        <v>0</v>
      </c>
      <c r="J214" s="150">
        <v>0</v>
      </c>
      <c r="K214" s="150">
        <v>0</v>
      </c>
      <c r="L214" s="150">
        <v>0</v>
      </c>
      <c r="M214" s="145">
        <v>0.1</v>
      </c>
      <c r="N214" s="145">
        <v>0.12</v>
      </c>
      <c r="O214" s="145">
        <v>0.13</v>
      </c>
      <c r="P214" s="145">
        <v>0.15</v>
      </c>
      <c r="Q214" s="145">
        <v>0.15</v>
      </c>
      <c r="R214" s="145">
        <v>0.15</v>
      </c>
      <c r="S214" s="145">
        <v>0.15</v>
      </c>
      <c r="T214" s="145">
        <v>0.15</v>
      </c>
      <c r="U214" s="145">
        <v>0.15</v>
      </c>
      <c r="V214" s="145">
        <v>0.15</v>
      </c>
    </row>
    <row r="215" spans="1:22">
      <c r="A215" s="68" t="s">
        <v>498</v>
      </c>
      <c r="H215" s="150">
        <v>0</v>
      </c>
      <c r="I215" s="150">
        <v>0</v>
      </c>
      <c r="J215" s="150">
        <v>0</v>
      </c>
      <c r="K215" s="150">
        <v>0</v>
      </c>
      <c r="L215" s="150">
        <v>0</v>
      </c>
      <c r="M215" s="150">
        <v>0</v>
      </c>
      <c r="N215" s="145">
        <v>0.12</v>
      </c>
      <c r="O215" s="145">
        <v>0.13</v>
      </c>
      <c r="P215" s="145">
        <v>0.14000000000000001</v>
      </c>
      <c r="Q215" s="145">
        <v>0.14000000000000001</v>
      </c>
      <c r="R215" s="145">
        <v>0.14000000000000001</v>
      </c>
      <c r="S215" s="145">
        <v>0.14000000000000001</v>
      </c>
      <c r="T215" s="145">
        <v>0.14000000000000001</v>
      </c>
      <c r="U215" s="145">
        <v>0.14000000000000001</v>
      </c>
      <c r="V215" s="145">
        <v>0.14000000000000001</v>
      </c>
    </row>
    <row r="216" spans="1:22">
      <c r="A216" s="68" t="s">
        <v>275</v>
      </c>
      <c r="H216" s="150">
        <v>0</v>
      </c>
      <c r="I216" s="150">
        <v>0</v>
      </c>
      <c r="J216" s="150">
        <v>0</v>
      </c>
      <c r="K216" s="150">
        <v>0</v>
      </c>
      <c r="L216" s="150">
        <v>0</v>
      </c>
      <c r="M216" s="145">
        <v>0.08</v>
      </c>
      <c r="N216" s="145">
        <v>0.08</v>
      </c>
      <c r="O216" s="145">
        <v>0.08</v>
      </c>
      <c r="P216" s="145">
        <v>0.08</v>
      </c>
      <c r="Q216" s="145">
        <v>0.08</v>
      </c>
      <c r="R216" s="145">
        <v>0.08</v>
      </c>
      <c r="S216" s="145">
        <v>0.08</v>
      </c>
      <c r="T216" s="145">
        <v>0.08</v>
      </c>
      <c r="U216" s="145">
        <v>0.08</v>
      </c>
      <c r="V216" s="145">
        <v>0.08</v>
      </c>
    </row>
    <row r="217" spans="1:22">
      <c r="A217" s="68" t="s">
        <v>277</v>
      </c>
      <c r="H217" s="150">
        <v>0</v>
      </c>
      <c r="I217" s="150">
        <v>0</v>
      </c>
      <c r="J217" s="150">
        <v>0</v>
      </c>
      <c r="K217" s="150">
        <v>0</v>
      </c>
      <c r="L217" s="150">
        <v>0</v>
      </c>
      <c r="M217" s="150">
        <v>0</v>
      </c>
      <c r="N217" s="150">
        <v>0</v>
      </c>
      <c r="O217" s="150">
        <v>0</v>
      </c>
      <c r="P217" s="153">
        <v>5.0000000000000001E-3</v>
      </c>
      <c r="Q217" s="153">
        <v>5.0000000000000001E-3</v>
      </c>
      <c r="R217" s="153">
        <v>5.0000000000000001E-3</v>
      </c>
      <c r="S217" s="153">
        <v>5.0000000000000001E-3</v>
      </c>
      <c r="T217" s="153">
        <v>5.0000000000000001E-3</v>
      </c>
      <c r="U217" s="153">
        <v>5.0000000000000001E-3</v>
      </c>
      <c r="V217" s="153">
        <v>5.0000000000000001E-3</v>
      </c>
    </row>
    <row r="218" spans="1:22">
      <c r="A218" s="68" t="s">
        <v>279</v>
      </c>
      <c r="H218" s="150">
        <v>0</v>
      </c>
      <c r="I218" s="150">
        <v>0</v>
      </c>
      <c r="J218" s="150">
        <v>0</v>
      </c>
      <c r="K218" s="150">
        <v>0</v>
      </c>
      <c r="L218" s="150">
        <v>0</v>
      </c>
      <c r="M218" s="150">
        <v>0</v>
      </c>
      <c r="N218" s="145">
        <v>0.1</v>
      </c>
      <c r="O218" s="145">
        <v>0.12</v>
      </c>
      <c r="P218" s="145">
        <v>0.14000000000000001</v>
      </c>
      <c r="Q218" s="145">
        <v>0.14000000000000001</v>
      </c>
      <c r="R218" s="145">
        <v>0.14000000000000001</v>
      </c>
      <c r="S218" s="145">
        <v>0.14000000000000001</v>
      </c>
      <c r="T218" s="145">
        <v>0.14000000000000001</v>
      </c>
      <c r="U218" s="145">
        <v>0.14000000000000001</v>
      </c>
      <c r="V218" s="145">
        <v>0.14000000000000001</v>
      </c>
    </row>
    <row r="219" spans="1:22">
      <c r="A219" s="68" t="s">
        <v>281</v>
      </c>
      <c r="H219" s="150">
        <v>0</v>
      </c>
      <c r="I219" s="150">
        <v>0</v>
      </c>
      <c r="J219" s="150">
        <v>0</v>
      </c>
      <c r="K219" s="150">
        <v>0</v>
      </c>
      <c r="L219" s="150">
        <v>0</v>
      </c>
      <c r="M219" s="150">
        <v>0</v>
      </c>
      <c r="N219" s="150">
        <v>0</v>
      </c>
      <c r="O219" s="145">
        <v>0.02</v>
      </c>
      <c r="P219" s="145">
        <v>0.02</v>
      </c>
      <c r="Q219" s="145">
        <v>0.02</v>
      </c>
      <c r="R219" s="145">
        <v>0.02</v>
      </c>
      <c r="S219" s="145">
        <v>0.02</v>
      </c>
      <c r="T219" s="145">
        <v>0.02</v>
      </c>
      <c r="U219" s="145">
        <v>0.02</v>
      </c>
      <c r="V219" s="145">
        <v>0.02</v>
      </c>
    </row>
    <row r="220" spans="1:22">
      <c r="A220" s="68" t="s">
        <v>283</v>
      </c>
      <c r="H220" s="150">
        <v>0</v>
      </c>
      <c r="I220" s="150">
        <v>0</v>
      </c>
      <c r="J220" s="150">
        <v>0</v>
      </c>
      <c r="K220" s="150">
        <v>0</v>
      </c>
      <c r="L220" s="150">
        <v>0</v>
      </c>
      <c r="M220" s="150">
        <v>0</v>
      </c>
      <c r="N220" s="145">
        <v>0.05</v>
      </c>
      <c r="O220" s="145">
        <v>0.06</v>
      </c>
      <c r="P220" s="145">
        <v>0.06</v>
      </c>
      <c r="Q220" s="145">
        <v>0.06</v>
      </c>
      <c r="R220" s="145">
        <v>0.06</v>
      </c>
      <c r="S220" s="145">
        <v>0.06</v>
      </c>
      <c r="T220" s="145">
        <v>0.06</v>
      </c>
      <c r="U220" s="145">
        <v>0.06</v>
      </c>
      <c r="V220" s="145">
        <v>0.06</v>
      </c>
    </row>
    <row r="222" spans="1:22" s="198" customFormat="1">
      <c r="A222" s="198" t="s">
        <v>651</v>
      </c>
    </row>
    <row r="224" spans="1:22">
      <c r="A224" s="80" t="s">
        <v>547</v>
      </c>
    </row>
    <row r="225" spans="1:22">
      <c r="A225" s="68" t="s">
        <v>253</v>
      </c>
      <c r="H225" s="150">
        <v>0</v>
      </c>
      <c r="I225" s="150">
        <v>0</v>
      </c>
      <c r="J225" s="150">
        <v>0</v>
      </c>
      <c r="K225" s="145">
        <v>0.08</v>
      </c>
      <c r="L225" s="145">
        <v>0.08</v>
      </c>
      <c r="M225" s="145">
        <v>7.0000000000000007E-2</v>
      </c>
      <c r="N225" s="145">
        <v>0.06</v>
      </c>
      <c r="O225" s="145">
        <v>0.06</v>
      </c>
      <c r="P225" s="145">
        <v>0.05</v>
      </c>
      <c r="Q225" s="145">
        <v>0.05</v>
      </c>
      <c r="R225" s="145">
        <v>0.05</v>
      </c>
      <c r="S225" s="145">
        <v>0.05</v>
      </c>
      <c r="T225" s="145">
        <v>0.05</v>
      </c>
      <c r="U225" s="145">
        <v>0.05</v>
      </c>
      <c r="V225" s="145">
        <v>0.05</v>
      </c>
    </row>
    <row r="226" spans="1:22">
      <c r="A226" s="68" t="s">
        <v>255</v>
      </c>
      <c r="H226" s="150">
        <v>0</v>
      </c>
      <c r="I226" s="150">
        <v>0</v>
      </c>
      <c r="J226" s="150">
        <v>0</v>
      </c>
      <c r="K226" s="145">
        <v>0.02</v>
      </c>
      <c r="L226" s="145">
        <v>0.02</v>
      </c>
      <c r="M226" s="145">
        <v>0.02</v>
      </c>
      <c r="N226" s="145">
        <v>0.02</v>
      </c>
      <c r="O226" s="145">
        <v>0.02</v>
      </c>
      <c r="P226" s="145">
        <v>0.02</v>
      </c>
      <c r="Q226" s="145">
        <v>0.02</v>
      </c>
      <c r="R226" s="145">
        <v>0.02</v>
      </c>
      <c r="S226" s="145">
        <v>0.02</v>
      </c>
      <c r="T226" s="145">
        <v>0.02</v>
      </c>
      <c r="U226" s="145">
        <v>0.02</v>
      </c>
      <c r="V226" s="145">
        <v>0.02</v>
      </c>
    </row>
    <row r="227" spans="1:22">
      <c r="A227" s="68" t="s">
        <v>257</v>
      </c>
      <c r="H227" s="150">
        <v>0</v>
      </c>
      <c r="I227" s="150">
        <v>0</v>
      </c>
      <c r="J227" s="150">
        <v>0</v>
      </c>
      <c r="K227" s="145">
        <v>0.08</v>
      </c>
      <c r="L227" s="145">
        <v>0.08</v>
      </c>
      <c r="M227" s="145">
        <v>7.0000000000000007E-2</v>
      </c>
      <c r="N227" s="145">
        <v>0.06</v>
      </c>
      <c r="O227" s="145">
        <v>0.06</v>
      </c>
      <c r="P227" s="145">
        <v>0.05</v>
      </c>
      <c r="Q227" s="145">
        <v>0.05</v>
      </c>
      <c r="R227" s="145">
        <v>0.05</v>
      </c>
      <c r="S227" s="145">
        <v>0.05</v>
      </c>
      <c r="T227" s="145">
        <v>0.05</v>
      </c>
      <c r="U227" s="145">
        <v>0.05</v>
      </c>
      <c r="V227" s="145">
        <v>0.05</v>
      </c>
    </row>
    <row r="228" spans="1:22">
      <c r="A228" s="68" t="s">
        <v>259</v>
      </c>
      <c r="H228" s="150">
        <v>0</v>
      </c>
      <c r="I228" s="150">
        <v>0</v>
      </c>
      <c r="J228" s="150">
        <v>0</v>
      </c>
      <c r="K228" s="145">
        <v>0.05</v>
      </c>
      <c r="L228" s="145">
        <v>0.05</v>
      </c>
      <c r="M228" s="145">
        <v>0.05</v>
      </c>
      <c r="N228" s="145">
        <v>0.05</v>
      </c>
      <c r="O228" s="145">
        <v>0.05</v>
      </c>
      <c r="P228" s="145">
        <v>0.04</v>
      </c>
      <c r="Q228" s="145">
        <v>0.04</v>
      </c>
      <c r="R228" s="145">
        <v>0.04</v>
      </c>
      <c r="S228" s="145">
        <v>0.04</v>
      </c>
      <c r="T228" s="145">
        <v>0.04</v>
      </c>
      <c r="U228" s="145">
        <v>0.04</v>
      </c>
      <c r="V228" s="145">
        <v>0.04</v>
      </c>
    </row>
    <row r="229" spans="1:22">
      <c r="A229" s="68" t="s">
        <v>261</v>
      </c>
      <c r="H229" s="150">
        <v>0</v>
      </c>
      <c r="I229" s="150">
        <v>0</v>
      </c>
      <c r="J229" s="150">
        <v>0</v>
      </c>
      <c r="K229" s="145">
        <v>0.25</v>
      </c>
      <c r="L229" s="145">
        <v>0.25</v>
      </c>
      <c r="M229" s="145">
        <v>0.22</v>
      </c>
      <c r="N229" s="145">
        <v>0.2</v>
      </c>
      <c r="O229" s="145">
        <v>0.18</v>
      </c>
      <c r="P229" s="145">
        <v>0.16</v>
      </c>
      <c r="Q229" s="145">
        <v>0.16</v>
      </c>
      <c r="R229" s="145">
        <v>0.16</v>
      </c>
      <c r="S229" s="145">
        <v>0.16</v>
      </c>
      <c r="T229" s="145">
        <v>0.16</v>
      </c>
      <c r="U229" s="145">
        <v>0.16</v>
      </c>
      <c r="V229" s="145">
        <v>0.16</v>
      </c>
    </row>
    <row r="230" spans="1:22">
      <c r="A230" s="68" t="s">
        <v>263</v>
      </c>
      <c r="H230" s="150">
        <v>0</v>
      </c>
      <c r="I230" s="150">
        <v>0</v>
      </c>
      <c r="J230" s="150">
        <v>0</v>
      </c>
      <c r="K230" s="145">
        <v>0.03</v>
      </c>
      <c r="L230" s="145">
        <v>0.03</v>
      </c>
      <c r="M230" s="145">
        <v>0.03</v>
      </c>
      <c r="N230" s="145">
        <v>0.03</v>
      </c>
      <c r="O230" s="145">
        <v>0.03</v>
      </c>
      <c r="P230" s="145">
        <v>0.03</v>
      </c>
      <c r="Q230" s="145">
        <v>0.03</v>
      </c>
      <c r="R230" s="145">
        <v>0.03</v>
      </c>
      <c r="S230" s="145">
        <v>0.03</v>
      </c>
      <c r="T230" s="145">
        <v>0.03</v>
      </c>
      <c r="U230" s="145">
        <v>0.03</v>
      </c>
      <c r="V230" s="145">
        <v>0.03</v>
      </c>
    </row>
    <row r="231" spans="1:22">
      <c r="A231" s="68" t="s">
        <v>265</v>
      </c>
      <c r="H231" s="150">
        <v>0</v>
      </c>
      <c r="I231" s="150">
        <v>0</v>
      </c>
      <c r="J231" s="150">
        <v>0</v>
      </c>
      <c r="K231" s="145">
        <v>0.01</v>
      </c>
      <c r="L231" s="145">
        <v>0.01</v>
      </c>
      <c r="M231" s="145">
        <v>0.01</v>
      </c>
      <c r="N231" s="145">
        <v>0.01</v>
      </c>
      <c r="O231" s="145">
        <v>0.01</v>
      </c>
      <c r="P231" s="145">
        <v>0.01</v>
      </c>
      <c r="Q231" s="145">
        <v>0.01</v>
      </c>
      <c r="R231" s="145">
        <v>0.01</v>
      </c>
      <c r="S231" s="145">
        <v>0.01</v>
      </c>
      <c r="T231" s="145">
        <v>0.01</v>
      </c>
      <c r="U231" s="145">
        <v>0.01</v>
      </c>
      <c r="V231" s="145">
        <v>0.01</v>
      </c>
    </row>
    <row r="232" spans="1:22">
      <c r="A232" s="68" t="s">
        <v>267</v>
      </c>
      <c r="H232" s="150">
        <v>0</v>
      </c>
      <c r="I232" s="150">
        <v>0</v>
      </c>
      <c r="J232" s="150">
        <v>0</v>
      </c>
      <c r="K232" s="145">
        <v>0.03</v>
      </c>
      <c r="L232" s="145">
        <v>0.03</v>
      </c>
      <c r="M232" s="145">
        <v>0.03</v>
      </c>
      <c r="N232" s="145">
        <v>0.03</v>
      </c>
      <c r="O232" s="145">
        <v>0.03</v>
      </c>
      <c r="P232" s="145">
        <v>0.03</v>
      </c>
      <c r="Q232" s="145">
        <v>0.03</v>
      </c>
      <c r="R232" s="145">
        <v>0.03</v>
      </c>
      <c r="S232" s="145">
        <v>0.03</v>
      </c>
      <c r="T232" s="145">
        <v>0.03</v>
      </c>
      <c r="U232" s="145">
        <v>0.03</v>
      </c>
      <c r="V232" s="145">
        <v>0.03</v>
      </c>
    </row>
    <row r="233" spans="1:22">
      <c r="A233" s="68" t="s">
        <v>270</v>
      </c>
      <c r="H233" s="150">
        <v>0</v>
      </c>
      <c r="I233" s="150">
        <v>0</v>
      </c>
      <c r="J233" s="150">
        <v>0</v>
      </c>
      <c r="K233" s="145">
        <v>0.03</v>
      </c>
      <c r="L233" s="145">
        <v>0.03</v>
      </c>
      <c r="M233" s="145">
        <v>0.03</v>
      </c>
      <c r="N233" s="145">
        <v>0.03</v>
      </c>
      <c r="O233" s="145">
        <v>0.03</v>
      </c>
      <c r="P233" s="145">
        <v>0.03</v>
      </c>
      <c r="Q233" s="145">
        <v>0.03</v>
      </c>
      <c r="R233" s="145">
        <v>0.03</v>
      </c>
      <c r="S233" s="145">
        <v>0.03</v>
      </c>
      <c r="T233" s="145">
        <v>0.03</v>
      </c>
      <c r="U233" s="145">
        <v>0.03</v>
      </c>
      <c r="V233" s="145">
        <v>0.03</v>
      </c>
    </row>
    <row r="234" spans="1:22">
      <c r="A234" s="68" t="s">
        <v>285</v>
      </c>
      <c r="H234" s="150">
        <v>0</v>
      </c>
      <c r="I234" s="150">
        <v>0</v>
      </c>
      <c r="J234" s="150">
        <v>0</v>
      </c>
      <c r="K234" s="150">
        <v>0</v>
      </c>
      <c r="L234" s="150">
        <v>0</v>
      </c>
      <c r="M234" s="145">
        <v>0.12</v>
      </c>
      <c r="N234" s="145">
        <v>0.12</v>
      </c>
      <c r="O234" s="145">
        <v>0.13</v>
      </c>
      <c r="P234" s="145">
        <v>0.14000000000000001</v>
      </c>
      <c r="Q234" s="145">
        <v>0.14000000000000001</v>
      </c>
      <c r="R234" s="145">
        <v>0.14000000000000001</v>
      </c>
      <c r="S234" s="145">
        <v>0.14000000000000001</v>
      </c>
      <c r="T234" s="145">
        <v>0.14000000000000001</v>
      </c>
      <c r="U234" s="145">
        <v>0.14000000000000001</v>
      </c>
      <c r="V234" s="145">
        <v>0.14000000000000001</v>
      </c>
    </row>
    <row r="235" spans="1:22">
      <c r="A235" t="s">
        <v>498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0.06</v>
      </c>
      <c r="O235">
        <v>7.0000000000000007E-2</v>
      </c>
      <c r="P235">
        <v>0.08</v>
      </c>
      <c r="Q235">
        <v>0.08</v>
      </c>
      <c r="R235">
        <v>0.08</v>
      </c>
      <c r="S235">
        <v>0.08</v>
      </c>
      <c r="T235">
        <v>0.08</v>
      </c>
      <c r="U235">
        <v>0.08</v>
      </c>
      <c r="V235">
        <v>0.08</v>
      </c>
    </row>
    <row r="236" spans="1:22">
      <c r="A236" t="s">
        <v>275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0.08</v>
      </c>
      <c r="N236">
        <v>0.08</v>
      </c>
      <c r="O236">
        <v>0.08</v>
      </c>
      <c r="P236">
        <v>0.08</v>
      </c>
      <c r="Q236">
        <v>0.08</v>
      </c>
      <c r="R236">
        <v>0.08</v>
      </c>
      <c r="S236">
        <v>0.08</v>
      </c>
      <c r="T236">
        <v>0.08</v>
      </c>
      <c r="U236">
        <v>0.08</v>
      </c>
      <c r="V236">
        <v>0.08</v>
      </c>
    </row>
    <row r="237" spans="1:22">
      <c r="A237" s="68" t="s">
        <v>277</v>
      </c>
      <c r="H237" s="150">
        <v>0</v>
      </c>
      <c r="I237" s="150">
        <v>0</v>
      </c>
      <c r="J237" s="150">
        <v>0</v>
      </c>
      <c r="K237" s="150">
        <v>0</v>
      </c>
      <c r="L237" s="150">
        <v>0</v>
      </c>
      <c r="M237" s="150">
        <v>0</v>
      </c>
      <c r="N237" s="150">
        <v>0</v>
      </c>
      <c r="O237" s="150">
        <v>0</v>
      </c>
      <c r="P237" s="145">
        <v>0.01</v>
      </c>
      <c r="Q237" s="145">
        <v>0.01</v>
      </c>
      <c r="R237" s="145">
        <v>0.01</v>
      </c>
      <c r="S237" s="145">
        <v>0.01</v>
      </c>
      <c r="T237" s="145">
        <v>0.01</v>
      </c>
      <c r="U237" s="145">
        <v>0.01</v>
      </c>
      <c r="V237" s="145">
        <v>0.01</v>
      </c>
    </row>
    <row r="238" spans="1:22">
      <c r="A238" s="68" t="s">
        <v>279</v>
      </c>
      <c r="H238" s="150">
        <v>0</v>
      </c>
      <c r="I238" s="150">
        <v>0</v>
      </c>
      <c r="J238" s="150">
        <v>0</v>
      </c>
      <c r="K238" s="150">
        <v>0</v>
      </c>
      <c r="L238" s="150">
        <v>0</v>
      </c>
      <c r="M238" s="150">
        <v>0</v>
      </c>
      <c r="N238" s="145">
        <v>7.0000000000000007E-2</v>
      </c>
      <c r="O238" s="145">
        <v>0.08</v>
      </c>
      <c r="P238" s="145">
        <v>0.08</v>
      </c>
      <c r="Q238" s="145">
        <v>0.08</v>
      </c>
      <c r="R238" s="145">
        <v>0.08</v>
      </c>
      <c r="S238" s="145">
        <v>0.08</v>
      </c>
      <c r="T238" s="145">
        <v>0.08</v>
      </c>
      <c r="U238" s="145">
        <v>0.08</v>
      </c>
      <c r="V238" s="145">
        <v>0.08</v>
      </c>
    </row>
    <row r="239" spans="1:22">
      <c r="A239" s="68" t="s">
        <v>281</v>
      </c>
      <c r="H239" s="150">
        <v>0</v>
      </c>
      <c r="I239" s="150">
        <v>0</v>
      </c>
      <c r="J239" s="150">
        <v>0</v>
      </c>
      <c r="K239" s="150">
        <v>0</v>
      </c>
      <c r="L239" s="150">
        <v>0</v>
      </c>
      <c r="M239" s="150">
        <v>0</v>
      </c>
      <c r="N239" s="150">
        <v>0</v>
      </c>
      <c r="O239" s="145">
        <v>0.02</v>
      </c>
      <c r="P239" s="145">
        <v>0.02</v>
      </c>
      <c r="Q239" s="145">
        <v>0.02</v>
      </c>
      <c r="R239" s="145">
        <v>0.02</v>
      </c>
      <c r="S239" s="145">
        <v>0.02</v>
      </c>
      <c r="T239" s="145">
        <v>0.02</v>
      </c>
      <c r="U239" s="145">
        <v>0.02</v>
      </c>
      <c r="V239" s="145">
        <v>0.02</v>
      </c>
    </row>
    <row r="240" spans="1:22">
      <c r="A240" s="68" t="s">
        <v>283</v>
      </c>
      <c r="H240" s="150">
        <v>0</v>
      </c>
      <c r="I240" s="150">
        <v>0</v>
      </c>
      <c r="J240" s="150">
        <v>0</v>
      </c>
      <c r="K240" s="150">
        <v>0</v>
      </c>
      <c r="L240" s="150">
        <v>0</v>
      </c>
      <c r="M240" s="150">
        <v>0</v>
      </c>
      <c r="N240" s="145">
        <v>0.05</v>
      </c>
      <c r="O240" s="145">
        <v>0.06</v>
      </c>
      <c r="P240" s="145">
        <v>0.06</v>
      </c>
      <c r="Q240" s="145">
        <v>0.06</v>
      </c>
      <c r="R240" s="145">
        <v>0.06</v>
      </c>
      <c r="S240" s="145">
        <v>0.06</v>
      </c>
      <c r="T240" s="145">
        <v>0.06</v>
      </c>
      <c r="U240" s="145">
        <v>0.06</v>
      </c>
      <c r="V240" s="145">
        <v>0.06</v>
      </c>
    </row>
    <row r="242" spans="1:22">
      <c r="A242" s="3" t="s">
        <v>650</v>
      </c>
      <c r="H242" s="150">
        <v>0.1</v>
      </c>
      <c r="I242" s="150">
        <v>0.1</v>
      </c>
      <c r="J242" s="150">
        <v>0.1</v>
      </c>
      <c r="K242" s="150">
        <v>0.1</v>
      </c>
      <c r="L242" s="150">
        <v>0.1</v>
      </c>
      <c r="M242" s="150">
        <v>0.1</v>
      </c>
      <c r="N242" s="150">
        <v>0.1</v>
      </c>
      <c r="O242" s="150">
        <v>0.1</v>
      </c>
      <c r="P242" s="150">
        <v>0.1</v>
      </c>
      <c r="Q242" s="150">
        <v>0.1</v>
      </c>
      <c r="R242" s="150">
        <v>0.1</v>
      </c>
      <c r="S242" s="150">
        <v>0.1</v>
      </c>
      <c r="T242" s="150">
        <v>0.1</v>
      </c>
      <c r="U242" s="150">
        <v>0.1</v>
      </c>
      <c r="V242" s="150">
        <v>0.1</v>
      </c>
    </row>
    <row r="243" spans="1:22">
      <c r="A243" s="3" t="s">
        <v>56</v>
      </c>
      <c r="H243" s="59">
        <v>1.1000000000000001</v>
      </c>
      <c r="I243" s="59">
        <v>1.21</v>
      </c>
      <c r="J243" s="59">
        <v>1.331</v>
      </c>
      <c r="K243" s="59">
        <v>1.4641</v>
      </c>
      <c r="L243" s="59">
        <v>1.6105</v>
      </c>
      <c r="M243" s="59">
        <v>1.7716000000000001</v>
      </c>
      <c r="N243" s="59">
        <v>1.9487000000000001</v>
      </c>
      <c r="O243" s="59">
        <v>2.1436000000000002</v>
      </c>
      <c r="P243" s="59">
        <v>2.3578999999999999</v>
      </c>
      <c r="Q243" s="59">
        <v>2.5937000000000001</v>
      </c>
      <c r="R243" s="59">
        <v>2.8531</v>
      </c>
      <c r="S243" s="59">
        <v>3.1383999999999999</v>
      </c>
      <c r="T243" s="59">
        <v>3.4523000000000001</v>
      </c>
      <c r="U243" s="59">
        <v>3.7974999999999999</v>
      </c>
      <c r="V243" s="59">
        <v>4.1772</v>
      </c>
    </row>
    <row r="245" spans="1:22" s="198" customFormat="1">
      <c r="A245" s="198" t="s">
        <v>652</v>
      </c>
    </row>
    <row r="247" spans="1:22" ht="55.2">
      <c r="A247" s="62" t="s">
        <v>547</v>
      </c>
      <c r="B247" s="169" t="s">
        <v>645</v>
      </c>
      <c r="H247" s="235" t="s">
        <v>656</v>
      </c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</row>
    <row r="248" spans="1:22">
      <c r="A248" s="68" t="s">
        <v>253</v>
      </c>
      <c r="B248" s="170">
        <v>105000</v>
      </c>
      <c r="H248" s="141">
        <f>B248*H243/10000000</f>
        <v>1.1550000000000001E-2</v>
      </c>
      <c r="I248" s="141">
        <f>B248*I243/10000000</f>
        <v>1.2704999999999999E-2</v>
      </c>
      <c r="J248" s="141">
        <f>B248*J243/10000000</f>
        <v>1.39755E-2</v>
      </c>
      <c r="K248" s="141">
        <f>B248*K243/10000000</f>
        <v>1.5373049999999999E-2</v>
      </c>
      <c r="L248" s="141">
        <f>B248*L243/10000000</f>
        <v>1.6910250000000002E-2</v>
      </c>
      <c r="M248" s="141">
        <f>B248*M243/10000000</f>
        <v>1.8601800000000002E-2</v>
      </c>
      <c r="N248" s="141">
        <f>B248*N243/10000000</f>
        <v>2.046135E-2</v>
      </c>
      <c r="O248" s="141">
        <f>B248*O243/10000000</f>
        <v>2.2507800000000001E-2</v>
      </c>
      <c r="P248" s="141">
        <f>B248*P243/10000000</f>
        <v>2.4757950000000001E-2</v>
      </c>
      <c r="Q248" s="141">
        <f>B248*Q243/10000000</f>
        <v>2.723385E-2</v>
      </c>
      <c r="R248" s="141">
        <f>B248*R243/10000000</f>
        <v>2.9957549999999999E-2</v>
      </c>
      <c r="S248" s="141">
        <f>B248*S243/10000000</f>
        <v>3.2953200000000002E-2</v>
      </c>
      <c r="T248" s="141">
        <f>B248*T243/10000000</f>
        <v>3.6249150000000001E-2</v>
      </c>
      <c r="U248" s="141">
        <f>B248*U243/10000000</f>
        <v>3.9873749999999999E-2</v>
      </c>
      <c r="V248" s="141">
        <f>B248*V243/10000000</f>
        <v>4.38606E-2</v>
      </c>
    </row>
    <row r="249" spans="1:22">
      <c r="A249" s="68" t="s">
        <v>255</v>
      </c>
      <c r="B249" s="170">
        <v>10000</v>
      </c>
      <c r="H249" s="141">
        <f>B249*H243/10000000</f>
        <v>1.1000000000000001E-3</v>
      </c>
      <c r="I249" s="141">
        <f>B249*I243/10000000</f>
        <v>1.2099999999999999E-3</v>
      </c>
      <c r="J249" s="141">
        <f>B249*J243/10000000</f>
        <v>1.3309999999999999E-3</v>
      </c>
      <c r="K249" s="141">
        <f>B249*K243/10000000</f>
        <v>1.4641000000000001E-3</v>
      </c>
      <c r="L249" s="141">
        <f>B249*L243/10000000</f>
        <v>1.6105E-3</v>
      </c>
      <c r="M249" s="141">
        <f>B249*M243/10000000</f>
        <v>1.7715999999999999E-3</v>
      </c>
      <c r="N249" s="141">
        <f>B249*N243/10000000</f>
        <v>1.9487E-3</v>
      </c>
      <c r="O249" s="141">
        <f>B249*O243/10000000</f>
        <v>2.1435999999999998E-3</v>
      </c>
      <c r="P249" s="141">
        <f>B249*P243/10000000</f>
        <v>2.3579E-3</v>
      </c>
      <c r="Q249" s="141">
        <f>B249*Q243/10000000</f>
        <v>2.5937E-3</v>
      </c>
      <c r="R249" s="141">
        <f>B249*R243/10000000</f>
        <v>2.8530999999999999E-3</v>
      </c>
      <c r="S249" s="141">
        <f>B249*S243/10000000</f>
        <v>3.1384E-3</v>
      </c>
      <c r="T249" s="141">
        <f>B249*T243/10000000</f>
        <v>3.4523000000000002E-3</v>
      </c>
      <c r="U249" s="141">
        <f>B249*U243/10000000</f>
        <v>3.7975000000000001E-3</v>
      </c>
      <c r="V249" s="141">
        <f>B249*V243/10000000</f>
        <v>4.1771999999999998E-3</v>
      </c>
    </row>
    <row r="250" spans="1:22">
      <c r="A250" s="68" t="s">
        <v>257</v>
      </c>
      <c r="B250" s="170">
        <v>25000</v>
      </c>
      <c r="H250" s="141">
        <f>B250*H243/10000000</f>
        <v>2.7500000000000003E-3</v>
      </c>
      <c r="I250" s="141">
        <f>B250*I243/10000000</f>
        <v>3.0249999999999999E-3</v>
      </c>
      <c r="J250" s="141">
        <f>B250*J243/10000000</f>
        <v>3.3275000000000002E-3</v>
      </c>
      <c r="K250" s="141">
        <f>B250*K243/10000000</f>
        <v>3.6602499999999999E-3</v>
      </c>
      <c r="L250" s="141">
        <f>B250*L243/10000000</f>
        <v>4.0262500000000003E-3</v>
      </c>
      <c r="M250" s="141">
        <f>B250*M243/10000000</f>
        <v>4.4289999999999998E-3</v>
      </c>
      <c r="N250" s="141">
        <f>B250*N243/10000000</f>
        <v>4.8717500000000002E-3</v>
      </c>
      <c r="O250" s="141">
        <f>B250*O243/10000000</f>
        <v>5.3590000000000009E-3</v>
      </c>
      <c r="P250" s="141">
        <f>B250*P243/10000000</f>
        <v>5.8947499999999998E-3</v>
      </c>
      <c r="Q250" s="141">
        <f>B250*Q243/10000000</f>
        <v>6.4842500000000004E-3</v>
      </c>
      <c r="R250" s="141">
        <f>B250*R243/10000000</f>
        <v>7.1327500000000002E-3</v>
      </c>
      <c r="S250" s="141">
        <f>B250*S243/10000000</f>
        <v>7.8460000000000005E-3</v>
      </c>
      <c r="T250" s="141">
        <f>B250*T243/10000000</f>
        <v>8.6307499999999995E-3</v>
      </c>
      <c r="U250" s="141">
        <f>B250*U243/10000000</f>
        <v>9.4937500000000005E-3</v>
      </c>
      <c r="V250" s="141">
        <f>B250*V243/10000000</f>
        <v>1.0442999999999999E-2</v>
      </c>
    </row>
    <row r="251" spans="1:22">
      <c r="A251" s="68" t="s">
        <v>259</v>
      </c>
      <c r="B251" s="170">
        <v>37500</v>
      </c>
      <c r="H251" s="141">
        <f>B251*H243/10000000</f>
        <v>4.1250000000000002E-3</v>
      </c>
      <c r="I251" s="141">
        <f>B251*I243/10000000</f>
        <v>4.5374999999999999E-3</v>
      </c>
      <c r="J251" s="141">
        <f>B251*J243/10000000</f>
        <v>4.99125E-3</v>
      </c>
      <c r="K251" s="141">
        <f>B251*K243/10000000</f>
        <v>5.4903749999999996E-3</v>
      </c>
      <c r="L251" s="141">
        <f>B251*L243/10000000</f>
        <v>6.0393749999999996E-3</v>
      </c>
      <c r="M251" s="141">
        <f>B251*M243/10000000</f>
        <v>6.6435000000000001E-3</v>
      </c>
      <c r="N251" s="141">
        <f>B251*N243/10000000</f>
        <v>7.3076249999999999E-3</v>
      </c>
      <c r="O251" s="141">
        <f>B251*O243/10000000</f>
        <v>8.0385000000000005E-3</v>
      </c>
      <c r="P251" s="141">
        <f>B251*P243/10000000</f>
        <v>8.8421249999999993E-3</v>
      </c>
      <c r="Q251" s="141">
        <f>B251*Q243/10000000</f>
        <v>9.7263750000000006E-3</v>
      </c>
      <c r="R251" s="141">
        <f>B251*R243/10000000</f>
        <v>1.0699125E-2</v>
      </c>
      <c r="S251" s="141">
        <f>B251*S243/10000000</f>
        <v>1.1769E-2</v>
      </c>
      <c r="T251" s="141">
        <f>B251*T243/10000000</f>
        <v>1.2946124999999999E-2</v>
      </c>
      <c r="U251" s="141">
        <f>B251*U243/10000000</f>
        <v>1.4240625E-2</v>
      </c>
      <c r="V251" s="141">
        <f>B251*V243/10000000</f>
        <v>1.5664500000000001E-2</v>
      </c>
    </row>
    <row r="252" spans="1:22">
      <c r="A252" s="68" t="s">
        <v>261</v>
      </c>
      <c r="B252" s="170">
        <v>120000</v>
      </c>
      <c r="H252" s="141">
        <f>B252*H243/10000000</f>
        <v>1.32E-2</v>
      </c>
      <c r="I252" s="141">
        <f>B252*I243/10000000</f>
        <v>1.452E-2</v>
      </c>
      <c r="J252" s="141">
        <f>B252*J243/10000000</f>
        <v>1.5972E-2</v>
      </c>
      <c r="K252" s="141">
        <f>B252*K243/10000000</f>
        <v>1.75692E-2</v>
      </c>
      <c r="L252" s="141">
        <f>B252*L243/10000000</f>
        <v>1.9325999999999999E-2</v>
      </c>
      <c r="M252" s="141">
        <f>B252*M243/10000000</f>
        <v>2.1259199999999999E-2</v>
      </c>
      <c r="N252" s="141">
        <f>B252*N243/10000000</f>
        <v>2.33844E-2</v>
      </c>
      <c r="O252" s="141">
        <f>B252*O243/10000000</f>
        <v>2.5723200000000002E-2</v>
      </c>
      <c r="P252" s="141">
        <f>B252*P243/10000000</f>
        <v>2.8294799999999998E-2</v>
      </c>
      <c r="Q252" s="141">
        <f>B252*Q243/10000000</f>
        <v>3.11244E-2</v>
      </c>
      <c r="R252" s="141">
        <f>B252*R243/10000000</f>
        <v>3.4237200000000002E-2</v>
      </c>
      <c r="S252" s="141">
        <f>B252*S243/10000000</f>
        <v>3.7660800000000001E-2</v>
      </c>
      <c r="T252" s="141">
        <f>B252*T243/10000000</f>
        <v>4.1427600000000002E-2</v>
      </c>
      <c r="U252" s="141">
        <f>B252*U243/10000000</f>
        <v>4.5569999999999999E-2</v>
      </c>
      <c r="V252" s="141">
        <f>B252*V243/10000000</f>
        <v>5.0126400000000002E-2</v>
      </c>
    </row>
    <row r="253" spans="1:22">
      <c r="A253" s="68" t="s">
        <v>263</v>
      </c>
      <c r="B253" s="170">
        <v>22500</v>
      </c>
      <c r="H253" s="141">
        <f>B253*H243/10000000</f>
        <v>2.4750000000000002E-3</v>
      </c>
      <c r="I253" s="141">
        <f>B253*I243/10000000</f>
        <v>2.7225000000000001E-3</v>
      </c>
      <c r="J253" s="141">
        <f>B253*J243/10000000</f>
        <v>2.99475E-3</v>
      </c>
      <c r="K253" s="141">
        <f>B253*K243/10000000</f>
        <v>3.294225E-3</v>
      </c>
      <c r="L253" s="141">
        <f>B253*L243/10000000</f>
        <v>3.6236250000000001E-3</v>
      </c>
      <c r="M253" s="141">
        <f>B253*M243/10000000</f>
        <v>3.9861000000000002E-3</v>
      </c>
      <c r="N253" s="141">
        <f>B253*N243/10000000</f>
        <v>4.3845749999999999E-3</v>
      </c>
      <c r="O253" s="141">
        <f>B253*O243/10000000</f>
        <v>4.8231000000000003E-3</v>
      </c>
      <c r="P253" s="141">
        <f>B253*P243/10000000</f>
        <v>5.3052749999999999E-3</v>
      </c>
      <c r="Q253" s="141">
        <f>B253*Q243/10000000</f>
        <v>5.8358250000000002E-3</v>
      </c>
      <c r="R253" s="141">
        <f>B253*R243/10000000</f>
        <v>6.419475E-3</v>
      </c>
      <c r="S253" s="141">
        <f>B253*S243/10000000</f>
        <v>7.0613999999999998E-3</v>
      </c>
      <c r="T253" s="141">
        <f>B253*T243/10000000</f>
        <v>7.7676749999999999E-3</v>
      </c>
      <c r="U253" s="141">
        <f>B253*U243/10000000</f>
        <v>8.5443749999999999E-3</v>
      </c>
      <c r="V253" s="141">
        <f>B253*V243/10000000</f>
        <v>9.3986999999999994E-3</v>
      </c>
    </row>
    <row r="254" spans="1:22">
      <c r="A254" s="68" t="s">
        <v>265</v>
      </c>
      <c r="B254" s="170">
        <v>6000</v>
      </c>
      <c r="H254" s="141">
        <f>B254*H243/10000000</f>
        <v>6.600000000000001E-4</v>
      </c>
      <c r="I254" s="141">
        <f>B254*I243/10000000</f>
        <v>7.2599999999999997E-4</v>
      </c>
      <c r="J254" s="141">
        <f>B254*J243/10000000</f>
        <v>7.986E-4</v>
      </c>
      <c r="K254" s="141">
        <f>B254*K243/10000000</f>
        <v>8.7846000000000007E-4</v>
      </c>
      <c r="L254" s="141">
        <f>B254*L243/10000000</f>
        <v>9.6630000000000001E-4</v>
      </c>
      <c r="M254" s="141">
        <f>B254*M243/10000000</f>
        <v>1.0629599999999999E-3</v>
      </c>
      <c r="N254" s="141">
        <f>B254*N243/10000000</f>
        <v>1.1692200000000001E-3</v>
      </c>
      <c r="O254" s="141">
        <f>B254*O243/10000000</f>
        <v>1.28616E-3</v>
      </c>
      <c r="P254" s="141">
        <f>B254*P243/10000000</f>
        <v>1.4147400000000001E-3</v>
      </c>
      <c r="Q254" s="141">
        <f>B254*Q243/10000000</f>
        <v>1.5562200000000001E-3</v>
      </c>
      <c r="R254" s="141">
        <f>B254*R243/10000000</f>
        <v>1.7118599999999999E-3</v>
      </c>
      <c r="S254" s="141">
        <f>B254*S243/10000000</f>
        <v>1.8830399999999999E-3</v>
      </c>
      <c r="T254" s="141">
        <f>B254*T243/10000000</f>
        <v>2.0713799999999998E-3</v>
      </c>
      <c r="U254" s="141">
        <f>B254*U243/10000000</f>
        <v>2.2785000000000001E-3</v>
      </c>
      <c r="V254" s="141">
        <f>B254*V243/10000000</f>
        <v>2.5063200000000002E-3</v>
      </c>
    </row>
    <row r="255" spans="1:22">
      <c r="A255" s="3" t="s">
        <v>267</v>
      </c>
      <c r="B255" s="171">
        <v>62500</v>
      </c>
      <c r="H255" s="141">
        <f>B255*H243/10000000</f>
        <v>6.875E-3</v>
      </c>
      <c r="I255" s="141">
        <f>B255*I243/10000000</f>
        <v>7.5624999999999998E-3</v>
      </c>
      <c r="J255" s="141">
        <f>B255*J243/10000000</f>
        <v>8.3187499999999998E-3</v>
      </c>
      <c r="K255" s="141">
        <f>B255*K243/10000000</f>
        <v>9.1506250000000008E-3</v>
      </c>
      <c r="L255" s="141">
        <f>B255*L243/10000000</f>
        <v>1.0065625E-2</v>
      </c>
      <c r="M255" s="141">
        <f>B255*M243/10000000</f>
        <v>1.1072500000000001E-2</v>
      </c>
      <c r="N255" s="141">
        <f>B255*N243/10000000</f>
        <v>1.2179374999999999E-2</v>
      </c>
      <c r="O255" s="141">
        <f>B255*O243/10000000</f>
        <v>1.33975E-2</v>
      </c>
      <c r="P255" s="141">
        <f>B255*P243/10000000</f>
        <v>1.4736875E-2</v>
      </c>
      <c r="Q255" s="141">
        <f>B255*Q243/10000000</f>
        <v>1.6210624999999999E-2</v>
      </c>
      <c r="R255" s="141">
        <f>B255*R243/10000000</f>
        <v>1.7831875000000001E-2</v>
      </c>
      <c r="S255" s="141">
        <f>B255*S243/10000000</f>
        <v>1.9615E-2</v>
      </c>
      <c r="T255" s="141">
        <f>B255*T243/10000000</f>
        <v>2.1576874999999999E-2</v>
      </c>
      <c r="U255" s="141">
        <f>B255*U243/10000000</f>
        <v>2.3734374999999999E-2</v>
      </c>
      <c r="V255" s="141">
        <f>B255*V243/10000000</f>
        <v>2.6107499999999999E-2</v>
      </c>
    </row>
    <row r="256" spans="1:22">
      <c r="A256" s="68" t="s">
        <v>270</v>
      </c>
      <c r="B256" s="170">
        <v>12500</v>
      </c>
      <c r="H256" s="141">
        <f>B256*H243/10000000</f>
        <v>1.3750000000000001E-3</v>
      </c>
      <c r="I256" s="141">
        <f>B256*I243/10000000</f>
        <v>1.5125E-3</v>
      </c>
      <c r="J256" s="141">
        <f>B256*J243/10000000</f>
        <v>1.6637500000000001E-3</v>
      </c>
      <c r="K256" s="141">
        <f>B256*K243/10000000</f>
        <v>1.8301249999999999E-3</v>
      </c>
      <c r="L256" s="141">
        <f>B256*L243/10000000</f>
        <v>2.0131250000000002E-3</v>
      </c>
      <c r="M256" s="141">
        <f>B256*M243/10000000</f>
        <v>2.2144999999999999E-3</v>
      </c>
      <c r="N256" s="141">
        <f>B256*N243/10000000</f>
        <v>2.4358750000000001E-3</v>
      </c>
      <c r="O256" s="141">
        <f>B256*O243/10000000</f>
        <v>2.6795000000000005E-3</v>
      </c>
      <c r="P256" s="141">
        <f>B256*P243/10000000</f>
        <v>2.9473749999999999E-3</v>
      </c>
      <c r="Q256" s="141">
        <f>B256*Q243/10000000</f>
        <v>3.2421250000000002E-3</v>
      </c>
      <c r="R256" s="141">
        <f>B256*R243/10000000</f>
        <v>3.5663750000000001E-3</v>
      </c>
      <c r="S256" s="141">
        <f>B256*S243/10000000</f>
        <v>3.9230000000000003E-3</v>
      </c>
      <c r="T256" s="141">
        <f>B256*T243/10000000</f>
        <v>4.3153749999999998E-3</v>
      </c>
      <c r="U256" s="141">
        <f>B256*U243/10000000</f>
        <v>4.7468750000000002E-3</v>
      </c>
      <c r="V256" s="141">
        <f>B256*V243/10000000</f>
        <v>5.2214999999999996E-3</v>
      </c>
    </row>
    <row r="257" spans="1:22">
      <c r="A257" s="68" t="s">
        <v>285</v>
      </c>
      <c r="B257" s="170">
        <v>60000</v>
      </c>
      <c r="H257" s="141">
        <f>B257*H243/10000000</f>
        <v>6.6E-3</v>
      </c>
      <c r="I257" s="141">
        <f>B257*I243/10000000</f>
        <v>7.26E-3</v>
      </c>
      <c r="J257" s="141">
        <f>B257*J243/10000000</f>
        <v>7.986E-3</v>
      </c>
      <c r="K257" s="141">
        <f>B257*K243/10000000</f>
        <v>8.7846E-3</v>
      </c>
      <c r="L257" s="141">
        <f>B257*L243/10000000</f>
        <v>9.6629999999999997E-3</v>
      </c>
      <c r="M257" s="141">
        <f>B257*M243/10000000</f>
        <v>1.0629599999999999E-2</v>
      </c>
      <c r="N257" s="141">
        <f>B257*N243/10000000</f>
        <v>1.16922E-2</v>
      </c>
      <c r="O257" s="141">
        <f>B257*O243/10000000</f>
        <v>1.2861600000000001E-2</v>
      </c>
      <c r="P257" s="141">
        <f>B257*P243/10000000</f>
        <v>1.4147399999999999E-2</v>
      </c>
      <c r="Q257" s="141">
        <f>B257*Q243/10000000</f>
        <v>1.55622E-2</v>
      </c>
      <c r="R257" s="141">
        <f>B257*R243/10000000</f>
        <v>1.7118600000000001E-2</v>
      </c>
      <c r="S257" s="141">
        <f>B257*S243/10000000</f>
        <v>1.8830400000000001E-2</v>
      </c>
      <c r="T257" s="141">
        <f>B257*T243/10000000</f>
        <v>2.0713800000000001E-2</v>
      </c>
      <c r="U257" s="141">
        <f>B257*U243/10000000</f>
        <v>2.2785E-2</v>
      </c>
      <c r="V257" s="141">
        <f>B257*V243/10000000</f>
        <v>2.5063200000000001E-2</v>
      </c>
    </row>
    <row r="258" spans="1:22">
      <c r="A258" s="68" t="s">
        <v>498</v>
      </c>
      <c r="B258" s="170">
        <v>24000</v>
      </c>
      <c r="H258" s="141">
        <f>B258*H243/10000000</f>
        <v>2.6400000000000004E-3</v>
      </c>
      <c r="I258" s="141">
        <f>B258*I243/10000000</f>
        <v>2.9039999999999999E-3</v>
      </c>
      <c r="J258" s="141">
        <f>B258*J243/10000000</f>
        <v>3.1944E-3</v>
      </c>
      <c r="K258" s="141">
        <f>B258*K243/10000000</f>
        <v>3.5138400000000003E-3</v>
      </c>
      <c r="L258" s="141">
        <f>B258*L243/10000000</f>
        <v>3.8652000000000001E-3</v>
      </c>
      <c r="M258" s="141">
        <f>B258*M243/10000000</f>
        <v>4.2518399999999998E-3</v>
      </c>
      <c r="N258" s="141">
        <f>B258*N243/10000000</f>
        <v>4.6768800000000004E-3</v>
      </c>
      <c r="O258" s="141">
        <f>B258*O243/10000000</f>
        <v>5.1446399999999998E-3</v>
      </c>
      <c r="P258" s="141">
        <f>B258*P243/10000000</f>
        <v>5.6589600000000002E-3</v>
      </c>
      <c r="Q258" s="141">
        <f>B258*Q243/10000000</f>
        <v>6.2248800000000003E-3</v>
      </c>
      <c r="R258" s="141">
        <f>B258*R243/10000000</f>
        <v>6.8474399999999998E-3</v>
      </c>
      <c r="S258" s="141">
        <f>B258*S243/10000000</f>
        <v>7.5321599999999996E-3</v>
      </c>
      <c r="T258" s="141">
        <f>B258*T243/10000000</f>
        <v>8.2855199999999993E-3</v>
      </c>
      <c r="U258" s="141">
        <f>B258*U243/10000000</f>
        <v>9.1140000000000006E-3</v>
      </c>
      <c r="V258" s="141">
        <f>B258*V243/10000000</f>
        <v>1.0025280000000001E-2</v>
      </c>
    </row>
    <row r="259" spans="1:22">
      <c r="A259" s="68" t="s">
        <v>275</v>
      </c>
      <c r="B259" s="170">
        <v>37500</v>
      </c>
      <c r="H259" s="141">
        <f>B259*H243/10000000</f>
        <v>4.1250000000000002E-3</v>
      </c>
      <c r="I259" s="141">
        <f>B259*I243/10000000</f>
        <v>4.5374999999999999E-3</v>
      </c>
      <c r="J259" s="141">
        <f>B259*J243/10000000</f>
        <v>4.99125E-3</v>
      </c>
      <c r="K259" s="141">
        <f>B259*K243/10000000</f>
        <v>5.4903749999999996E-3</v>
      </c>
      <c r="L259" s="141">
        <f>B259*L243/10000000</f>
        <v>6.0393749999999996E-3</v>
      </c>
      <c r="M259" s="141">
        <f>B259*M243/10000000</f>
        <v>6.6435000000000001E-3</v>
      </c>
      <c r="N259" s="141">
        <f>B259*N243/10000000</f>
        <v>7.3076249999999999E-3</v>
      </c>
      <c r="O259" s="141">
        <f>B259*O243/10000000</f>
        <v>8.0385000000000005E-3</v>
      </c>
      <c r="P259" s="141">
        <f>B259*P243/10000000</f>
        <v>8.8421249999999993E-3</v>
      </c>
      <c r="Q259" s="141">
        <f>B259*Q243/10000000</f>
        <v>9.7263750000000006E-3</v>
      </c>
      <c r="R259" s="141">
        <f>B259*R243/10000000</f>
        <v>1.0699125E-2</v>
      </c>
      <c r="S259" s="141">
        <f>B259*S243/10000000</f>
        <v>1.1769E-2</v>
      </c>
      <c r="T259" s="141">
        <f>B259*T243/10000000</f>
        <v>1.2946124999999999E-2</v>
      </c>
      <c r="U259" s="141">
        <f>B259*U243/10000000</f>
        <v>1.4240625E-2</v>
      </c>
      <c r="V259" s="141">
        <f>B259*V243/10000000</f>
        <v>1.5664500000000001E-2</v>
      </c>
    </row>
    <row r="260" spans="1:22">
      <c r="A260" s="68" t="s">
        <v>277</v>
      </c>
      <c r="B260" s="170">
        <v>10000</v>
      </c>
      <c r="H260" s="141">
        <f>B260*H243/10000000</f>
        <v>1.1000000000000001E-3</v>
      </c>
      <c r="I260" s="141">
        <f>B260*I243/10000000</f>
        <v>1.2099999999999999E-3</v>
      </c>
      <c r="J260" s="141">
        <f>B260*J243/10000000</f>
        <v>1.3309999999999999E-3</v>
      </c>
      <c r="K260" s="141">
        <f>B260*K243/10000000</f>
        <v>1.4641000000000001E-3</v>
      </c>
      <c r="L260" s="141">
        <f>B260*L243/10000000</f>
        <v>1.6105E-3</v>
      </c>
      <c r="M260" s="141">
        <f>B260*M243/10000000</f>
        <v>1.7715999999999999E-3</v>
      </c>
      <c r="N260" s="141">
        <f>B260*N243/10000000</f>
        <v>1.9487E-3</v>
      </c>
      <c r="O260" s="141">
        <f>B260*O243/10000000</f>
        <v>2.1435999999999998E-3</v>
      </c>
      <c r="P260" s="141">
        <f>B260*P243/10000000</f>
        <v>2.3579E-3</v>
      </c>
      <c r="Q260" s="141">
        <f>B260*Q243/10000000</f>
        <v>2.5937E-3</v>
      </c>
      <c r="R260" s="141">
        <f>B260*R243/10000000</f>
        <v>2.8530999999999999E-3</v>
      </c>
      <c r="S260" s="141">
        <f>B260*S243/10000000</f>
        <v>3.1384E-3</v>
      </c>
      <c r="T260" s="141">
        <f>B260*T243/10000000</f>
        <v>3.4523000000000002E-3</v>
      </c>
      <c r="U260" s="141">
        <f>B260*U243/10000000</f>
        <v>3.7975000000000001E-3</v>
      </c>
      <c r="V260" s="141">
        <f>B260*V243/10000000</f>
        <v>4.1771999999999998E-3</v>
      </c>
    </row>
    <row r="261" spans="1:22">
      <c r="A261" s="68" t="s">
        <v>279</v>
      </c>
      <c r="B261" s="170">
        <v>19000</v>
      </c>
      <c r="H261" s="141">
        <f>B261*H243/10000000</f>
        <v>2.0899999999999998E-3</v>
      </c>
      <c r="I261" s="141">
        <f>B261*I243/10000000</f>
        <v>2.2989999999999998E-3</v>
      </c>
      <c r="J261" s="141">
        <f>B261*J243/10000000</f>
        <v>2.5289000000000002E-3</v>
      </c>
      <c r="K261" s="141">
        <f>B261*K243/10000000</f>
        <v>2.7817899999999997E-3</v>
      </c>
      <c r="L261" s="141">
        <f>B261*L243/10000000</f>
        <v>3.0599500000000001E-3</v>
      </c>
      <c r="M261" s="141">
        <f>B261*M243/10000000</f>
        <v>3.3660400000000003E-3</v>
      </c>
      <c r="N261" s="141">
        <f>B261*N243/10000000</f>
        <v>3.7025300000000003E-3</v>
      </c>
      <c r="O261" s="141">
        <f>B261*O243/10000000</f>
        <v>4.0728400000000003E-3</v>
      </c>
      <c r="P261" s="141">
        <f>B261*P243/10000000</f>
        <v>4.4800099999999995E-3</v>
      </c>
      <c r="Q261" s="141">
        <f>B261*Q243/10000000</f>
        <v>4.9280299999999999E-3</v>
      </c>
      <c r="R261" s="141">
        <f>B261*R243/10000000</f>
        <v>5.4208900000000003E-3</v>
      </c>
      <c r="S261" s="141">
        <f>B261*S243/10000000</f>
        <v>5.9629599999999998E-3</v>
      </c>
      <c r="T261" s="141">
        <f>B261*T243/10000000</f>
        <v>6.5593700000000001E-3</v>
      </c>
      <c r="U261" s="141">
        <f>B261*U243/10000000</f>
        <v>7.2152500000000003E-3</v>
      </c>
      <c r="V261" s="141">
        <f>B261*V243/10000000</f>
        <v>7.9366799999999998E-3</v>
      </c>
    </row>
    <row r="262" spans="1:22">
      <c r="A262" s="68" t="s">
        <v>281</v>
      </c>
      <c r="B262" s="170">
        <v>20000</v>
      </c>
      <c r="H262" s="141">
        <f>B262*H243/10000000</f>
        <v>2.2000000000000001E-3</v>
      </c>
      <c r="I262" s="141">
        <f>B262*I243/10000000</f>
        <v>2.4199999999999998E-3</v>
      </c>
      <c r="J262" s="141">
        <f>B262*J243/10000000</f>
        <v>2.6619999999999999E-3</v>
      </c>
      <c r="K262" s="141">
        <f>B262*K243/10000000</f>
        <v>2.9282000000000002E-3</v>
      </c>
      <c r="L262" s="141">
        <f>B262*L243/10000000</f>
        <v>3.2209999999999999E-3</v>
      </c>
      <c r="M262" s="141">
        <f>B262*M243/10000000</f>
        <v>3.5431999999999998E-3</v>
      </c>
      <c r="N262" s="141">
        <f>B262*N243/10000000</f>
        <v>3.8974000000000001E-3</v>
      </c>
      <c r="O262" s="141">
        <f>B262*O243/10000000</f>
        <v>4.2871999999999997E-3</v>
      </c>
      <c r="P262" s="141">
        <f>B262*P243/10000000</f>
        <v>4.7158E-3</v>
      </c>
      <c r="Q262" s="141">
        <f>B262*Q243/10000000</f>
        <v>5.1874E-3</v>
      </c>
      <c r="R262" s="141">
        <f>B262*R243/10000000</f>
        <v>5.7061999999999998E-3</v>
      </c>
      <c r="S262" s="141">
        <f>B262*S243/10000000</f>
        <v>6.2767999999999999E-3</v>
      </c>
      <c r="T262" s="141">
        <f>B262*T243/10000000</f>
        <v>6.9046000000000003E-3</v>
      </c>
      <c r="U262" s="141">
        <f>B262*U243/10000000</f>
        <v>7.5950000000000002E-3</v>
      </c>
      <c r="V262" s="141">
        <f>B262*V243/10000000</f>
        <v>8.3543999999999997E-3</v>
      </c>
    </row>
    <row r="263" spans="1:22">
      <c r="A263" s="68" t="s">
        <v>283</v>
      </c>
      <c r="B263" s="170">
        <v>50000</v>
      </c>
      <c r="H263" s="141">
        <f>B263*H243/10000000</f>
        <v>5.5000000000000005E-3</v>
      </c>
      <c r="I263" s="141">
        <f>B263*I243/10000000</f>
        <v>6.0499999999999998E-3</v>
      </c>
      <c r="J263" s="141">
        <f>B263*J243/10000000</f>
        <v>6.6550000000000003E-3</v>
      </c>
      <c r="K263" s="141">
        <f>B263*K243/10000000</f>
        <v>7.3204999999999998E-3</v>
      </c>
      <c r="L263" s="141">
        <f>B263*L243/10000000</f>
        <v>8.0525000000000006E-3</v>
      </c>
      <c r="M263" s="141">
        <f>B263*M243/10000000</f>
        <v>8.8579999999999996E-3</v>
      </c>
      <c r="N263" s="141">
        <f>B263*N243/10000000</f>
        <v>9.7435000000000004E-3</v>
      </c>
      <c r="O263" s="141">
        <f>B263*O243/10000000</f>
        <v>1.0718000000000002E-2</v>
      </c>
      <c r="P263" s="141">
        <f>B263*P243/10000000</f>
        <v>1.17895E-2</v>
      </c>
      <c r="Q263" s="141">
        <f>B263*Q243/10000000</f>
        <v>1.2968500000000001E-2</v>
      </c>
      <c r="R263" s="141">
        <f>B263*R243/10000000</f>
        <v>1.42655E-2</v>
      </c>
      <c r="S263" s="141">
        <f>B263*S243/10000000</f>
        <v>1.5692000000000001E-2</v>
      </c>
      <c r="T263" s="141">
        <f>B263*T243/10000000</f>
        <v>1.7261499999999999E-2</v>
      </c>
      <c r="U263" s="141">
        <f>B263*U243/10000000</f>
        <v>1.8987500000000001E-2</v>
      </c>
      <c r="V263" s="141">
        <f>B263*V243/10000000</f>
        <v>2.0885999999999998E-2</v>
      </c>
    </row>
    <row r="265" spans="1:22" s="198" customFormat="1">
      <c r="A265" s="198" t="s">
        <v>653</v>
      </c>
    </row>
    <row r="267" spans="1:22">
      <c r="A267" s="102" t="s">
        <v>547</v>
      </c>
    </row>
    <row r="268" spans="1:22">
      <c r="A268" s="68" t="s">
        <v>253</v>
      </c>
      <c r="H268" s="141">
        <f>H248*(H225*H200+H199*H205)</f>
        <v>0</v>
      </c>
      <c r="I268" s="141">
        <f t="shared" ref="I268:V268" si="55">I248*(I225*I200+I199*I205)</f>
        <v>0</v>
      </c>
      <c r="J268" s="141">
        <f t="shared" si="55"/>
        <v>0</v>
      </c>
      <c r="K268" s="141">
        <f t="shared" si="55"/>
        <v>4.057562817</v>
      </c>
      <c r="L268" s="141">
        <f t="shared" si="55"/>
        <v>5.2073423850000014</v>
      </c>
      <c r="M268" s="141">
        <f t="shared" si="55"/>
        <v>7.5781873020000008</v>
      </c>
      <c r="N268" s="141">
        <f t="shared" si="55"/>
        <v>9.1781431559999991</v>
      </c>
      <c r="O268" s="141">
        <f t="shared" si="55"/>
        <v>11.478978000000001</v>
      </c>
      <c r="P268" s="141">
        <f t="shared" si="55"/>
        <v>12.378975000000001</v>
      </c>
      <c r="Q268" s="141">
        <f t="shared" si="55"/>
        <v>15.65946375</v>
      </c>
      <c r="R268" s="141">
        <f t="shared" si="55"/>
        <v>18.723468749999999</v>
      </c>
      <c r="S268" s="141">
        <f t="shared" si="55"/>
        <v>22.243410000000001</v>
      </c>
      <c r="T268" s="141">
        <f t="shared" si="55"/>
        <v>25.374404999999999</v>
      </c>
      <c r="U268" s="141">
        <f t="shared" si="55"/>
        <v>28.908468750000001</v>
      </c>
      <c r="V268" s="141">
        <f t="shared" si="55"/>
        <v>32.895449999999997</v>
      </c>
    </row>
    <row r="269" spans="1:22">
      <c r="A269" s="68" t="s">
        <v>255</v>
      </c>
      <c r="H269" s="141">
        <f>H249*(H226*H200+H199*H206)</f>
        <v>0</v>
      </c>
      <c r="I269" s="141">
        <f t="shared" ref="I269:V269" si="56">I249*(I226*I200+I199*I206)</f>
        <v>0</v>
      </c>
      <c r="J269" s="141">
        <f t="shared" si="56"/>
        <v>0</v>
      </c>
      <c r="K269" s="141">
        <f t="shared" si="56"/>
        <v>0.140421831</v>
      </c>
      <c r="L269" s="141">
        <f t="shared" si="56"/>
        <v>0.180231055</v>
      </c>
      <c r="M269" s="141">
        <f t="shared" si="56"/>
        <v>0.27420824799999999</v>
      </c>
      <c r="N269" s="141">
        <f t="shared" si="56"/>
        <v>0.38412774399999999</v>
      </c>
      <c r="O269" s="141">
        <f t="shared" si="56"/>
        <v>0.51236327199999987</v>
      </c>
      <c r="P269" s="141">
        <f t="shared" si="56"/>
        <v>0.56731074000000004</v>
      </c>
      <c r="Q269" s="141">
        <f t="shared" si="56"/>
        <v>0.71765085299999998</v>
      </c>
      <c r="R269" s="141">
        <f t="shared" si="56"/>
        <v>0.85806982499999995</v>
      </c>
      <c r="S269" s="141">
        <f t="shared" si="56"/>
        <v>1.019383704</v>
      </c>
      <c r="T269" s="141">
        <f t="shared" si="56"/>
        <v>1.1628727320000001</v>
      </c>
      <c r="U269" s="141">
        <f t="shared" si="56"/>
        <v>1.324833825</v>
      </c>
      <c r="V269" s="141">
        <f t="shared" si="56"/>
        <v>1.5075514799999998</v>
      </c>
    </row>
    <row r="270" spans="1:22">
      <c r="A270" s="68" t="s">
        <v>257</v>
      </c>
      <c r="H270" s="141">
        <f>H250*(H227*H200+H199*H207)</f>
        <v>0</v>
      </c>
      <c r="I270" s="141">
        <f t="shared" ref="I270:V270" si="57">I250*(I227*I200+I199*I207)</f>
        <v>0</v>
      </c>
      <c r="J270" s="141">
        <f t="shared" si="57"/>
        <v>0</v>
      </c>
      <c r="K270" s="141">
        <f t="shared" si="57"/>
        <v>1.1851523474999999</v>
      </c>
      <c r="L270" s="141">
        <f t="shared" si="57"/>
        <v>1.5210769874999999</v>
      </c>
      <c r="M270" s="141">
        <f t="shared" si="57"/>
        <v>2.2009915499999999</v>
      </c>
      <c r="N270" s="141">
        <f t="shared" si="57"/>
        <v>2.6026837200000004</v>
      </c>
      <c r="O270" s="141">
        <f t="shared" si="57"/>
        <v>3.2879072700000003</v>
      </c>
      <c r="P270" s="141">
        <f t="shared" si="57"/>
        <v>3.6653555499999997</v>
      </c>
      <c r="Q270" s="141">
        <f t="shared" si="57"/>
        <v>4.6366926475000003</v>
      </c>
      <c r="R270" s="141">
        <f t="shared" si="57"/>
        <v>5.5439299374999997</v>
      </c>
      <c r="S270" s="141">
        <f t="shared" si="57"/>
        <v>6.5861677800000011</v>
      </c>
      <c r="T270" s="141">
        <f t="shared" si="57"/>
        <v>7.5132404899999994</v>
      </c>
      <c r="U270" s="141">
        <f t="shared" si="57"/>
        <v>8.5596599375000011</v>
      </c>
      <c r="V270" s="141">
        <f t="shared" si="57"/>
        <v>9.740186099999999</v>
      </c>
    </row>
    <row r="271" spans="1:22">
      <c r="A271" s="68" t="s">
        <v>259</v>
      </c>
      <c r="H271" s="141">
        <f>H251*(H228*H200+H199*H208)</f>
        <v>0</v>
      </c>
      <c r="I271" s="141">
        <f t="shared" ref="I271:V271" si="58">I251*(I228*I200+I199*I208)</f>
        <v>0</v>
      </c>
      <c r="J271" s="141">
        <f t="shared" si="58"/>
        <v>0</v>
      </c>
      <c r="K271" s="141">
        <f t="shared" si="58"/>
        <v>1.02071561625</v>
      </c>
      <c r="L271" s="141">
        <f t="shared" si="58"/>
        <v>1.31000083125</v>
      </c>
      <c r="M271" s="141">
        <f t="shared" si="58"/>
        <v>2.1244584300000002</v>
      </c>
      <c r="N271" s="141">
        <f t="shared" si="58"/>
        <v>2.7663745199999998</v>
      </c>
      <c r="O271" s="141">
        <f t="shared" si="58"/>
        <v>3.693771135</v>
      </c>
      <c r="P271" s="141">
        <f t="shared" si="58"/>
        <v>3.8958402749999999</v>
      </c>
      <c r="Q271" s="141">
        <f t="shared" si="58"/>
        <v>4.9282569487500005</v>
      </c>
      <c r="R271" s="141">
        <f t="shared" si="58"/>
        <v>5.8925430937500005</v>
      </c>
      <c r="S271" s="141">
        <f t="shared" si="58"/>
        <v>7.0003188899999991</v>
      </c>
      <c r="T271" s="141">
        <f t="shared" si="58"/>
        <v>7.9856877449999981</v>
      </c>
      <c r="U271" s="141">
        <f t="shared" si="58"/>
        <v>9.0979080937500001</v>
      </c>
      <c r="V271" s="141">
        <f t="shared" si="58"/>
        <v>10.352668050000002</v>
      </c>
    </row>
    <row r="272" spans="1:22">
      <c r="A272" s="68" t="s">
        <v>261</v>
      </c>
      <c r="H272" s="141">
        <f>H252*(H229*H200+H199*H209)</f>
        <v>0</v>
      </c>
      <c r="I272" s="141">
        <f t="shared" ref="I272:V272" si="59">I252*(I229*I200+I199*I209)</f>
        <v>0</v>
      </c>
      <c r="J272" s="141">
        <f t="shared" si="59"/>
        <v>0</v>
      </c>
      <c r="K272" s="141">
        <f t="shared" si="59"/>
        <v>12.125383379999999</v>
      </c>
      <c r="L272" s="141">
        <f t="shared" si="59"/>
        <v>15.560328900000002</v>
      </c>
      <c r="M272" s="141">
        <f t="shared" si="59"/>
        <v>23.819658048000001</v>
      </c>
      <c r="N272" s="141">
        <f t="shared" si="59"/>
        <v>29.398867680000002</v>
      </c>
      <c r="O272" s="141">
        <f t="shared" si="59"/>
        <v>35.805665472000001</v>
      </c>
      <c r="P272" s="141">
        <f t="shared" si="59"/>
        <v>40.676604479999995</v>
      </c>
      <c r="Q272" s="141">
        <f t="shared" si="59"/>
        <v>51.456103056000003</v>
      </c>
      <c r="R272" s="141">
        <f t="shared" si="59"/>
        <v>61.524248400000005</v>
      </c>
      <c r="S272" s="141">
        <f t="shared" si="59"/>
        <v>73.090574208000007</v>
      </c>
      <c r="T272" s="141">
        <f t="shared" si="59"/>
        <v>83.378844864000001</v>
      </c>
      <c r="U272" s="141">
        <f t="shared" si="59"/>
        <v>94.9915764</v>
      </c>
      <c r="V272" s="141">
        <f t="shared" si="59"/>
        <v>108.09256896000001</v>
      </c>
    </row>
    <row r="273" spans="1:22">
      <c r="A273" s="68" t="s">
        <v>263</v>
      </c>
      <c r="H273" s="141">
        <f>H253*(H230*H200+H199*H210)</f>
        <v>0</v>
      </c>
      <c r="I273" s="141">
        <f t="shared" ref="I273:V273" si="60">I253*(I230*I200+I199*I210)</f>
        <v>0</v>
      </c>
      <c r="J273" s="141">
        <f t="shared" si="60"/>
        <v>0</v>
      </c>
      <c r="K273" s="141">
        <f t="shared" si="60"/>
        <v>0.29648025</v>
      </c>
      <c r="L273" s="141">
        <f t="shared" si="60"/>
        <v>0.38048062500000002</v>
      </c>
      <c r="M273" s="141">
        <f t="shared" si="60"/>
        <v>0.65770650000000008</v>
      </c>
      <c r="N273" s="141">
        <f t="shared" si="60"/>
        <v>0.92076075000000002</v>
      </c>
      <c r="O273" s="141">
        <f t="shared" si="60"/>
        <v>1.2298905</v>
      </c>
      <c r="P273" s="141">
        <f t="shared" si="60"/>
        <v>1.3761883349999999</v>
      </c>
      <c r="Q273" s="141">
        <f t="shared" si="60"/>
        <v>1.7408849557499997</v>
      </c>
      <c r="R273" s="141">
        <f t="shared" si="60"/>
        <v>2.08151476875</v>
      </c>
      <c r="S273" s="141">
        <f t="shared" si="60"/>
        <v>2.4728316659999998</v>
      </c>
      <c r="T273" s="141">
        <f t="shared" si="60"/>
        <v>2.8209088529999997</v>
      </c>
      <c r="U273" s="141">
        <f t="shared" si="60"/>
        <v>3.2137957687499998</v>
      </c>
      <c r="V273" s="141">
        <f t="shared" si="60"/>
        <v>3.6570341700000002</v>
      </c>
    </row>
    <row r="274" spans="1:22">
      <c r="A274" s="68" t="s">
        <v>265</v>
      </c>
      <c r="H274" s="141">
        <f>H254*(H231*H200+H199*H211)</f>
        <v>0</v>
      </c>
      <c r="I274" s="141">
        <f t="shared" ref="I274:V274" si="61">I254*(I231*I200+I199*I211)</f>
        <v>0</v>
      </c>
      <c r="J274" s="141">
        <f t="shared" si="61"/>
        <v>0</v>
      </c>
      <c r="K274" s="141">
        <f t="shared" si="61"/>
        <v>2.6353800000000004E-2</v>
      </c>
      <c r="L274" s="141">
        <f t="shared" si="61"/>
        <v>3.3820500000000003E-2</v>
      </c>
      <c r="M274" s="141">
        <f t="shared" si="61"/>
        <v>5.8462799999999995E-2</v>
      </c>
      <c r="N274" s="141">
        <f t="shared" si="61"/>
        <v>8.1845400000000013E-2</v>
      </c>
      <c r="O274" s="141">
        <f t="shared" si="61"/>
        <v>0.10932359999999999</v>
      </c>
      <c r="P274" s="141">
        <f t="shared" si="61"/>
        <v>0.14147400000000002</v>
      </c>
      <c r="Q274" s="141">
        <f t="shared" si="61"/>
        <v>0.17896530000000002</v>
      </c>
      <c r="R274" s="141">
        <f t="shared" si="61"/>
        <v>0.21398249999999999</v>
      </c>
      <c r="S274" s="141">
        <f t="shared" si="61"/>
        <v>0.2542104</v>
      </c>
      <c r="T274" s="141">
        <f t="shared" si="61"/>
        <v>0.28999319999999995</v>
      </c>
      <c r="U274" s="141">
        <f t="shared" si="61"/>
        <v>0.33038250000000002</v>
      </c>
      <c r="V274" s="141">
        <f t="shared" si="61"/>
        <v>0.37594800000000006</v>
      </c>
    </row>
    <row r="275" spans="1:22">
      <c r="A275" s="3" t="s">
        <v>267</v>
      </c>
      <c r="H275">
        <f>H255*(H232*H200+H199*H212)</f>
        <v>0</v>
      </c>
      <c r="I275">
        <f t="shared" ref="I275:V275" si="62">I255*(I232*I200+I199*I212)</f>
        <v>0</v>
      </c>
      <c r="J275">
        <f t="shared" si="62"/>
        <v>0</v>
      </c>
      <c r="K275">
        <f t="shared" si="62"/>
        <v>1.0426222125</v>
      </c>
      <c r="L275">
        <f t="shared" si="62"/>
        <v>1.3381241875000001</v>
      </c>
      <c r="M275">
        <f t="shared" si="62"/>
        <v>2.3227890500000004</v>
      </c>
      <c r="N275">
        <f t="shared" si="62"/>
        <v>2.9055116999999999</v>
      </c>
      <c r="O275">
        <f t="shared" si="62"/>
        <v>3.8787102249999998</v>
      </c>
      <c r="P275">
        <f t="shared" si="62"/>
        <v>5.019379625</v>
      </c>
      <c r="Q275">
        <f t="shared" si="62"/>
        <v>6.349539706249999</v>
      </c>
      <c r="R275">
        <f t="shared" si="62"/>
        <v>7.5919207812499998</v>
      </c>
      <c r="S275">
        <f t="shared" si="62"/>
        <v>9.0191731500000003</v>
      </c>
      <c r="T275">
        <f t="shared" si="62"/>
        <v>10.288717075000001</v>
      </c>
      <c r="U275">
        <f t="shared" si="62"/>
        <v>11.72169578125</v>
      </c>
      <c r="V275">
        <f t="shared" si="62"/>
        <v>13.338321749999999</v>
      </c>
    </row>
    <row r="276" spans="1:22">
      <c r="A276" s="68" t="s">
        <v>270</v>
      </c>
      <c r="H276" s="141">
        <f>H256*(H233*H200+H199*H213)</f>
        <v>0</v>
      </c>
      <c r="I276" s="141">
        <f t="shared" ref="I276:V276" si="63">I256*(I233*I200+I199*I213)</f>
        <v>0</v>
      </c>
      <c r="J276" s="141">
        <f t="shared" si="63"/>
        <v>0</v>
      </c>
      <c r="K276" s="141">
        <f t="shared" si="63"/>
        <v>0.18661784625</v>
      </c>
      <c r="L276" s="141">
        <f t="shared" si="63"/>
        <v>0.23950148125000001</v>
      </c>
      <c r="M276" s="141">
        <f t="shared" si="63"/>
        <v>0.41497515499999993</v>
      </c>
      <c r="N276" s="141">
        <f t="shared" si="63"/>
        <v>0.51153375000000001</v>
      </c>
      <c r="O276" s="141">
        <f t="shared" si="63"/>
        <v>0.68327250000000017</v>
      </c>
      <c r="P276" s="141">
        <f t="shared" si="63"/>
        <v>0.88421249999999996</v>
      </c>
      <c r="Q276" s="141">
        <f t="shared" si="63"/>
        <v>1.1185331250000001</v>
      </c>
      <c r="R276" s="141">
        <f t="shared" si="63"/>
        <v>1.3373906250000001</v>
      </c>
      <c r="S276" s="141">
        <f t="shared" si="63"/>
        <v>1.5888150000000001</v>
      </c>
      <c r="T276" s="141">
        <f t="shared" si="63"/>
        <v>1.8124574999999998</v>
      </c>
      <c r="U276" s="141">
        <f t="shared" si="63"/>
        <v>2.0648906250000003</v>
      </c>
      <c r="V276" s="141">
        <f t="shared" si="63"/>
        <v>2.349675</v>
      </c>
    </row>
    <row r="277" spans="1:22">
      <c r="A277" s="68" t="s">
        <v>285</v>
      </c>
      <c r="H277" s="141">
        <f>H257*(H234*H200+H199*H214)</f>
        <v>0</v>
      </c>
      <c r="I277" s="141">
        <f t="shared" ref="I277:V277" si="64">I257*(I234*I200+I199*I214)</f>
        <v>0</v>
      </c>
      <c r="J277" s="141">
        <f t="shared" si="64"/>
        <v>0</v>
      </c>
      <c r="K277" s="141">
        <f t="shared" si="64"/>
        <v>0</v>
      </c>
      <c r="L277" s="141">
        <f t="shared" si="64"/>
        <v>0</v>
      </c>
      <c r="M277" s="141">
        <f t="shared" si="64"/>
        <v>6.5395425119999997</v>
      </c>
      <c r="N277" s="141">
        <f t="shared" si="64"/>
        <v>9.8214480000000002</v>
      </c>
      <c r="O277" s="141">
        <f t="shared" si="64"/>
        <v>14.212068</v>
      </c>
      <c r="P277" s="141">
        <f t="shared" si="64"/>
        <v>20.380744439999997</v>
      </c>
      <c r="Q277" s="141">
        <f t="shared" si="64"/>
        <v>25.781741117999999</v>
      </c>
      <c r="R277" s="141">
        <f t="shared" si="64"/>
        <v>30.826318950000001</v>
      </c>
      <c r="S277" s="141">
        <f t="shared" si="64"/>
        <v>36.621550224000003</v>
      </c>
      <c r="T277" s="141">
        <f t="shared" si="64"/>
        <v>41.776420392000006</v>
      </c>
      <c r="U277" s="141">
        <f t="shared" si="64"/>
        <v>47.594902949999998</v>
      </c>
      <c r="V277" s="141">
        <f t="shared" si="64"/>
        <v>54.159068880000007</v>
      </c>
    </row>
    <row r="278" spans="1:22">
      <c r="A278" s="68" t="s">
        <v>498</v>
      </c>
      <c r="H278" s="141">
        <f>H258*(H235*H200+H199*H215)</f>
        <v>0</v>
      </c>
      <c r="I278" s="141">
        <f t="shared" ref="I278:V278" si="65">I258*(I235*I200+I199*I215)</f>
        <v>0</v>
      </c>
      <c r="J278" s="141">
        <f t="shared" si="65"/>
        <v>0</v>
      </c>
      <c r="K278" s="141">
        <f t="shared" si="65"/>
        <v>0</v>
      </c>
      <c r="L278" s="141">
        <f t="shared" si="65"/>
        <v>0</v>
      </c>
      <c r="M278" s="141">
        <f t="shared" si="65"/>
        <v>0</v>
      </c>
      <c r="N278" s="141">
        <f t="shared" si="65"/>
        <v>2.7657197567999998</v>
      </c>
      <c r="O278" s="141">
        <f t="shared" si="65"/>
        <v>4.1263099583999994</v>
      </c>
      <c r="P278" s="141">
        <f t="shared" si="65"/>
        <v>5.9056906560000009</v>
      </c>
      <c r="Q278" s="141">
        <f t="shared" si="65"/>
        <v>7.470727483200001</v>
      </c>
      <c r="R278" s="141">
        <f t="shared" si="65"/>
        <v>8.9324854800000004</v>
      </c>
      <c r="S278" s="141">
        <f t="shared" si="65"/>
        <v>10.611758937599999</v>
      </c>
      <c r="T278" s="141">
        <f t="shared" si="65"/>
        <v>12.105476140799999</v>
      </c>
      <c r="U278" s="141">
        <f t="shared" si="65"/>
        <v>13.791487080000001</v>
      </c>
      <c r="V278" s="141">
        <f t="shared" si="65"/>
        <v>15.693573312000002</v>
      </c>
    </row>
    <row r="279" spans="1:22">
      <c r="A279" s="68" t="s">
        <v>275</v>
      </c>
      <c r="H279" s="141">
        <f>H259*(H236*H200+H199*H216)</f>
        <v>0</v>
      </c>
      <c r="I279" s="141">
        <f t="shared" ref="I279:V279" si="66">I259*(I236*I200+I199*I216)</f>
        <v>0</v>
      </c>
      <c r="J279" s="141">
        <f t="shared" si="66"/>
        <v>0</v>
      </c>
      <c r="K279" s="141">
        <f t="shared" si="66"/>
        <v>0</v>
      </c>
      <c r="L279" s="141">
        <f t="shared" si="66"/>
        <v>0</v>
      </c>
      <c r="M279" s="141">
        <f t="shared" si="66"/>
        <v>2.9231400000000001</v>
      </c>
      <c r="N279" s="141">
        <f t="shared" si="66"/>
        <v>4.0922700000000001</v>
      </c>
      <c r="O279" s="141">
        <f t="shared" si="66"/>
        <v>5.4661800000000005</v>
      </c>
      <c r="P279" s="141">
        <f t="shared" si="66"/>
        <v>7.0736999999999997</v>
      </c>
      <c r="Q279" s="141">
        <f t="shared" si="66"/>
        <v>8.948265000000001</v>
      </c>
      <c r="R279" s="141">
        <f t="shared" si="66"/>
        <v>10.699125</v>
      </c>
      <c r="S279" s="141">
        <f t="shared" si="66"/>
        <v>12.710520000000001</v>
      </c>
      <c r="T279" s="141">
        <f t="shared" si="66"/>
        <v>14.499659999999999</v>
      </c>
      <c r="U279" s="141">
        <f t="shared" si="66"/>
        <v>16.519124999999999</v>
      </c>
      <c r="V279" s="141">
        <f t="shared" si="66"/>
        <v>18.797400000000003</v>
      </c>
    </row>
    <row r="280" spans="1:22">
      <c r="A280" s="68" t="s">
        <v>277</v>
      </c>
      <c r="H280" s="141">
        <f>H260*(H237*H200+H199*H217)</f>
        <v>0</v>
      </c>
      <c r="I280" s="141">
        <f t="shared" ref="I280:V280" si="67">I260*(I237*I200+I199*I217)</f>
        <v>0</v>
      </c>
      <c r="J280" s="141">
        <f t="shared" si="67"/>
        <v>0</v>
      </c>
      <c r="K280" s="141">
        <f t="shared" si="67"/>
        <v>0</v>
      </c>
      <c r="L280" s="141">
        <f t="shared" si="67"/>
        <v>0</v>
      </c>
      <c r="M280" s="141">
        <f t="shared" si="67"/>
        <v>0</v>
      </c>
      <c r="N280" s="141">
        <f t="shared" si="67"/>
        <v>0</v>
      </c>
      <c r="O280" s="141">
        <f t="shared" si="67"/>
        <v>0</v>
      </c>
      <c r="P280" s="141">
        <f t="shared" si="67"/>
        <v>0.18792463000000001</v>
      </c>
      <c r="Q280" s="141">
        <f t="shared" si="67"/>
        <v>0.23772557350000001</v>
      </c>
      <c r="R280" s="141">
        <f t="shared" si="67"/>
        <v>0.28424008750000002</v>
      </c>
      <c r="S280" s="141">
        <f t="shared" si="67"/>
        <v>0.33767614800000001</v>
      </c>
      <c r="T280" s="141">
        <f t="shared" si="67"/>
        <v>0.38520763400000002</v>
      </c>
      <c r="U280" s="141">
        <f t="shared" si="67"/>
        <v>0.43885808749999999</v>
      </c>
      <c r="V280" s="141">
        <f t="shared" si="67"/>
        <v>0.49938426000000002</v>
      </c>
    </row>
    <row r="281" spans="1:22">
      <c r="A281" s="68" t="s">
        <v>279</v>
      </c>
      <c r="H281" s="141">
        <f>H261*(H238*H200+H199*H218)</f>
        <v>0</v>
      </c>
      <c r="I281" s="141">
        <f t="shared" ref="I281:V281" si="68">I261*(I238*I200+I199*I218)</f>
        <v>0</v>
      </c>
      <c r="J281" s="141">
        <f t="shared" si="68"/>
        <v>0</v>
      </c>
      <c r="K281" s="141">
        <f t="shared" si="68"/>
        <v>0</v>
      </c>
      <c r="L281" s="141">
        <f t="shared" si="68"/>
        <v>0</v>
      </c>
      <c r="M281" s="141">
        <f t="shared" si="68"/>
        <v>0</v>
      </c>
      <c r="N281" s="141">
        <f t="shared" si="68"/>
        <v>2.1314724704000003</v>
      </c>
      <c r="O281" s="141">
        <f t="shared" si="68"/>
        <v>3.3317460336</v>
      </c>
      <c r="P281" s="141">
        <f t="shared" si="68"/>
        <v>4.6753384360000005</v>
      </c>
      <c r="Q281" s="141">
        <f t="shared" si="68"/>
        <v>5.9143259242000008</v>
      </c>
      <c r="R281" s="141">
        <f t="shared" si="68"/>
        <v>7.0715510050000008</v>
      </c>
      <c r="S281" s="141">
        <f t="shared" si="68"/>
        <v>8.4009758255999998</v>
      </c>
      <c r="T281" s="141">
        <f t="shared" si="68"/>
        <v>9.5835019448000001</v>
      </c>
      <c r="U281" s="141">
        <f t="shared" si="68"/>
        <v>10.918260605</v>
      </c>
      <c r="V281" s="141">
        <f t="shared" si="68"/>
        <v>12.424078872000001</v>
      </c>
    </row>
    <row r="282" spans="1:22">
      <c r="A282" s="68" t="s">
        <v>281</v>
      </c>
      <c r="H282" s="141">
        <f>H262*(H239*H200+H199*H219)</f>
        <v>0</v>
      </c>
      <c r="I282" s="141">
        <f t="shared" ref="I282:V282" si="69">I262*(I239*I200+I199*I219)</f>
        <v>0</v>
      </c>
      <c r="J282" s="141">
        <f t="shared" si="69"/>
        <v>0</v>
      </c>
      <c r="K282" s="141">
        <f t="shared" si="69"/>
        <v>0</v>
      </c>
      <c r="L282" s="141">
        <f t="shared" si="69"/>
        <v>0</v>
      </c>
      <c r="M282" s="141">
        <f t="shared" si="69"/>
        <v>0</v>
      </c>
      <c r="N282" s="141">
        <f t="shared" si="69"/>
        <v>0</v>
      </c>
      <c r="O282" s="141">
        <f t="shared" si="69"/>
        <v>0.72882399999999992</v>
      </c>
      <c r="P282" s="141">
        <f t="shared" si="69"/>
        <v>0.94316</v>
      </c>
      <c r="Q282" s="141">
        <f t="shared" si="69"/>
        <v>1.1931020000000001</v>
      </c>
      <c r="R282" s="141">
        <f t="shared" si="69"/>
        <v>1.42655</v>
      </c>
      <c r="S282" s="141">
        <f t="shared" si="69"/>
        <v>1.694736</v>
      </c>
      <c r="T282" s="141">
        <f t="shared" si="69"/>
        <v>1.9332880000000001</v>
      </c>
      <c r="U282" s="141">
        <f t="shared" si="69"/>
        <v>2.20255</v>
      </c>
      <c r="V282" s="141">
        <f t="shared" si="69"/>
        <v>2.5063200000000001</v>
      </c>
    </row>
    <row r="283" spans="1:22">
      <c r="A283" s="68" t="s">
        <v>283</v>
      </c>
      <c r="H283" s="141">
        <f>H263*(H240*H200+H199*H220)</f>
        <v>0</v>
      </c>
      <c r="I283" s="141">
        <f t="shared" ref="I283:V283" si="70">I263*(I240*I200+I199*I220)</f>
        <v>0</v>
      </c>
      <c r="J283" s="141">
        <f t="shared" si="70"/>
        <v>0</v>
      </c>
      <c r="K283" s="141">
        <f t="shared" si="70"/>
        <v>0</v>
      </c>
      <c r="L283" s="141">
        <f t="shared" si="70"/>
        <v>0</v>
      </c>
      <c r="M283" s="141">
        <f t="shared" si="70"/>
        <v>0</v>
      </c>
      <c r="N283" s="141">
        <f t="shared" si="70"/>
        <v>3.4102250000000001</v>
      </c>
      <c r="O283" s="141">
        <f t="shared" si="70"/>
        <v>5.4661800000000014</v>
      </c>
      <c r="P283" s="141">
        <f t="shared" si="70"/>
        <v>7.0736999999999997</v>
      </c>
      <c r="Q283" s="141">
        <f t="shared" si="70"/>
        <v>8.948265000000001</v>
      </c>
      <c r="R283" s="141">
        <f t="shared" si="70"/>
        <v>10.699125</v>
      </c>
      <c r="S283" s="141">
        <f t="shared" si="70"/>
        <v>12.710520000000001</v>
      </c>
      <c r="T283" s="141">
        <f t="shared" si="70"/>
        <v>14.499659999999999</v>
      </c>
      <c r="U283" s="141">
        <f t="shared" si="70"/>
        <v>16.519125000000003</v>
      </c>
      <c r="V283" s="141">
        <f t="shared" si="70"/>
        <v>18.7974</v>
      </c>
    </row>
    <row r="285" spans="1:22" s="1" customFormat="1">
      <c r="A285" s="200" t="s">
        <v>7</v>
      </c>
      <c r="B285" s="21"/>
      <c r="C285" s="21"/>
      <c r="D285" s="21"/>
      <c r="E285" s="21"/>
      <c r="F285" s="21"/>
      <c r="G285" s="21"/>
      <c r="H285" s="192">
        <f>SUM(H268:H283)</f>
        <v>0</v>
      </c>
      <c r="I285" s="192">
        <f t="shared" ref="I285:V285" si="71">SUM(I268:I283)</f>
        <v>0</v>
      </c>
      <c r="J285" s="192">
        <f t="shared" si="71"/>
        <v>0</v>
      </c>
      <c r="K285" s="192">
        <f t="shared" si="71"/>
        <v>20.081310100499998</v>
      </c>
      <c r="L285" s="192">
        <f t="shared" si="71"/>
        <v>25.770906952500003</v>
      </c>
      <c r="M285" s="192">
        <f t="shared" si="71"/>
        <v>48.914119595000003</v>
      </c>
      <c r="N285" s="192">
        <f t="shared" si="71"/>
        <v>70.970983647200001</v>
      </c>
      <c r="O285" s="192">
        <f t="shared" si="71"/>
        <v>94.011189965999989</v>
      </c>
      <c r="P285" s="192">
        <f t="shared" si="71"/>
        <v>114.84559866700003</v>
      </c>
      <c r="Q285" s="192">
        <f t="shared" si="71"/>
        <v>145.28024244114999</v>
      </c>
      <c r="R285" s="192">
        <f t="shared" si="71"/>
        <v>173.70646420374999</v>
      </c>
      <c r="S285" s="192">
        <f t="shared" si="71"/>
        <v>206.36262193320005</v>
      </c>
      <c r="T285" s="192">
        <f t="shared" si="71"/>
        <v>235.4103415706</v>
      </c>
      <c r="U285" s="192">
        <f t="shared" si="71"/>
        <v>268.19752040374999</v>
      </c>
      <c r="V285" s="192">
        <f t="shared" si="71"/>
        <v>305.18662883399998</v>
      </c>
    </row>
    <row r="287" spans="1:22">
      <c r="A287" s="243" t="s">
        <v>665</v>
      </c>
      <c r="B287" s="243"/>
      <c r="C287" s="243"/>
      <c r="D287" s="243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</row>
    <row r="289" spans="1:22">
      <c r="A289" s="21" t="s">
        <v>529</v>
      </c>
      <c r="H289" s="150">
        <v>0.1</v>
      </c>
      <c r="I289" s="150">
        <v>0.1</v>
      </c>
      <c r="J289" s="150">
        <v>0.1</v>
      </c>
      <c r="K289" s="150">
        <v>0.1</v>
      </c>
      <c r="L289" s="150">
        <v>0.1</v>
      </c>
      <c r="M289" s="150">
        <v>0.1</v>
      </c>
      <c r="N289" s="150">
        <v>0.1</v>
      </c>
      <c r="O289" s="150">
        <v>0.1</v>
      </c>
      <c r="P289" s="150">
        <v>0.1</v>
      </c>
      <c r="Q289" s="150">
        <v>0.1</v>
      </c>
      <c r="R289" s="150">
        <v>0.1</v>
      </c>
      <c r="S289" s="150">
        <v>0.1</v>
      </c>
      <c r="T289" s="150">
        <v>0.1</v>
      </c>
      <c r="U289" s="150">
        <v>0.1</v>
      </c>
      <c r="V289" s="150">
        <v>0.1</v>
      </c>
    </row>
    <row r="290" spans="1:22">
      <c r="A290" s="21" t="s">
        <v>170</v>
      </c>
      <c r="H290">
        <v>1.1000000000000001</v>
      </c>
      <c r="I290">
        <v>1.21</v>
      </c>
      <c r="J290">
        <v>1.331</v>
      </c>
      <c r="K290">
        <v>1.4641</v>
      </c>
      <c r="L290">
        <v>1.6105</v>
      </c>
      <c r="M290">
        <v>1.7716000000000001</v>
      </c>
      <c r="N290">
        <v>1.9487000000000001</v>
      </c>
      <c r="O290">
        <v>2.1436000000000002</v>
      </c>
      <c r="P290">
        <v>2.3578999999999999</v>
      </c>
      <c r="Q290">
        <v>2.5937000000000001</v>
      </c>
      <c r="R290">
        <v>2.8531</v>
      </c>
      <c r="S290">
        <v>3.1383999999999999</v>
      </c>
      <c r="T290">
        <v>3.4523000000000001</v>
      </c>
      <c r="U290">
        <v>3.7974999999999999</v>
      </c>
      <c r="V290">
        <v>4.1772</v>
      </c>
    </row>
    <row r="292" spans="1:22" ht="55.2">
      <c r="A292" s="62" t="s">
        <v>654</v>
      </c>
      <c r="B292" s="169" t="s">
        <v>655</v>
      </c>
      <c r="H292" s="235" t="s">
        <v>656</v>
      </c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</row>
    <row r="293" spans="1:22">
      <c r="A293" s="7" t="s">
        <v>475</v>
      </c>
      <c r="B293" s="168">
        <v>1000</v>
      </c>
      <c r="H293" s="141">
        <f>B293*H290</f>
        <v>1100</v>
      </c>
      <c r="I293" s="141">
        <f>B293*I290</f>
        <v>1210</v>
      </c>
      <c r="J293" s="141">
        <f>B293*J290</f>
        <v>1331</v>
      </c>
      <c r="K293" s="141">
        <f>B293*K290</f>
        <v>1464.1</v>
      </c>
      <c r="L293" s="141">
        <f>B293*L290</f>
        <v>1610.5</v>
      </c>
      <c r="M293" s="141">
        <f>B293*M290</f>
        <v>1771.6000000000001</v>
      </c>
      <c r="N293" s="141">
        <f>B293*N290</f>
        <v>1948.7</v>
      </c>
      <c r="O293" s="141">
        <f>B293*O290</f>
        <v>2143.6000000000004</v>
      </c>
      <c r="P293" s="141">
        <f>B293*P290</f>
        <v>2357.9</v>
      </c>
      <c r="Q293" s="141">
        <f>B293*Q290</f>
        <v>2593.7000000000003</v>
      </c>
      <c r="R293" s="141">
        <f>B293*R290</f>
        <v>2853.1</v>
      </c>
      <c r="S293" s="141">
        <f>B293*S290</f>
        <v>3138.3999999999996</v>
      </c>
      <c r="T293" s="141">
        <f>B293*T290</f>
        <v>3452.3</v>
      </c>
      <c r="U293" s="141">
        <f>B293*U290</f>
        <v>3797.5</v>
      </c>
      <c r="V293" s="141">
        <f>B293*V290</f>
        <v>4177.2</v>
      </c>
    </row>
    <row r="294" spans="1:22">
      <c r="A294" s="7" t="s">
        <v>2</v>
      </c>
      <c r="B294" s="154">
        <v>1200</v>
      </c>
      <c r="H294" s="141">
        <f>B294*H290</f>
        <v>1320</v>
      </c>
      <c r="I294" s="141">
        <f>B294*I290</f>
        <v>1452</v>
      </c>
      <c r="J294" s="141">
        <f>B294*J290</f>
        <v>1597.2</v>
      </c>
      <c r="K294" s="141">
        <f>B294*K290</f>
        <v>1756.9199999999998</v>
      </c>
      <c r="L294" s="141">
        <f>B294*L290</f>
        <v>1932.6000000000001</v>
      </c>
      <c r="M294" s="141">
        <f>B294*M290</f>
        <v>2125.92</v>
      </c>
      <c r="N294" s="141">
        <f>B294*N290</f>
        <v>2338.44</v>
      </c>
      <c r="O294" s="141">
        <f>B294*O290</f>
        <v>2572.3200000000002</v>
      </c>
      <c r="P294" s="141">
        <f>B294*P290</f>
        <v>2829.48</v>
      </c>
      <c r="Q294" s="141">
        <f>B294*Q290</f>
        <v>3112.44</v>
      </c>
      <c r="R294" s="141">
        <f>B294*R290</f>
        <v>3423.72</v>
      </c>
      <c r="S294" s="141">
        <f>B294*S290</f>
        <v>3766.08</v>
      </c>
      <c r="T294" s="141">
        <f>B294*T290</f>
        <v>4142.76</v>
      </c>
      <c r="U294" s="141">
        <f>B294*U290</f>
        <v>4557</v>
      </c>
      <c r="V294" s="141">
        <f>B294*V290</f>
        <v>5012.6400000000003</v>
      </c>
    </row>
    <row r="295" spans="1:22">
      <c r="A295" s="7" t="s">
        <v>3</v>
      </c>
      <c r="B295" s="154">
        <v>1500</v>
      </c>
      <c r="H295" s="141">
        <f>B295*H290</f>
        <v>1650.0000000000002</v>
      </c>
      <c r="I295" s="141">
        <f>B295*I290</f>
        <v>1815</v>
      </c>
      <c r="J295" s="141">
        <f>B295*J290</f>
        <v>1996.5</v>
      </c>
      <c r="K295" s="141">
        <f>B295*K290</f>
        <v>2196.15</v>
      </c>
      <c r="L295" s="141">
        <f>B295*L290</f>
        <v>2415.75</v>
      </c>
      <c r="M295" s="141">
        <f>B295*M290</f>
        <v>2657.4</v>
      </c>
      <c r="N295" s="141">
        <f>B295*N290</f>
        <v>2923.05</v>
      </c>
      <c r="O295" s="141">
        <f>B295*O290</f>
        <v>3215.4</v>
      </c>
      <c r="P295" s="141">
        <f>B295*P290</f>
        <v>3536.85</v>
      </c>
      <c r="Q295" s="141">
        <f>B295*Q290</f>
        <v>3890.55</v>
      </c>
      <c r="R295" s="141">
        <f>B295*R290</f>
        <v>4279.6499999999996</v>
      </c>
      <c r="S295" s="141">
        <f>B295*S290</f>
        <v>4707.5999999999995</v>
      </c>
      <c r="T295" s="141">
        <f>B295*T290</f>
        <v>5178.45</v>
      </c>
      <c r="U295" s="141">
        <f>B295*U290</f>
        <v>5696.25</v>
      </c>
      <c r="V295" s="141">
        <f>B295*V290</f>
        <v>6265.8</v>
      </c>
    </row>
    <row r="296" spans="1:22">
      <c r="A296" s="7" t="s">
        <v>4</v>
      </c>
      <c r="B296" s="154">
        <v>2000</v>
      </c>
      <c r="H296" s="141">
        <f>B296*H290</f>
        <v>2200</v>
      </c>
      <c r="I296" s="141">
        <f>B296*I290</f>
        <v>2420</v>
      </c>
      <c r="J296" s="141">
        <f>B296*J290</f>
        <v>2662</v>
      </c>
      <c r="K296" s="141">
        <f>B296*K290</f>
        <v>2928.2</v>
      </c>
      <c r="L296" s="141">
        <f>B296*L290</f>
        <v>3221</v>
      </c>
      <c r="M296" s="141">
        <f>B296*M290</f>
        <v>3543.2000000000003</v>
      </c>
      <c r="N296" s="141">
        <f>B296*N290</f>
        <v>3897.4</v>
      </c>
      <c r="O296" s="141">
        <f>B296*O290</f>
        <v>4287.2000000000007</v>
      </c>
      <c r="P296" s="141">
        <f>B296*P290</f>
        <v>4715.8</v>
      </c>
      <c r="Q296" s="141">
        <f>B296*Q290</f>
        <v>5187.4000000000005</v>
      </c>
      <c r="R296" s="141">
        <f>B296*R290</f>
        <v>5706.2</v>
      </c>
      <c r="S296" s="141">
        <f>B296*S290</f>
        <v>6276.7999999999993</v>
      </c>
      <c r="T296" s="141">
        <f>B296*T290</f>
        <v>6904.6</v>
      </c>
      <c r="U296" s="141">
        <f>B296*U290</f>
        <v>7595</v>
      </c>
      <c r="V296" s="141">
        <f>B296*V290</f>
        <v>8354.4</v>
      </c>
    </row>
    <row r="297" spans="1:22">
      <c r="A297" s="7" t="s">
        <v>5</v>
      </c>
      <c r="B297" s="154">
        <v>2500</v>
      </c>
      <c r="H297" s="141">
        <f>B297*H290</f>
        <v>2750</v>
      </c>
      <c r="I297" s="141">
        <f>B297*I290</f>
        <v>3025</v>
      </c>
      <c r="J297" s="141">
        <f>B297*J290</f>
        <v>3327.5</v>
      </c>
      <c r="K297" s="141">
        <f>B297*K290</f>
        <v>3660.25</v>
      </c>
      <c r="L297" s="141">
        <f>B297*L290</f>
        <v>4026.25</v>
      </c>
      <c r="M297" s="141">
        <f>B297*M290</f>
        <v>4429</v>
      </c>
      <c r="N297" s="141">
        <f>B297*N290</f>
        <v>4871.75</v>
      </c>
      <c r="O297" s="141">
        <f>B297*O290</f>
        <v>5359</v>
      </c>
      <c r="P297" s="141">
        <f>B297*P290</f>
        <v>5894.75</v>
      </c>
      <c r="Q297" s="141">
        <f>B297*Q290</f>
        <v>6484.25</v>
      </c>
      <c r="R297" s="141">
        <f>B297*R290</f>
        <v>7132.75</v>
      </c>
      <c r="S297" s="141">
        <f>B297*S290</f>
        <v>7846</v>
      </c>
      <c r="T297" s="141">
        <f>B297*T290</f>
        <v>8630.75</v>
      </c>
      <c r="U297" s="141">
        <f>B297*U290</f>
        <v>9493.75</v>
      </c>
      <c r="V297" s="141">
        <f>B297*V290</f>
        <v>10443</v>
      </c>
    </row>
    <row r="298" spans="1:22">
      <c r="A298" s="7" t="s">
        <v>6</v>
      </c>
      <c r="B298" s="154">
        <v>3500</v>
      </c>
      <c r="H298" s="141">
        <f>B298*H290</f>
        <v>3850.0000000000005</v>
      </c>
      <c r="I298" s="141">
        <f>B298*I290</f>
        <v>4235</v>
      </c>
      <c r="J298" s="141">
        <f>B298*J290</f>
        <v>4658.5</v>
      </c>
      <c r="K298" s="141">
        <f>B298*K290</f>
        <v>5124.3499999999995</v>
      </c>
      <c r="L298" s="141">
        <f>B298*L290</f>
        <v>5636.75</v>
      </c>
      <c r="M298" s="141">
        <f>B298*M290</f>
        <v>6200.6</v>
      </c>
      <c r="N298" s="141">
        <f>B298*N290</f>
        <v>6820.4500000000007</v>
      </c>
      <c r="O298" s="141">
        <f>B298*O290</f>
        <v>7502.6</v>
      </c>
      <c r="P298" s="141">
        <f>B298*P290</f>
        <v>8252.65</v>
      </c>
      <c r="Q298" s="141">
        <f>B298*Q290</f>
        <v>9077.9500000000007</v>
      </c>
      <c r="R298" s="141">
        <f>B298*R290</f>
        <v>9985.85</v>
      </c>
      <c r="S298" s="141">
        <f>B298*S290</f>
        <v>10984.4</v>
      </c>
      <c r="T298" s="141">
        <f>B298*T290</f>
        <v>12083.050000000001</v>
      </c>
      <c r="U298" s="141">
        <f>B298*U290</f>
        <v>13291.25</v>
      </c>
      <c r="V298" s="141">
        <f>B298*V290</f>
        <v>14620.2</v>
      </c>
    </row>
    <row r="302" spans="1:22">
      <c r="A302" s="226" t="s">
        <v>879</v>
      </c>
      <c r="B302" s="226"/>
    </row>
    <row r="303" spans="1:22">
      <c r="A303" s="3" t="s">
        <v>475</v>
      </c>
      <c r="B303" s="3"/>
      <c r="H303" s="148">
        <v>0</v>
      </c>
      <c r="I303" s="148">
        <v>0</v>
      </c>
      <c r="J303" s="148">
        <v>0</v>
      </c>
      <c r="K303" s="145">
        <v>0.3</v>
      </c>
      <c r="L303" s="145">
        <v>0.35</v>
      </c>
      <c r="M303" s="145">
        <v>0.45</v>
      </c>
      <c r="N303" s="145">
        <v>0.55000000000000004</v>
      </c>
      <c r="O303" s="145">
        <v>0.65</v>
      </c>
      <c r="P303" s="145">
        <v>0.7</v>
      </c>
      <c r="Q303" s="145">
        <v>0.75</v>
      </c>
      <c r="R303" s="145">
        <v>0.8</v>
      </c>
      <c r="S303" s="145">
        <v>0.8</v>
      </c>
      <c r="T303" s="145">
        <v>0.8</v>
      </c>
      <c r="U303" s="145">
        <v>0.8</v>
      </c>
      <c r="V303" s="145">
        <v>0.8</v>
      </c>
    </row>
    <row r="304" spans="1:22">
      <c r="A304" s="3" t="s">
        <v>2</v>
      </c>
      <c r="B304" s="3"/>
      <c r="H304" s="148">
        <v>0</v>
      </c>
      <c r="I304" s="148">
        <v>0</v>
      </c>
      <c r="J304" s="148">
        <v>0</v>
      </c>
      <c r="K304" s="145">
        <v>0.2</v>
      </c>
      <c r="L304" s="145">
        <v>0.25</v>
      </c>
      <c r="M304" s="145">
        <v>0.35</v>
      </c>
      <c r="N304" s="145">
        <v>0.45</v>
      </c>
      <c r="O304" s="145">
        <v>0.55000000000000004</v>
      </c>
      <c r="P304" s="145">
        <v>0.6</v>
      </c>
      <c r="Q304" s="145">
        <v>0.65</v>
      </c>
      <c r="R304" s="145">
        <v>0.7</v>
      </c>
      <c r="S304" s="145">
        <v>0.7</v>
      </c>
      <c r="T304" s="145">
        <v>0.7</v>
      </c>
      <c r="U304" s="145">
        <v>0.7</v>
      </c>
      <c r="V304" s="145">
        <v>0.7</v>
      </c>
    </row>
    <row r="305" spans="1:22">
      <c r="A305" s="3" t="s">
        <v>3</v>
      </c>
      <c r="B305" s="3"/>
      <c r="H305" s="148">
        <v>0</v>
      </c>
      <c r="I305" s="148">
        <v>0</v>
      </c>
      <c r="J305" s="148">
        <v>0</v>
      </c>
      <c r="K305" s="145">
        <v>0.15</v>
      </c>
      <c r="L305" s="145">
        <v>0.2</v>
      </c>
      <c r="M305" s="145">
        <v>0.25</v>
      </c>
      <c r="N305" s="145">
        <v>0.3</v>
      </c>
      <c r="O305" s="145">
        <v>0.35</v>
      </c>
      <c r="P305" s="145">
        <v>0.4</v>
      </c>
      <c r="Q305" s="145">
        <v>0.45</v>
      </c>
      <c r="R305" s="145">
        <v>0.5</v>
      </c>
      <c r="S305" s="145">
        <v>0.55000000000000004</v>
      </c>
      <c r="T305" s="145">
        <v>0.6</v>
      </c>
      <c r="U305" s="145">
        <v>0.65</v>
      </c>
      <c r="V305" s="145">
        <v>0.7</v>
      </c>
    </row>
    <row r="306" spans="1:22">
      <c r="A306" s="3" t="s">
        <v>4</v>
      </c>
      <c r="B306" s="3"/>
      <c r="H306" s="148">
        <v>0</v>
      </c>
      <c r="I306" s="148">
        <v>0</v>
      </c>
      <c r="J306" s="148">
        <v>0</v>
      </c>
      <c r="K306" s="145">
        <v>0.1</v>
      </c>
      <c r="L306" s="145">
        <v>0.12</v>
      </c>
      <c r="M306" s="145">
        <v>0.15</v>
      </c>
      <c r="N306" s="145">
        <v>0.18</v>
      </c>
      <c r="O306" s="145">
        <v>0.22</v>
      </c>
      <c r="P306" s="145">
        <v>0.25</v>
      </c>
      <c r="Q306" s="145">
        <v>0.28000000000000003</v>
      </c>
      <c r="R306" s="145">
        <v>0.3</v>
      </c>
      <c r="S306" s="145">
        <v>0.32</v>
      </c>
      <c r="T306" s="145">
        <v>0.35</v>
      </c>
      <c r="U306" s="145">
        <v>0.37</v>
      </c>
      <c r="V306" s="145">
        <v>0.4</v>
      </c>
    </row>
    <row r="307" spans="1:22">
      <c r="A307" s="3" t="s">
        <v>5</v>
      </c>
      <c r="B307" s="3"/>
      <c r="H307" s="148">
        <v>0</v>
      </c>
      <c r="I307" s="148">
        <v>0</v>
      </c>
      <c r="J307" s="148">
        <v>0</v>
      </c>
      <c r="K307" s="145">
        <v>0.05</v>
      </c>
      <c r="L307" s="145">
        <v>0.06</v>
      </c>
      <c r="M307" s="145">
        <v>7.0000000000000007E-2</v>
      </c>
      <c r="N307" s="145">
        <v>0.08</v>
      </c>
      <c r="O307" s="145">
        <v>0.09</v>
      </c>
      <c r="P307" s="145">
        <v>0.1</v>
      </c>
      <c r="Q307" s="145">
        <v>0.12</v>
      </c>
      <c r="R307" s="145">
        <v>0.14000000000000001</v>
      </c>
      <c r="S307" s="145">
        <v>0.17</v>
      </c>
      <c r="T307" s="145">
        <v>0.2</v>
      </c>
      <c r="U307" s="145">
        <v>0.23</v>
      </c>
      <c r="V307" s="145">
        <v>0.25</v>
      </c>
    </row>
    <row r="308" spans="1:22">
      <c r="A308" s="3" t="s">
        <v>6</v>
      </c>
      <c r="B308" s="3"/>
      <c r="H308" s="148">
        <v>0</v>
      </c>
      <c r="I308" s="148">
        <v>0</v>
      </c>
      <c r="J308" s="148">
        <v>0</v>
      </c>
      <c r="K308" s="145">
        <v>0.1</v>
      </c>
      <c r="L308" s="145">
        <v>0.15</v>
      </c>
      <c r="M308" s="145">
        <v>0.2</v>
      </c>
      <c r="N308" s="145">
        <v>0.25</v>
      </c>
      <c r="O308" s="145">
        <v>0.3</v>
      </c>
      <c r="P308" s="145">
        <v>0.35</v>
      </c>
      <c r="Q308" s="145">
        <v>0.4</v>
      </c>
      <c r="R308" s="145">
        <v>0.45</v>
      </c>
      <c r="S308" s="145">
        <v>0.5</v>
      </c>
      <c r="T308" s="145">
        <v>0.55000000000000004</v>
      </c>
      <c r="U308" s="145">
        <v>0.6</v>
      </c>
      <c r="V308" s="145">
        <v>0.65</v>
      </c>
    </row>
    <row r="310" spans="1:22">
      <c r="A310" s="250" t="s">
        <v>1</v>
      </c>
      <c r="B310" s="250"/>
      <c r="C310" s="59" t="s">
        <v>8</v>
      </c>
      <c r="D310" s="59" t="s">
        <v>9</v>
      </c>
      <c r="E310" s="59" t="s">
        <v>10</v>
      </c>
      <c r="H310" s="214" t="s">
        <v>657</v>
      </c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</row>
    <row r="311" spans="1:22">
      <c r="A311" s="3" t="s">
        <v>475</v>
      </c>
      <c r="B311" s="3"/>
      <c r="C311" s="59">
        <v>10</v>
      </c>
      <c r="D311" s="59">
        <v>14</v>
      </c>
      <c r="E311" s="59">
        <f>C311*D311</f>
        <v>140</v>
      </c>
      <c r="H311" s="173">
        <f>E311*H303</f>
        <v>0</v>
      </c>
      <c r="I311" s="173">
        <f>E311*I303</f>
        <v>0</v>
      </c>
      <c r="J311" s="173">
        <f>E311*J303</f>
        <v>0</v>
      </c>
      <c r="K311" s="173">
        <f>E311*K303</f>
        <v>42</v>
      </c>
      <c r="L311" s="173">
        <f>E311*L303</f>
        <v>49</v>
      </c>
      <c r="M311" s="173">
        <f>E311*M303</f>
        <v>63</v>
      </c>
      <c r="N311" s="173">
        <f>E311*N303</f>
        <v>77</v>
      </c>
      <c r="O311" s="173">
        <f>E311*O303</f>
        <v>91</v>
      </c>
      <c r="P311" s="173">
        <f>E311*P303</f>
        <v>98</v>
      </c>
      <c r="Q311" s="173">
        <f>E311*Q303</f>
        <v>105</v>
      </c>
      <c r="R311" s="173">
        <f>E311*R303</f>
        <v>112</v>
      </c>
      <c r="S311" s="173">
        <f>E311*S303</f>
        <v>112</v>
      </c>
      <c r="T311" s="173">
        <f>E311*T303</f>
        <v>112</v>
      </c>
      <c r="U311" s="173">
        <f>E311*U303</f>
        <v>112</v>
      </c>
      <c r="V311" s="173">
        <f>E311*V303</f>
        <v>112</v>
      </c>
    </row>
    <row r="312" spans="1:22">
      <c r="A312" s="3" t="s">
        <v>2</v>
      </c>
      <c r="B312" s="3"/>
      <c r="C312" s="59">
        <v>10</v>
      </c>
      <c r="D312" s="59">
        <v>2</v>
      </c>
      <c r="E312" s="59">
        <f t="shared" ref="E312:E316" si="72">C312*D312</f>
        <v>20</v>
      </c>
      <c r="H312" s="59">
        <f>E312*H303</f>
        <v>0</v>
      </c>
      <c r="I312" s="59">
        <f>E312*I303</f>
        <v>0</v>
      </c>
      <c r="J312" s="59">
        <f>E312*J303</f>
        <v>0</v>
      </c>
      <c r="K312" s="59">
        <f>E312*K303</f>
        <v>6</v>
      </c>
      <c r="L312" s="59">
        <f>E312*L303</f>
        <v>7</v>
      </c>
      <c r="M312" s="59">
        <f>E312*M303</f>
        <v>9</v>
      </c>
      <c r="N312" s="59">
        <f>E312*N303</f>
        <v>11</v>
      </c>
      <c r="O312" s="59">
        <f>E312*O303</f>
        <v>13</v>
      </c>
      <c r="P312" s="59">
        <f>E312*P303</f>
        <v>14</v>
      </c>
      <c r="Q312" s="59">
        <f>E312*Q303</f>
        <v>15</v>
      </c>
      <c r="R312" s="59">
        <f>E312*R303</f>
        <v>16</v>
      </c>
      <c r="S312" s="59">
        <f>E312*S303</f>
        <v>16</v>
      </c>
      <c r="T312" s="59">
        <f>E312*T303</f>
        <v>16</v>
      </c>
      <c r="U312" s="59">
        <f>E312*U303</f>
        <v>16</v>
      </c>
      <c r="V312" s="59">
        <f>E312*V303</f>
        <v>16</v>
      </c>
    </row>
    <row r="313" spans="1:22">
      <c r="A313" s="3" t="s">
        <v>3</v>
      </c>
      <c r="B313" s="3"/>
      <c r="C313" s="59">
        <v>30</v>
      </c>
      <c r="D313" s="59">
        <v>1</v>
      </c>
      <c r="E313" s="59">
        <f t="shared" si="72"/>
        <v>30</v>
      </c>
      <c r="H313" s="59">
        <f>E313*H303</f>
        <v>0</v>
      </c>
      <c r="I313" s="59">
        <f>E313*I303</f>
        <v>0</v>
      </c>
      <c r="J313" s="59">
        <f>E313*J303</f>
        <v>0</v>
      </c>
      <c r="K313" s="59">
        <f>E313*K303</f>
        <v>9</v>
      </c>
      <c r="L313" s="59">
        <f>E313*L303</f>
        <v>10.5</v>
      </c>
      <c r="M313" s="59">
        <f>E313*M303</f>
        <v>13.5</v>
      </c>
      <c r="N313" s="59">
        <f>E313*N303</f>
        <v>16.5</v>
      </c>
      <c r="O313" s="59">
        <f>E313*O303</f>
        <v>19.5</v>
      </c>
      <c r="P313" s="59">
        <f>E313*P303</f>
        <v>21</v>
      </c>
      <c r="Q313" s="59">
        <f>E313*Q303</f>
        <v>22.5</v>
      </c>
      <c r="R313" s="59">
        <f>E313*R303</f>
        <v>24</v>
      </c>
      <c r="S313" s="59">
        <f>E313*S303</f>
        <v>24</v>
      </c>
      <c r="T313" s="59">
        <f>E313*T303</f>
        <v>24</v>
      </c>
      <c r="U313" s="59">
        <f>E313*U303</f>
        <v>24</v>
      </c>
      <c r="V313" s="59">
        <f>E313*V303</f>
        <v>24</v>
      </c>
    </row>
    <row r="314" spans="1:22">
      <c r="A314" s="3" t="s">
        <v>4</v>
      </c>
      <c r="B314" s="3"/>
      <c r="C314" s="59">
        <v>10</v>
      </c>
      <c r="D314" s="59">
        <v>1</v>
      </c>
      <c r="E314" s="59">
        <f t="shared" si="72"/>
        <v>10</v>
      </c>
      <c r="H314" s="59">
        <f>E314*H303</f>
        <v>0</v>
      </c>
      <c r="I314" s="59">
        <f>E314*I303</f>
        <v>0</v>
      </c>
      <c r="J314" s="59">
        <f>E314*J303</f>
        <v>0</v>
      </c>
      <c r="K314" s="59">
        <f>E314*K303</f>
        <v>3</v>
      </c>
      <c r="L314" s="59">
        <f>E314*L303</f>
        <v>3.5</v>
      </c>
      <c r="M314" s="59">
        <f>E314*M303</f>
        <v>4.5</v>
      </c>
      <c r="N314" s="59">
        <f>E314*N303</f>
        <v>5.5</v>
      </c>
      <c r="O314" s="59">
        <f>E314*O303</f>
        <v>6.5</v>
      </c>
      <c r="P314" s="59">
        <f>E314*P303</f>
        <v>7</v>
      </c>
      <c r="Q314" s="59">
        <f>E314*Q303</f>
        <v>7.5</v>
      </c>
      <c r="R314" s="59">
        <f>E314*R303</f>
        <v>8</v>
      </c>
      <c r="S314" s="59">
        <f>E314*S303</f>
        <v>8</v>
      </c>
      <c r="T314" s="59">
        <f>E314*T303</f>
        <v>8</v>
      </c>
      <c r="U314" s="59">
        <f>E314*U303</f>
        <v>8</v>
      </c>
      <c r="V314" s="59">
        <f>E314*V303</f>
        <v>8</v>
      </c>
    </row>
    <row r="315" spans="1:22">
      <c r="A315" s="3" t="s">
        <v>5</v>
      </c>
      <c r="B315" s="3"/>
      <c r="C315" s="59">
        <v>10</v>
      </c>
      <c r="D315" s="59">
        <v>1</v>
      </c>
      <c r="E315" s="59">
        <f t="shared" si="72"/>
        <v>10</v>
      </c>
      <c r="H315" s="59">
        <f>E315*H303</f>
        <v>0</v>
      </c>
      <c r="I315" s="59">
        <f>E315*I303</f>
        <v>0</v>
      </c>
      <c r="J315" s="59">
        <f>E315*J303</f>
        <v>0</v>
      </c>
      <c r="K315" s="59">
        <f>E315*K303</f>
        <v>3</v>
      </c>
      <c r="L315" s="59">
        <f>E315*L303</f>
        <v>3.5</v>
      </c>
      <c r="M315" s="59">
        <f>E315*M303</f>
        <v>4.5</v>
      </c>
      <c r="N315" s="59">
        <f>E315*N303</f>
        <v>5.5</v>
      </c>
      <c r="O315" s="59">
        <f>E315*O303</f>
        <v>6.5</v>
      </c>
      <c r="P315" s="59">
        <f>E315*P303</f>
        <v>7</v>
      </c>
      <c r="Q315" s="59">
        <f>E315*Q303</f>
        <v>7.5</v>
      </c>
      <c r="R315" s="59">
        <f>E315*R303</f>
        <v>8</v>
      </c>
      <c r="S315" s="59">
        <f>E315*S303</f>
        <v>8</v>
      </c>
      <c r="T315" s="59">
        <f>E315*T303</f>
        <v>8</v>
      </c>
      <c r="U315" s="59">
        <f>E315*U303</f>
        <v>8</v>
      </c>
      <c r="V315" s="59">
        <f>E315*V303</f>
        <v>8</v>
      </c>
    </row>
    <row r="316" spans="1:22">
      <c r="A316" s="3" t="s">
        <v>6</v>
      </c>
      <c r="B316" s="3"/>
      <c r="C316" s="59">
        <v>40</v>
      </c>
      <c r="D316" s="59">
        <v>1</v>
      </c>
      <c r="E316" s="59">
        <f t="shared" si="72"/>
        <v>40</v>
      </c>
      <c r="H316" s="59">
        <f>E316*H303</f>
        <v>0</v>
      </c>
      <c r="I316" s="59">
        <f>E316*I303</f>
        <v>0</v>
      </c>
      <c r="J316" s="59">
        <f>E316*J303</f>
        <v>0</v>
      </c>
      <c r="K316" s="59">
        <f>E316*K303</f>
        <v>12</v>
      </c>
      <c r="L316" s="59">
        <f>E316*L303</f>
        <v>14</v>
      </c>
      <c r="M316" s="59">
        <f>E316*M303</f>
        <v>18</v>
      </c>
      <c r="N316" s="59">
        <f>E316*N303</f>
        <v>22</v>
      </c>
      <c r="O316" s="59">
        <f>E316*O303</f>
        <v>26</v>
      </c>
      <c r="P316" s="59">
        <f>E316*P303</f>
        <v>28</v>
      </c>
      <c r="Q316" s="59">
        <f>E316*Q303</f>
        <v>30</v>
      </c>
      <c r="R316" s="59">
        <f>E316*R303</f>
        <v>32</v>
      </c>
      <c r="S316" s="59">
        <f>E316*S303</f>
        <v>32</v>
      </c>
      <c r="T316" s="59">
        <f>E316*T303</f>
        <v>32</v>
      </c>
      <c r="U316" s="59">
        <f>E316*U303</f>
        <v>32</v>
      </c>
      <c r="V316" s="59">
        <f>E316*V303</f>
        <v>32</v>
      </c>
    </row>
    <row r="317" spans="1:22">
      <c r="A317" s="251" t="s">
        <v>7</v>
      </c>
      <c r="B317" s="251"/>
      <c r="C317" s="155"/>
      <c r="D317" s="59"/>
      <c r="E317" s="59">
        <f>SUM(E311:E316)</f>
        <v>250</v>
      </c>
      <c r="H317" s="59">
        <f t="shared" ref="H317:J317" si="73">SUM(H311:H316)</f>
        <v>0</v>
      </c>
      <c r="I317" s="59">
        <f t="shared" si="73"/>
        <v>0</v>
      </c>
      <c r="J317" s="59">
        <f t="shared" si="73"/>
        <v>0</v>
      </c>
      <c r="K317" s="59">
        <f>SUM(K311:K316)</f>
        <v>75</v>
      </c>
      <c r="L317" s="59">
        <f t="shared" ref="L317:V317" si="74">SUM(L311:L316)</f>
        <v>87.5</v>
      </c>
      <c r="M317" s="59">
        <f t="shared" si="74"/>
        <v>112.5</v>
      </c>
      <c r="N317" s="59">
        <f t="shared" si="74"/>
        <v>137.5</v>
      </c>
      <c r="O317" s="59">
        <f t="shared" si="74"/>
        <v>162.5</v>
      </c>
      <c r="P317" s="59">
        <f t="shared" si="74"/>
        <v>175</v>
      </c>
      <c r="Q317" s="59">
        <f t="shared" si="74"/>
        <v>187.5</v>
      </c>
      <c r="R317" s="59">
        <f t="shared" si="74"/>
        <v>200</v>
      </c>
      <c r="S317" s="59">
        <f t="shared" si="74"/>
        <v>200</v>
      </c>
      <c r="T317" s="59">
        <f t="shared" si="74"/>
        <v>200</v>
      </c>
      <c r="U317" s="59">
        <f t="shared" si="74"/>
        <v>200</v>
      </c>
      <c r="V317" s="59">
        <f t="shared" si="74"/>
        <v>200</v>
      </c>
    </row>
    <row r="319" spans="1:22">
      <c r="A319" s="195" t="s">
        <v>7</v>
      </c>
      <c r="H319" s="146">
        <f>(H311*H293+H312*H294+H313*H295+H314*H296+H315*H297+H316*H298)/10000000</f>
        <v>0</v>
      </c>
      <c r="I319" s="146">
        <f t="shared" ref="I319:V319" si="75">(I311*I293+I312*I294+I313*I295+I314*I296+I315*I297+I316*I298)/10000000</f>
        <v>0</v>
      </c>
      <c r="J319" s="146">
        <f t="shared" si="75"/>
        <v>0</v>
      </c>
      <c r="K319" s="146">
        <f t="shared" si="75"/>
        <v>1.7305661999999999E-2</v>
      </c>
      <c r="L319" s="146">
        <f t="shared" si="75"/>
        <v>2.2208795E-2</v>
      </c>
      <c r="M319" s="146">
        <f t="shared" si="75"/>
        <v>3.1410467999999997E-2</v>
      </c>
      <c r="N319" s="146">
        <f t="shared" si="75"/>
        <v>4.2228329000000002E-2</v>
      </c>
      <c r="O319" s="146">
        <f t="shared" si="75"/>
        <v>5.4897596000000007E-2</v>
      </c>
      <c r="P319" s="146">
        <f t="shared" si="75"/>
        <v>6.5030881999999998E-2</v>
      </c>
      <c r="Q319" s="146">
        <f t="shared" si="75"/>
        <v>7.6643834999999993E-2</v>
      </c>
      <c r="R319" s="146">
        <f t="shared" si="75"/>
        <v>8.9929711999999981E-2</v>
      </c>
      <c r="S319" s="146">
        <f t="shared" si="75"/>
        <v>9.8922367999999997E-2</v>
      </c>
      <c r="T319" s="146">
        <f t="shared" si="75"/>
        <v>0.10881649600000003</v>
      </c>
      <c r="U319" s="146">
        <f t="shared" si="75"/>
        <v>0.1196972</v>
      </c>
      <c r="V319" s="146">
        <f t="shared" si="75"/>
        <v>0.13166534399999999</v>
      </c>
    </row>
    <row r="321" spans="1:22">
      <c r="A321" s="243" t="s">
        <v>666</v>
      </c>
      <c r="B321" s="243"/>
      <c r="C321" s="243"/>
      <c r="D321" s="243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</row>
    <row r="323" spans="1:22">
      <c r="A323" s="3" t="s">
        <v>658</v>
      </c>
      <c r="B323" s="3" t="s">
        <v>437</v>
      </c>
      <c r="H323" s="59">
        <f>'DIRECT EXPENSES(COGS)'!M62</f>
        <v>0</v>
      </c>
      <c r="I323" s="59">
        <f>'DIRECT EXPENSES(COGS)'!N62</f>
        <v>0</v>
      </c>
      <c r="J323" s="59">
        <f>'DIRECT EXPENSES(COGS)'!O62</f>
        <v>0</v>
      </c>
      <c r="K323" s="156">
        <f xml:space="preserve"> REVENUE!Q69</f>
        <v>2700</v>
      </c>
      <c r="L323" s="156">
        <f xml:space="preserve"> REVENUE!R69</f>
        <v>3192</v>
      </c>
      <c r="M323" s="156">
        <f xml:space="preserve"> REVENUE!S69</f>
        <v>4104</v>
      </c>
      <c r="N323" s="156">
        <f xml:space="preserve"> REVENUE!T69</f>
        <v>4998</v>
      </c>
      <c r="O323" s="156">
        <f xml:space="preserve"> REVENUE!U69</f>
        <v>6041.6</v>
      </c>
      <c r="P323" s="156">
        <f xml:space="preserve"> REVENUE!V69</f>
        <v>7200</v>
      </c>
      <c r="Q323" s="156">
        <f xml:space="preserve"> REVENUE!W69</f>
        <v>8467.2000000000025</v>
      </c>
      <c r="R323" s="156">
        <f xml:space="preserve"> REVENUE!X69</f>
        <v>9828.0000000000018</v>
      </c>
      <c r="S323" s="156">
        <f xml:space="preserve"> REVENUE!Y69</f>
        <v>10752.000000000002</v>
      </c>
      <c r="T323" s="156">
        <f xml:space="preserve"> REVENUE!Z69</f>
        <v>10964.800000000001</v>
      </c>
      <c r="U323" s="156">
        <f xml:space="preserve"> REVENUE!AA69</f>
        <v>10640.000000000002</v>
      </c>
      <c r="V323" s="156">
        <f xml:space="preserve"> REVENUE!AB69</f>
        <v>11200.000000000002</v>
      </c>
    </row>
    <row r="324" spans="1:22">
      <c r="A324" s="3" t="s">
        <v>659</v>
      </c>
      <c r="B324" s="3" t="s">
        <v>437</v>
      </c>
      <c r="H324" s="156">
        <f>REVENUE!N75</f>
        <v>0</v>
      </c>
      <c r="I324" s="156">
        <f>REVENUE!O75</f>
        <v>0</v>
      </c>
      <c r="J324" s="156">
        <f>REVENUE!P75</f>
        <v>0</v>
      </c>
      <c r="K324" s="156">
        <f>REVENUE!Q75</f>
        <v>4050</v>
      </c>
      <c r="L324" s="156">
        <f>REVENUE!R75</f>
        <v>4960</v>
      </c>
      <c r="M324" s="156">
        <f>REVENUE!S75</f>
        <v>6720</v>
      </c>
      <c r="N324" s="156">
        <f>REVENUE!T75</f>
        <v>8316</v>
      </c>
      <c r="O324" s="156">
        <f>REVENUE!U75</f>
        <v>10030</v>
      </c>
      <c r="P324" s="156">
        <f>REVENUE!V75</f>
        <v>12320</v>
      </c>
      <c r="Q324" s="156">
        <f>REVENUE!W75</f>
        <v>15552</v>
      </c>
      <c r="R324" s="156">
        <f>REVENUE!X75</f>
        <v>19980</v>
      </c>
      <c r="S324" s="156">
        <f>REVENUE!Y75</f>
        <v>24320</v>
      </c>
      <c r="T324" s="156">
        <f>REVENUE!Z75</f>
        <v>27768</v>
      </c>
      <c r="U324" s="156">
        <f>REVENUE!AA75</f>
        <v>30400</v>
      </c>
      <c r="V324" s="156">
        <f>REVENUE!AB75</f>
        <v>32000</v>
      </c>
    </row>
    <row r="325" spans="1:22">
      <c r="A325" s="3" t="s">
        <v>660</v>
      </c>
      <c r="B325" s="3" t="s">
        <v>437</v>
      </c>
      <c r="H325" s="59">
        <f xml:space="preserve"> SUM(H323:H324)</f>
        <v>0</v>
      </c>
      <c r="I325" s="59">
        <f t="shared" ref="I325:V325" si="76" xml:space="preserve"> SUM(I323:I324)</f>
        <v>0</v>
      </c>
      <c r="J325" s="59">
        <f t="shared" si="76"/>
        <v>0</v>
      </c>
      <c r="K325" s="59">
        <f t="shared" si="76"/>
        <v>6750</v>
      </c>
      <c r="L325" s="59">
        <f t="shared" si="76"/>
        <v>8152</v>
      </c>
      <c r="M325" s="59">
        <f t="shared" si="76"/>
        <v>10824</v>
      </c>
      <c r="N325" s="59">
        <f t="shared" si="76"/>
        <v>13314</v>
      </c>
      <c r="O325" s="59">
        <f t="shared" si="76"/>
        <v>16071.6</v>
      </c>
      <c r="P325" s="59">
        <f t="shared" si="76"/>
        <v>19520</v>
      </c>
      <c r="Q325" s="59">
        <f t="shared" si="76"/>
        <v>24019.200000000004</v>
      </c>
      <c r="R325" s="59">
        <f t="shared" si="76"/>
        <v>29808</v>
      </c>
      <c r="S325" s="59">
        <f t="shared" si="76"/>
        <v>35072</v>
      </c>
      <c r="T325" s="59">
        <f t="shared" si="76"/>
        <v>38732.800000000003</v>
      </c>
      <c r="U325" s="59">
        <f t="shared" si="76"/>
        <v>41040</v>
      </c>
      <c r="V325" s="59">
        <f t="shared" si="76"/>
        <v>43200</v>
      </c>
    </row>
    <row r="327" spans="1:22" ht="67.2">
      <c r="A327" s="164" t="s">
        <v>191</v>
      </c>
      <c r="B327" s="164" t="s">
        <v>661</v>
      </c>
      <c r="H327" s="252" t="s">
        <v>656</v>
      </c>
      <c r="I327" s="252"/>
      <c r="J327" s="252"/>
      <c r="K327" s="252"/>
      <c r="L327" s="252"/>
      <c r="M327" s="252"/>
      <c r="N327" s="252"/>
      <c r="O327" s="252"/>
      <c r="P327" s="252"/>
      <c r="Q327" s="252"/>
      <c r="R327" s="252"/>
      <c r="S327" s="252"/>
      <c r="T327" s="252"/>
      <c r="U327" s="252"/>
      <c r="V327" s="252"/>
    </row>
    <row r="328" spans="1:22" ht="15" thickBot="1">
      <c r="A328" s="94" t="s">
        <v>253</v>
      </c>
      <c r="B328" s="147">
        <v>475</v>
      </c>
      <c r="H328" s="172">
        <f>B328*H290</f>
        <v>522.5</v>
      </c>
      <c r="I328" s="172">
        <f>B328*I290</f>
        <v>574.75</v>
      </c>
      <c r="J328" s="172">
        <f>B328*J290</f>
        <v>632.22500000000002</v>
      </c>
      <c r="K328" s="172">
        <f>B328*K290</f>
        <v>695.44749999999999</v>
      </c>
      <c r="L328" s="172">
        <f>B328*L290</f>
        <v>764.98750000000007</v>
      </c>
      <c r="M328" s="172">
        <f>B328*M290</f>
        <v>841.51</v>
      </c>
      <c r="N328" s="172">
        <f>B328*N290</f>
        <v>925.63250000000005</v>
      </c>
      <c r="O328" s="172">
        <f>B328*O290</f>
        <v>1018.21</v>
      </c>
      <c r="P328" s="172">
        <f>B328*P290</f>
        <v>1120.0025000000001</v>
      </c>
      <c r="Q328" s="172">
        <f>B328*Q290</f>
        <v>1232.0075000000002</v>
      </c>
      <c r="R328" s="172">
        <f>B328*R290</f>
        <v>1355.2225000000001</v>
      </c>
      <c r="S328" s="172">
        <f>B328*S290</f>
        <v>1490.74</v>
      </c>
      <c r="T328" s="172">
        <f>B328*T290</f>
        <v>1639.8425</v>
      </c>
      <c r="U328" s="172">
        <f>B328*U290</f>
        <v>1803.8125</v>
      </c>
      <c r="V328" s="172">
        <f>B328*V290</f>
        <v>1984.17</v>
      </c>
    </row>
    <row r="329" spans="1:22" ht="15" thickBot="1">
      <c r="A329" s="94" t="s">
        <v>255</v>
      </c>
      <c r="B329" s="143">
        <v>225</v>
      </c>
      <c r="H329" s="141">
        <f>B329*H290</f>
        <v>247.50000000000003</v>
      </c>
      <c r="I329" s="141">
        <f>B329*I290</f>
        <v>272.25</v>
      </c>
      <c r="J329" s="141">
        <f>B329*J290</f>
        <v>299.47499999999997</v>
      </c>
      <c r="K329" s="141">
        <f>B329*K290</f>
        <v>329.42250000000001</v>
      </c>
      <c r="L329" s="141">
        <f>B329*L290</f>
        <v>362.36250000000001</v>
      </c>
      <c r="M329" s="141">
        <f>B329*M290</f>
        <v>398.61</v>
      </c>
      <c r="N329" s="141">
        <f>B329*N290</f>
        <v>438.45750000000004</v>
      </c>
      <c r="O329" s="141">
        <f>B329*O290</f>
        <v>482.31000000000006</v>
      </c>
      <c r="P329" s="141">
        <f>B329*P290</f>
        <v>530.52749999999992</v>
      </c>
      <c r="Q329" s="141">
        <f>B329*Q290</f>
        <v>583.58249999999998</v>
      </c>
      <c r="R329" s="141">
        <f>B329*R290</f>
        <v>641.94749999999999</v>
      </c>
      <c r="S329" s="141">
        <f>B329*S290</f>
        <v>706.14</v>
      </c>
      <c r="T329" s="141">
        <f>B329*T290</f>
        <v>776.76750000000004</v>
      </c>
      <c r="U329" s="141">
        <f>B329*U290</f>
        <v>854.4375</v>
      </c>
      <c r="V329" s="141">
        <f>B329*V290</f>
        <v>939.87</v>
      </c>
    </row>
    <row r="330" spans="1:22" ht="15" thickBot="1">
      <c r="A330" s="94" t="s">
        <v>257</v>
      </c>
      <c r="B330" s="143">
        <v>300</v>
      </c>
      <c r="H330" s="141">
        <f>B330*H290</f>
        <v>330</v>
      </c>
      <c r="I330" s="141">
        <f>B330*I290</f>
        <v>363</v>
      </c>
      <c r="J330" s="141">
        <f>B330*J290</f>
        <v>399.3</v>
      </c>
      <c r="K330" s="141">
        <f>B330*K290</f>
        <v>439.22999999999996</v>
      </c>
      <c r="L330" s="141">
        <f>B330*L290</f>
        <v>483.15000000000003</v>
      </c>
      <c r="M330" s="141">
        <f>B330*M290</f>
        <v>531.48</v>
      </c>
      <c r="N330" s="141">
        <f>B330*N290</f>
        <v>584.61</v>
      </c>
      <c r="O330" s="141">
        <f>B330*O290</f>
        <v>643.08000000000004</v>
      </c>
      <c r="P330" s="141">
        <f>B330*P290</f>
        <v>707.37</v>
      </c>
      <c r="Q330" s="141">
        <f>B330*Q290</f>
        <v>778.11</v>
      </c>
      <c r="R330" s="141">
        <f>B330*R290</f>
        <v>855.93</v>
      </c>
      <c r="S330" s="141">
        <f>B330*S290</f>
        <v>941.52</v>
      </c>
      <c r="T330" s="141">
        <f>B330*T290</f>
        <v>1035.69</v>
      </c>
      <c r="U330" s="141">
        <f>B330*U290</f>
        <v>1139.25</v>
      </c>
      <c r="V330" s="141">
        <f>B330*V290</f>
        <v>1253.1600000000001</v>
      </c>
    </row>
    <row r="331" spans="1:22" ht="15" thickBot="1">
      <c r="A331" s="94" t="s">
        <v>259</v>
      </c>
      <c r="B331" s="143">
        <v>450</v>
      </c>
      <c r="H331" s="141">
        <f>B331*H290</f>
        <v>495.00000000000006</v>
      </c>
      <c r="I331" s="141">
        <f>B331*I290</f>
        <v>544.5</v>
      </c>
      <c r="J331" s="141">
        <f>B331*J290</f>
        <v>598.94999999999993</v>
      </c>
      <c r="K331" s="141">
        <f>B331*K290</f>
        <v>658.84500000000003</v>
      </c>
      <c r="L331" s="141">
        <f>B331*L290</f>
        <v>724.72500000000002</v>
      </c>
      <c r="M331" s="141">
        <f>B331*M290</f>
        <v>797.22</v>
      </c>
      <c r="N331" s="141">
        <f>B331*N290</f>
        <v>876.91500000000008</v>
      </c>
      <c r="O331" s="141">
        <f>B331*O290</f>
        <v>964.62000000000012</v>
      </c>
      <c r="P331" s="141">
        <f>B331*P290</f>
        <v>1061.0549999999998</v>
      </c>
      <c r="Q331" s="141">
        <f>B331*Q290</f>
        <v>1167.165</v>
      </c>
      <c r="R331" s="141">
        <f>B331*R290</f>
        <v>1283.895</v>
      </c>
      <c r="S331" s="141">
        <f>B331*S290</f>
        <v>1412.28</v>
      </c>
      <c r="T331" s="141">
        <f>B331*T290</f>
        <v>1553.5350000000001</v>
      </c>
      <c r="U331" s="141">
        <f>B331*U290</f>
        <v>1708.875</v>
      </c>
      <c r="V331" s="141">
        <f>B331*V290</f>
        <v>1879.74</v>
      </c>
    </row>
    <row r="332" spans="1:22" ht="15" thickBot="1">
      <c r="A332" s="94" t="s">
        <v>261</v>
      </c>
      <c r="B332" s="143">
        <v>550</v>
      </c>
      <c r="H332" s="141">
        <f>B332*H290</f>
        <v>605</v>
      </c>
      <c r="I332" s="141">
        <f>B332*I290</f>
        <v>665.5</v>
      </c>
      <c r="J332" s="141">
        <f>B332*J290</f>
        <v>732.05</v>
      </c>
      <c r="K332" s="141">
        <f>B332*K290</f>
        <v>805.255</v>
      </c>
      <c r="L332" s="141">
        <f>B332*L290</f>
        <v>885.77499999999998</v>
      </c>
      <c r="M332" s="141">
        <f>B332*M290</f>
        <v>974.38</v>
      </c>
      <c r="N332" s="141">
        <f>B332*N290</f>
        <v>1071.7850000000001</v>
      </c>
      <c r="O332" s="141">
        <f>B332*O290</f>
        <v>1178.98</v>
      </c>
      <c r="P332" s="141">
        <f>B332*P290</f>
        <v>1296.845</v>
      </c>
      <c r="Q332" s="141">
        <f>B332*Q290</f>
        <v>1426.5350000000001</v>
      </c>
      <c r="R332" s="141">
        <f>B332*R290</f>
        <v>1569.2049999999999</v>
      </c>
      <c r="S332" s="141">
        <f>B332*S290</f>
        <v>1726.12</v>
      </c>
      <c r="T332" s="141">
        <f>B332*T290</f>
        <v>1898.7650000000001</v>
      </c>
      <c r="U332" s="141">
        <f>B332*U290</f>
        <v>2088.625</v>
      </c>
      <c r="V332" s="141">
        <f>B332*V290</f>
        <v>2297.46</v>
      </c>
    </row>
    <row r="333" spans="1:22" ht="15" thickBot="1">
      <c r="A333" s="94" t="s">
        <v>263</v>
      </c>
      <c r="B333" s="143">
        <v>325</v>
      </c>
      <c r="H333" s="141">
        <f>B333*H290</f>
        <v>357.50000000000006</v>
      </c>
      <c r="I333" s="141">
        <f>B333*I290</f>
        <v>393.25</v>
      </c>
      <c r="J333" s="141">
        <f>B333*J290</f>
        <v>432.57499999999999</v>
      </c>
      <c r="K333" s="141">
        <f>B333*K290</f>
        <v>475.83249999999998</v>
      </c>
      <c r="L333" s="141">
        <f>B333*L290</f>
        <v>523.41250000000002</v>
      </c>
      <c r="M333" s="141">
        <f>B333*M290</f>
        <v>575.77</v>
      </c>
      <c r="N333" s="141">
        <f>B333*N290</f>
        <v>633.32749999999999</v>
      </c>
      <c r="O333" s="141">
        <f>B333*O290</f>
        <v>696.67000000000007</v>
      </c>
      <c r="P333" s="141">
        <f>B333*P290</f>
        <v>766.3175</v>
      </c>
      <c r="Q333" s="141">
        <f>B333*Q290</f>
        <v>842.95249999999999</v>
      </c>
      <c r="R333" s="141">
        <f>B333*R290</f>
        <v>927.25749999999994</v>
      </c>
      <c r="S333" s="141">
        <f>B333*S290</f>
        <v>1019.9799999999999</v>
      </c>
      <c r="T333" s="141">
        <f>B333*T290</f>
        <v>1121.9974999999999</v>
      </c>
      <c r="U333" s="141">
        <f>B333*U290</f>
        <v>1234.1875</v>
      </c>
      <c r="V333" s="141">
        <f>B333*V290</f>
        <v>1357.59</v>
      </c>
    </row>
    <row r="334" spans="1:22" ht="15" thickBot="1">
      <c r="A334" s="94" t="s">
        <v>265</v>
      </c>
      <c r="B334" s="143">
        <v>150</v>
      </c>
      <c r="H334" s="141">
        <f>B334*H290</f>
        <v>165</v>
      </c>
      <c r="I334" s="141">
        <f>B334*I290</f>
        <v>181.5</v>
      </c>
      <c r="J334" s="141">
        <f>B334*J290</f>
        <v>199.65</v>
      </c>
      <c r="K334" s="141">
        <f>B334*K290</f>
        <v>219.61499999999998</v>
      </c>
      <c r="L334" s="141">
        <f>B334*L290</f>
        <v>241.57500000000002</v>
      </c>
      <c r="M334" s="141">
        <f>B334*M290</f>
        <v>265.74</v>
      </c>
      <c r="N334" s="141">
        <f>B334*N290</f>
        <v>292.30500000000001</v>
      </c>
      <c r="O334" s="141">
        <f>B334*O290</f>
        <v>321.54000000000002</v>
      </c>
      <c r="P334" s="141">
        <f>B334*P290</f>
        <v>353.685</v>
      </c>
      <c r="Q334" s="141">
        <f>B334*Q290</f>
        <v>389.05500000000001</v>
      </c>
      <c r="R334" s="141">
        <f>B334*R290</f>
        <v>427.96499999999997</v>
      </c>
      <c r="S334" s="141">
        <f>B334*S290</f>
        <v>470.76</v>
      </c>
      <c r="T334" s="141">
        <f>B334*T290</f>
        <v>517.84500000000003</v>
      </c>
      <c r="U334" s="141">
        <f>B334*U290</f>
        <v>569.625</v>
      </c>
      <c r="V334" s="141">
        <f>B334*V290</f>
        <v>626.58000000000004</v>
      </c>
    </row>
    <row r="335" spans="1:22" ht="15" thickBot="1">
      <c r="A335" s="94" t="s">
        <v>267</v>
      </c>
      <c r="B335" s="143">
        <v>300</v>
      </c>
      <c r="H335" s="141">
        <f>B335*H290</f>
        <v>330</v>
      </c>
      <c r="I335" s="141">
        <f>B335*I290</f>
        <v>363</v>
      </c>
      <c r="J335" s="141">
        <f>B335*J290</f>
        <v>399.3</v>
      </c>
      <c r="K335" s="141">
        <f>B335*K290</f>
        <v>439.22999999999996</v>
      </c>
      <c r="L335" s="141">
        <f>B335*L290</f>
        <v>483.15000000000003</v>
      </c>
      <c r="M335" s="141">
        <f>B335*M290</f>
        <v>531.48</v>
      </c>
      <c r="N335" s="141">
        <f>B335*N290</f>
        <v>584.61</v>
      </c>
      <c r="O335" s="141">
        <f>B335*O290</f>
        <v>643.08000000000004</v>
      </c>
      <c r="P335" s="141">
        <f>B335*P290</f>
        <v>707.37</v>
      </c>
      <c r="Q335" s="141">
        <f>B335*Q290</f>
        <v>778.11</v>
      </c>
      <c r="R335" s="141">
        <f>B335*R290</f>
        <v>855.93</v>
      </c>
      <c r="S335" s="141">
        <f>B335*S290</f>
        <v>941.52</v>
      </c>
      <c r="T335" s="141">
        <f>B335*T290</f>
        <v>1035.69</v>
      </c>
      <c r="U335" s="141">
        <f>B335*U290</f>
        <v>1139.25</v>
      </c>
      <c r="V335" s="141">
        <f>B335*V290</f>
        <v>1253.1600000000001</v>
      </c>
    </row>
    <row r="336" spans="1:22" ht="15" thickBot="1">
      <c r="A336" s="94" t="s">
        <v>581</v>
      </c>
      <c r="B336" s="143">
        <v>275</v>
      </c>
      <c r="H336" s="141">
        <f>B336*H290</f>
        <v>302.5</v>
      </c>
      <c r="I336" s="141">
        <f>B336*I290</f>
        <v>332.75</v>
      </c>
      <c r="J336" s="141">
        <f>B336*J290</f>
        <v>366.02499999999998</v>
      </c>
      <c r="K336" s="141">
        <f>B336*K290</f>
        <v>402.6275</v>
      </c>
      <c r="L336" s="141">
        <f>B336*L290</f>
        <v>442.88749999999999</v>
      </c>
      <c r="M336" s="141">
        <f>B336*M290</f>
        <v>487.19</v>
      </c>
      <c r="N336" s="141">
        <f>B336*N290</f>
        <v>535.89250000000004</v>
      </c>
      <c r="O336" s="141">
        <f>B336*O290</f>
        <v>589.49</v>
      </c>
      <c r="P336" s="141">
        <f>B336*P290</f>
        <v>648.42250000000001</v>
      </c>
      <c r="Q336" s="141">
        <f>B336*Q290</f>
        <v>713.26750000000004</v>
      </c>
      <c r="R336" s="141">
        <f>B336*R290</f>
        <v>784.60249999999996</v>
      </c>
      <c r="S336" s="141">
        <f>B336*S290</f>
        <v>863.06</v>
      </c>
      <c r="T336" s="141">
        <f>B336*T290</f>
        <v>949.38250000000005</v>
      </c>
      <c r="U336" s="141">
        <f>B336*U290</f>
        <v>1044.3125</v>
      </c>
      <c r="V336" s="141">
        <f>B336*V290</f>
        <v>1148.73</v>
      </c>
    </row>
    <row r="337" spans="1:22" ht="15" thickBot="1">
      <c r="A337" s="94" t="s">
        <v>285</v>
      </c>
      <c r="B337" s="143">
        <v>450</v>
      </c>
      <c r="H337" s="141">
        <f>B337*H290</f>
        <v>495.00000000000006</v>
      </c>
      <c r="I337" s="141">
        <f>B337*I290</f>
        <v>544.5</v>
      </c>
      <c r="J337" s="141">
        <f>B337*J290</f>
        <v>598.94999999999993</v>
      </c>
      <c r="K337" s="141">
        <f>B337*K290</f>
        <v>658.84500000000003</v>
      </c>
      <c r="L337" s="141">
        <f>B337*L290</f>
        <v>724.72500000000002</v>
      </c>
      <c r="M337" s="141">
        <f>B337*M290</f>
        <v>797.22</v>
      </c>
      <c r="N337" s="141">
        <f>B337*N290</f>
        <v>876.91500000000008</v>
      </c>
      <c r="O337" s="141">
        <f>B337*O290</f>
        <v>964.62000000000012</v>
      </c>
      <c r="P337" s="141">
        <f>B337*P290</f>
        <v>1061.0549999999998</v>
      </c>
      <c r="Q337" s="141">
        <f>B337*Q290</f>
        <v>1167.165</v>
      </c>
      <c r="R337" s="141">
        <f>B337*R290</f>
        <v>1283.895</v>
      </c>
      <c r="S337" s="141">
        <f>B337*S290</f>
        <v>1412.28</v>
      </c>
      <c r="T337" s="141">
        <f>B337*T290</f>
        <v>1553.5350000000001</v>
      </c>
      <c r="U337" s="141">
        <f>B337*U290</f>
        <v>1708.875</v>
      </c>
      <c r="V337" s="141">
        <f>B337*V290</f>
        <v>1879.74</v>
      </c>
    </row>
    <row r="338" spans="1:22" ht="15" thickBot="1">
      <c r="A338" s="94" t="s">
        <v>498</v>
      </c>
      <c r="B338" s="143">
        <v>300</v>
      </c>
      <c r="H338" s="141">
        <f>B338*H290</f>
        <v>330</v>
      </c>
      <c r="I338" s="141">
        <f>B338*I290</f>
        <v>363</v>
      </c>
      <c r="J338" s="141">
        <f>B338*J290</f>
        <v>399.3</v>
      </c>
      <c r="K338" s="141">
        <f>B338*K290</f>
        <v>439.22999999999996</v>
      </c>
      <c r="L338" s="141">
        <f>B338*L290</f>
        <v>483.15000000000003</v>
      </c>
      <c r="M338" s="141">
        <f>B338*M290</f>
        <v>531.48</v>
      </c>
      <c r="N338" s="141">
        <f>B338*N290</f>
        <v>584.61</v>
      </c>
      <c r="O338" s="141">
        <f>B338*O290</f>
        <v>643.08000000000004</v>
      </c>
      <c r="P338" s="141">
        <f>B338*P290</f>
        <v>707.37</v>
      </c>
      <c r="Q338" s="141">
        <f>B338*Q290</f>
        <v>778.11</v>
      </c>
      <c r="R338" s="141">
        <f>B338*R290</f>
        <v>855.93</v>
      </c>
      <c r="S338" s="141">
        <f>B338*S290</f>
        <v>941.52</v>
      </c>
      <c r="T338" s="141">
        <f>B338*T290</f>
        <v>1035.69</v>
      </c>
      <c r="U338" s="141">
        <f>B338*U290</f>
        <v>1139.25</v>
      </c>
      <c r="V338" s="141">
        <f>B338*V290</f>
        <v>1253.1600000000001</v>
      </c>
    </row>
    <row r="339" spans="1:22" ht="15" thickBot="1">
      <c r="A339" s="94" t="s">
        <v>275</v>
      </c>
      <c r="B339" s="143">
        <v>375</v>
      </c>
      <c r="H339" s="141">
        <f>B339*H290</f>
        <v>412.50000000000006</v>
      </c>
      <c r="I339" s="141">
        <f>B339*I290</f>
        <v>453.75</v>
      </c>
      <c r="J339" s="141">
        <f>B339*J290</f>
        <v>499.125</v>
      </c>
      <c r="K339" s="141">
        <f>B339*K290</f>
        <v>549.03750000000002</v>
      </c>
      <c r="L339" s="141">
        <f>B339*L290</f>
        <v>603.9375</v>
      </c>
      <c r="M339" s="141">
        <f>B339*M290</f>
        <v>664.35</v>
      </c>
      <c r="N339" s="141">
        <f>B339*N290</f>
        <v>730.76250000000005</v>
      </c>
      <c r="O339" s="141">
        <f>B339*O290</f>
        <v>803.85</v>
      </c>
      <c r="P339" s="141">
        <f>B339*P290</f>
        <v>884.21249999999998</v>
      </c>
      <c r="Q339" s="141">
        <f>B339*Q290</f>
        <v>972.63750000000005</v>
      </c>
      <c r="R339" s="141">
        <f>B339*R290</f>
        <v>1069.9124999999999</v>
      </c>
      <c r="S339" s="141">
        <f>B339*S290</f>
        <v>1176.8999999999999</v>
      </c>
      <c r="T339" s="141">
        <f>B339*T290</f>
        <v>1294.6125</v>
      </c>
      <c r="U339" s="141">
        <f>B339*U290</f>
        <v>1424.0625</v>
      </c>
      <c r="V339" s="141">
        <f>B339*V290</f>
        <v>1566.45</v>
      </c>
    </row>
    <row r="340" spans="1:22" ht="15" thickBot="1">
      <c r="A340" s="94" t="s">
        <v>277</v>
      </c>
      <c r="B340" s="143">
        <v>275</v>
      </c>
      <c r="H340" s="141">
        <f>B340*H290</f>
        <v>302.5</v>
      </c>
      <c r="I340" s="141">
        <f>B340*I290</f>
        <v>332.75</v>
      </c>
      <c r="J340" s="141">
        <f>B340*J290</f>
        <v>366.02499999999998</v>
      </c>
      <c r="K340" s="141">
        <f>B340*K290</f>
        <v>402.6275</v>
      </c>
      <c r="L340" s="141">
        <f>B340*L290</f>
        <v>442.88749999999999</v>
      </c>
      <c r="M340" s="141">
        <f>B340*M290</f>
        <v>487.19</v>
      </c>
      <c r="N340" s="141">
        <f>B340*N290</f>
        <v>535.89250000000004</v>
      </c>
      <c r="O340" s="141">
        <f>B340*O290</f>
        <v>589.49</v>
      </c>
      <c r="P340" s="141">
        <f>B340*P290</f>
        <v>648.42250000000001</v>
      </c>
      <c r="Q340" s="141">
        <f>B340*Q290</f>
        <v>713.26750000000004</v>
      </c>
      <c r="R340" s="141">
        <f>B340*R290</f>
        <v>784.60249999999996</v>
      </c>
      <c r="S340" s="141">
        <f>B340*S290</f>
        <v>863.06</v>
      </c>
      <c r="T340" s="141">
        <f>B340*T290</f>
        <v>949.38250000000005</v>
      </c>
      <c r="U340" s="141">
        <f>B340*U290</f>
        <v>1044.3125</v>
      </c>
      <c r="V340" s="141">
        <f>B340*V290</f>
        <v>1148.73</v>
      </c>
    </row>
    <row r="341" spans="1:22" ht="15" thickBot="1">
      <c r="A341" s="94" t="s">
        <v>279</v>
      </c>
      <c r="B341" s="143">
        <v>225</v>
      </c>
      <c r="H341" s="141">
        <f>B341*H290</f>
        <v>247.50000000000003</v>
      </c>
      <c r="I341" s="141">
        <f>B341*I290</f>
        <v>272.25</v>
      </c>
      <c r="J341" s="141">
        <f>B341*J290</f>
        <v>299.47499999999997</v>
      </c>
      <c r="K341" s="141">
        <f>B341*K290</f>
        <v>329.42250000000001</v>
      </c>
      <c r="L341" s="141">
        <f>B341*L290</f>
        <v>362.36250000000001</v>
      </c>
      <c r="M341" s="141">
        <f>B341*M290</f>
        <v>398.61</v>
      </c>
      <c r="N341" s="141">
        <f>B341*N290</f>
        <v>438.45750000000004</v>
      </c>
      <c r="O341" s="141">
        <f>B341*O290</f>
        <v>482.31000000000006</v>
      </c>
      <c r="P341" s="141">
        <f>B341*P290</f>
        <v>530.52749999999992</v>
      </c>
      <c r="Q341" s="141">
        <f>B341*Q290</f>
        <v>583.58249999999998</v>
      </c>
      <c r="R341" s="141">
        <f>B341*R290</f>
        <v>641.94749999999999</v>
      </c>
      <c r="S341" s="141">
        <f>B341*S290</f>
        <v>706.14</v>
      </c>
      <c r="T341" s="141">
        <f>B341*T290</f>
        <v>776.76750000000004</v>
      </c>
      <c r="U341" s="141">
        <f>B341*U290</f>
        <v>854.4375</v>
      </c>
      <c r="V341" s="141">
        <f>B341*V290</f>
        <v>939.87</v>
      </c>
    </row>
    <row r="342" spans="1:22" ht="15" thickBot="1">
      <c r="A342" s="94" t="s">
        <v>281</v>
      </c>
      <c r="B342" s="143">
        <v>150</v>
      </c>
      <c r="H342" s="141">
        <f>B342*H290</f>
        <v>165</v>
      </c>
      <c r="I342" s="141">
        <f>B342*I290</f>
        <v>181.5</v>
      </c>
      <c r="J342" s="141">
        <f>B342*J290</f>
        <v>199.65</v>
      </c>
      <c r="K342" s="141">
        <f>B342*K290</f>
        <v>219.61499999999998</v>
      </c>
      <c r="L342" s="141">
        <f>B342*L290</f>
        <v>241.57500000000002</v>
      </c>
      <c r="M342" s="141">
        <f>B342*M290</f>
        <v>265.74</v>
      </c>
      <c r="N342" s="141">
        <f>B342*N290</f>
        <v>292.30500000000001</v>
      </c>
      <c r="O342" s="141">
        <f>B342*O290</f>
        <v>321.54000000000002</v>
      </c>
      <c r="P342" s="141">
        <f>B342*P290</f>
        <v>353.685</v>
      </c>
      <c r="Q342" s="141">
        <f>B342*Q290</f>
        <v>389.05500000000001</v>
      </c>
      <c r="R342" s="141">
        <f>B342*R290</f>
        <v>427.96499999999997</v>
      </c>
      <c r="S342" s="141">
        <f>B342*S290</f>
        <v>470.76</v>
      </c>
      <c r="T342" s="141">
        <f>B342*T290</f>
        <v>517.84500000000003</v>
      </c>
      <c r="U342" s="141">
        <f>B342*U290</f>
        <v>569.625</v>
      </c>
      <c r="V342" s="141">
        <f>B342*V290</f>
        <v>626.58000000000004</v>
      </c>
    </row>
    <row r="343" spans="1:22">
      <c r="A343" s="95" t="s">
        <v>283</v>
      </c>
      <c r="B343" s="143">
        <v>475</v>
      </c>
      <c r="H343" s="141">
        <f>B343*H290</f>
        <v>522.5</v>
      </c>
      <c r="I343" s="141">
        <f>B343*I290</f>
        <v>574.75</v>
      </c>
      <c r="J343" s="141">
        <f>B343*J290</f>
        <v>632.22500000000002</v>
      </c>
      <c r="K343" s="141">
        <f>B343*K290</f>
        <v>695.44749999999999</v>
      </c>
      <c r="L343" s="141">
        <f>B343*L290</f>
        <v>764.98750000000007</v>
      </c>
      <c r="M343" s="141">
        <f>B343*M290</f>
        <v>841.51</v>
      </c>
      <c r="N343" s="141">
        <f>B343*N290</f>
        <v>925.63250000000005</v>
      </c>
      <c r="O343" s="141">
        <f>B343*O290</f>
        <v>1018.21</v>
      </c>
      <c r="P343" s="141">
        <f>B343*P290</f>
        <v>1120.0025000000001</v>
      </c>
      <c r="Q343" s="141">
        <f>B343*Q290</f>
        <v>1232.0075000000002</v>
      </c>
      <c r="R343" s="141">
        <f>B343*R290</f>
        <v>1355.2225000000001</v>
      </c>
      <c r="S343" s="141">
        <f>B343*S290</f>
        <v>1490.74</v>
      </c>
      <c r="T343" s="141">
        <f>B343*T290</f>
        <v>1639.8425</v>
      </c>
      <c r="U343" s="141">
        <f>B343*U290</f>
        <v>1803.8125</v>
      </c>
      <c r="V343" s="141">
        <f>B343*V290</f>
        <v>1984.17</v>
      </c>
    </row>
    <row r="344" spans="1:22">
      <c r="A344" s="157"/>
    </row>
    <row r="345" spans="1:22" ht="16.8">
      <c r="A345" s="167" t="s">
        <v>191</v>
      </c>
      <c r="H345" s="253" t="s">
        <v>663</v>
      </c>
      <c r="I345" s="253"/>
      <c r="J345" s="253"/>
      <c r="K345" s="253"/>
      <c r="L345" s="253"/>
      <c r="M345" s="253"/>
      <c r="N345" s="253"/>
      <c r="O345" s="253"/>
      <c r="P345" s="253"/>
      <c r="Q345" s="253"/>
      <c r="R345" s="253"/>
      <c r="S345" s="253"/>
      <c r="T345" s="253"/>
      <c r="U345" s="253"/>
      <c r="V345" s="253"/>
    </row>
    <row r="346" spans="1:22" ht="15" thickBot="1">
      <c r="A346" s="94" t="s">
        <v>253</v>
      </c>
      <c r="H346" s="145">
        <v>0</v>
      </c>
      <c r="I346" s="145">
        <v>0</v>
      </c>
      <c r="J346" s="145">
        <v>0</v>
      </c>
      <c r="K346" s="153">
        <v>0.09</v>
      </c>
      <c r="L346" s="153">
        <v>0.09</v>
      </c>
      <c r="M346" s="153">
        <v>8.1000000000000003E-2</v>
      </c>
      <c r="N346" s="153">
        <v>8.1000000000000003E-2</v>
      </c>
      <c r="O346" s="153">
        <v>7.9000000000000001E-2</v>
      </c>
      <c r="P346" s="153">
        <v>7.9000000000000001E-2</v>
      </c>
      <c r="Q346" s="153">
        <v>7.9000000000000001E-2</v>
      </c>
      <c r="R346" s="153">
        <v>7.9000000000000001E-2</v>
      </c>
      <c r="S346" s="153">
        <v>7.9000000000000001E-2</v>
      </c>
      <c r="T346" s="153">
        <v>7.9000000000000001E-2</v>
      </c>
      <c r="U346" s="153">
        <v>7.9000000000000001E-2</v>
      </c>
      <c r="V346" s="153">
        <v>7.9000000000000001E-2</v>
      </c>
    </row>
    <row r="347" spans="1:22" ht="15" thickBot="1">
      <c r="A347" s="94" t="s">
        <v>255</v>
      </c>
      <c r="H347" s="145">
        <v>0</v>
      </c>
      <c r="I347" s="145">
        <v>0</v>
      </c>
      <c r="J347" s="145">
        <v>0</v>
      </c>
      <c r="K347" s="153">
        <v>7.0000000000000007E-2</v>
      </c>
      <c r="L347" s="153">
        <v>7.0000000000000007E-2</v>
      </c>
      <c r="M347" s="153">
        <v>6.3E-2</v>
      </c>
      <c r="N347" s="153">
        <v>6.3E-2</v>
      </c>
      <c r="O347" s="153">
        <v>6.2E-2</v>
      </c>
      <c r="P347" s="153">
        <v>6.2E-2</v>
      </c>
      <c r="Q347" s="153">
        <v>6.2E-2</v>
      </c>
      <c r="R347" s="153">
        <v>6.2E-2</v>
      </c>
      <c r="S347" s="153">
        <v>6.2E-2</v>
      </c>
      <c r="T347" s="153">
        <v>6.2E-2</v>
      </c>
      <c r="U347" s="153">
        <v>6.2E-2</v>
      </c>
      <c r="V347" s="153">
        <v>6.2E-2</v>
      </c>
    </row>
    <row r="348" spans="1:22" ht="15" thickBot="1">
      <c r="A348" s="94" t="s">
        <v>257</v>
      </c>
      <c r="H348" s="145">
        <v>0</v>
      </c>
      <c r="I348" s="145">
        <v>0</v>
      </c>
      <c r="J348" s="145">
        <v>0</v>
      </c>
      <c r="K348" s="153">
        <v>0.06</v>
      </c>
      <c r="L348" s="153">
        <v>0.06</v>
      </c>
      <c r="M348" s="153">
        <v>5.3999999999999999E-2</v>
      </c>
      <c r="N348" s="153">
        <v>5.3999999999999999E-2</v>
      </c>
      <c r="O348" s="153">
        <v>5.2999999999999999E-2</v>
      </c>
      <c r="P348" s="153">
        <v>5.2999999999999999E-2</v>
      </c>
      <c r="Q348" s="153">
        <v>5.2999999999999999E-2</v>
      </c>
      <c r="R348" s="153">
        <v>5.2999999999999999E-2</v>
      </c>
      <c r="S348" s="153">
        <v>5.2999999999999999E-2</v>
      </c>
      <c r="T348" s="153">
        <v>5.2999999999999999E-2</v>
      </c>
      <c r="U348" s="153">
        <v>5.2999999999999999E-2</v>
      </c>
      <c r="V348" s="153">
        <v>5.2999999999999999E-2</v>
      </c>
    </row>
    <row r="349" spans="1:22" ht="15" thickBot="1">
      <c r="A349" s="94" t="s">
        <v>259</v>
      </c>
      <c r="H349" s="145">
        <v>0</v>
      </c>
      <c r="I349" s="145">
        <v>0</v>
      </c>
      <c r="J349" s="145">
        <v>0</v>
      </c>
      <c r="K349" s="153">
        <v>0.05</v>
      </c>
      <c r="L349" s="153">
        <v>0.05</v>
      </c>
      <c r="M349" s="153">
        <v>4.4999999999999998E-2</v>
      </c>
      <c r="N349" s="153">
        <v>4.4999999999999998E-2</v>
      </c>
      <c r="O349" s="153">
        <v>4.3999999999999997E-2</v>
      </c>
      <c r="P349" s="153">
        <v>4.3999999999999997E-2</v>
      </c>
      <c r="Q349" s="153">
        <v>4.3999999999999997E-2</v>
      </c>
      <c r="R349" s="153">
        <v>4.3999999999999997E-2</v>
      </c>
      <c r="S349" s="153">
        <v>4.3999999999999997E-2</v>
      </c>
      <c r="T349" s="153">
        <v>4.3999999999999997E-2</v>
      </c>
      <c r="U349" s="153">
        <v>4.3999999999999997E-2</v>
      </c>
      <c r="V349" s="153">
        <v>4.3999999999999997E-2</v>
      </c>
    </row>
    <row r="350" spans="1:22" ht="15" thickBot="1">
      <c r="A350" s="94" t="s">
        <v>261</v>
      </c>
      <c r="H350" s="145">
        <v>0</v>
      </c>
      <c r="I350" s="145">
        <v>0</v>
      </c>
      <c r="J350" s="145">
        <v>0</v>
      </c>
      <c r="K350" s="153">
        <v>0.06</v>
      </c>
      <c r="L350" s="153">
        <v>0.06</v>
      </c>
      <c r="M350" s="153">
        <v>5.3999999999999999E-2</v>
      </c>
      <c r="N350" s="153">
        <v>5.3999999999999999E-2</v>
      </c>
      <c r="O350" s="153">
        <v>5.2999999999999999E-2</v>
      </c>
      <c r="P350" s="153">
        <v>5.2999999999999999E-2</v>
      </c>
      <c r="Q350" s="153">
        <v>5.2999999999999999E-2</v>
      </c>
      <c r="R350" s="153">
        <v>5.2999999999999999E-2</v>
      </c>
      <c r="S350" s="153">
        <v>5.2999999999999999E-2</v>
      </c>
      <c r="T350" s="153">
        <v>5.2999999999999999E-2</v>
      </c>
      <c r="U350" s="153">
        <v>5.2999999999999999E-2</v>
      </c>
      <c r="V350" s="153">
        <v>5.2999999999999999E-2</v>
      </c>
    </row>
    <row r="351" spans="1:22" ht="15" thickBot="1">
      <c r="A351" s="104" t="s">
        <v>263</v>
      </c>
      <c r="H351" s="145">
        <v>0</v>
      </c>
      <c r="I351" s="145">
        <v>0</v>
      </c>
      <c r="J351" s="145">
        <v>0</v>
      </c>
      <c r="K351" s="153">
        <v>0.05</v>
      </c>
      <c r="L351" s="153">
        <v>0.05</v>
      </c>
      <c r="M351" s="153">
        <v>4.4999999999999998E-2</v>
      </c>
      <c r="N351" s="153">
        <v>4.4999999999999998E-2</v>
      </c>
      <c r="O351" s="153">
        <v>4.3999999999999997E-2</v>
      </c>
      <c r="P351" s="153">
        <v>4.3999999999999997E-2</v>
      </c>
      <c r="Q351" s="153">
        <v>4.3999999999999997E-2</v>
      </c>
      <c r="R351" s="153">
        <v>4.3999999999999997E-2</v>
      </c>
      <c r="S351" s="153">
        <v>4.3999999999999997E-2</v>
      </c>
      <c r="T351" s="153">
        <v>4.3999999999999997E-2</v>
      </c>
      <c r="U351" s="153">
        <v>4.3999999999999997E-2</v>
      </c>
      <c r="V351" s="153">
        <v>4.3999999999999997E-2</v>
      </c>
    </row>
    <row r="352" spans="1:22" ht="15" thickBot="1">
      <c r="A352" s="165" t="s">
        <v>265</v>
      </c>
      <c r="H352" s="145">
        <v>0</v>
      </c>
      <c r="I352" s="145">
        <v>0</v>
      </c>
      <c r="J352" s="145">
        <v>0</v>
      </c>
      <c r="K352" s="153">
        <v>0.05</v>
      </c>
      <c r="L352" s="153">
        <v>0.05</v>
      </c>
      <c r="M352" s="153">
        <v>4.4999999999999998E-2</v>
      </c>
      <c r="N352" s="153">
        <v>4.4999999999999998E-2</v>
      </c>
      <c r="O352" s="153">
        <v>4.3999999999999997E-2</v>
      </c>
      <c r="P352" s="153">
        <v>4.3999999999999997E-2</v>
      </c>
      <c r="Q352" s="153">
        <v>4.3999999999999997E-2</v>
      </c>
      <c r="R352" s="153">
        <v>4.3999999999999997E-2</v>
      </c>
      <c r="S352" s="153">
        <v>4.3999999999999997E-2</v>
      </c>
      <c r="T352" s="153">
        <v>4.3999999999999997E-2</v>
      </c>
      <c r="U352" s="153">
        <v>4.3999999999999997E-2</v>
      </c>
      <c r="V352" s="153">
        <v>4.3999999999999997E-2</v>
      </c>
    </row>
    <row r="353" spans="1:22" ht="15" thickBot="1">
      <c r="A353" s="166" t="s">
        <v>267</v>
      </c>
      <c r="H353">
        <v>0</v>
      </c>
      <c r="I353">
        <v>0</v>
      </c>
      <c r="J353">
        <v>0</v>
      </c>
      <c r="K353">
        <v>0.05</v>
      </c>
      <c r="L353">
        <v>0.05</v>
      </c>
      <c r="M353">
        <v>4.4999999999999998E-2</v>
      </c>
      <c r="N353">
        <v>4.4999999999999998E-2</v>
      </c>
      <c r="O353">
        <v>4.3999999999999997E-2</v>
      </c>
      <c r="P353">
        <v>4.3999999999999997E-2</v>
      </c>
      <c r="Q353">
        <v>4.3999999999999997E-2</v>
      </c>
      <c r="R353">
        <v>4.3999999999999997E-2</v>
      </c>
      <c r="S353">
        <v>4.3999999999999997E-2</v>
      </c>
      <c r="T353">
        <v>4.3999999999999997E-2</v>
      </c>
      <c r="U353">
        <v>4.3999999999999997E-2</v>
      </c>
      <c r="V353">
        <v>4.3999999999999997E-2</v>
      </c>
    </row>
    <row r="354" spans="1:22" s="76" customFormat="1" ht="15" thickBot="1">
      <c r="A354" s="94" t="s">
        <v>581</v>
      </c>
      <c r="B354"/>
      <c r="C354"/>
      <c r="D354"/>
      <c r="E354"/>
      <c r="F354"/>
      <c r="G354"/>
      <c r="H354" s="145">
        <v>0</v>
      </c>
      <c r="I354" s="145">
        <v>0</v>
      </c>
      <c r="J354" s="145">
        <v>0</v>
      </c>
      <c r="K354" s="153">
        <v>0.35</v>
      </c>
      <c r="L354" s="153">
        <v>0.35</v>
      </c>
      <c r="M354" s="153">
        <v>0.315</v>
      </c>
      <c r="N354" s="153">
        <v>0.315</v>
      </c>
      <c r="O354" s="153">
        <v>0.308</v>
      </c>
      <c r="P354" s="153">
        <v>0.308</v>
      </c>
      <c r="Q354" s="153">
        <v>0.308</v>
      </c>
      <c r="R354" s="153">
        <v>0.308</v>
      </c>
      <c r="S354" s="153">
        <v>0.308</v>
      </c>
      <c r="T354" s="153">
        <v>0.308</v>
      </c>
      <c r="U354" s="153">
        <v>0.308</v>
      </c>
      <c r="V354" s="153">
        <v>0.308</v>
      </c>
    </row>
    <row r="355" spans="1:22" ht="15" thickBot="1">
      <c r="A355" s="94" t="s">
        <v>285</v>
      </c>
      <c r="H355" s="145">
        <v>0</v>
      </c>
      <c r="I355" s="145">
        <v>0</v>
      </c>
      <c r="J355" s="145">
        <v>0</v>
      </c>
      <c r="K355" s="143" t="s">
        <v>662</v>
      </c>
      <c r="L355" s="143" t="s">
        <v>662</v>
      </c>
      <c r="M355" s="153">
        <v>0.02</v>
      </c>
      <c r="N355" s="153">
        <v>0.02</v>
      </c>
      <c r="O355" s="153">
        <v>0.02</v>
      </c>
      <c r="P355" s="153">
        <v>0.02</v>
      </c>
      <c r="Q355" s="153">
        <v>0.02</v>
      </c>
      <c r="R355" s="153">
        <v>0.02</v>
      </c>
      <c r="S355" s="153">
        <v>0.02</v>
      </c>
      <c r="T355" s="153">
        <v>0.02</v>
      </c>
      <c r="U355" s="153">
        <v>0.02</v>
      </c>
      <c r="V355" s="153">
        <v>0.02</v>
      </c>
    </row>
    <row r="356" spans="1:22" s="76" customFormat="1" ht="15" thickBot="1">
      <c r="A356" s="94" t="s">
        <v>498</v>
      </c>
      <c r="B356"/>
      <c r="C356"/>
      <c r="D356"/>
      <c r="E356"/>
      <c r="F356"/>
      <c r="G356"/>
      <c r="H356" s="145">
        <v>0</v>
      </c>
      <c r="I356" s="145">
        <v>0</v>
      </c>
      <c r="J356" s="145">
        <v>0</v>
      </c>
      <c r="K356" s="143" t="s">
        <v>662</v>
      </c>
      <c r="L356" s="143" t="s">
        <v>662</v>
      </c>
      <c r="M356" s="153">
        <v>0.02</v>
      </c>
      <c r="N356" s="153">
        <v>0.02</v>
      </c>
      <c r="O356" s="153">
        <v>0.02</v>
      </c>
      <c r="P356" s="153">
        <v>0.02</v>
      </c>
      <c r="Q356" s="153">
        <v>0.02</v>
      </c>
      <c r="R356" s="153">
        <v>0.02</v>
      </c>
      <c r="S356" s="153">
        <v>0.02</v>
      </c>
      <c r="T356" s="153">
        <v>0.02</v>
      </c>
      <c r="U356" s="153">
        <v>0.02</v>
      </c>
      <c r="V356" s="153">
        <v>0.02</v>
      </c>
    </row>
    <row r="357" spans="1:22" ht="15" thickBot="1">
      <c r="A357" s="94" t="s">
        <v>275</v>
      </c>
      <c r="H357" s="145">
        <v>0</v>
      </c>
      <c r="I357" s="145">
        <v>0</v>
      </c>
      <c r="J357" s="145">
        <v>0</v>
      </c>
      <c r="K357" s="143" t="s">
        <v>662</v>
      </c>
      <c r="L357" s="143" t="s">
        <v>662</v>
      </c>
      <c r="M357" s="153">
        <v>0.02</v>
      </c>
      <c r="N357" s="153">
        <v>0.02</v>
      </c>
      <c r="O357" s="153">
        <v>0.02</v>
      </c>
      <c r="P357" s="153">
        <v>0.02</v>
      </c>
      <c r="Q357" s="153">
        <v>0.02</v>
      </c>
      <c r="R357" s="153">
        <v>0.02</v>
      </c>
      <c r="S357" s="153">
        <v>0.02</v>
      </c>
      <c r="T357" s="153">
        <v>0.02</v>
      </c>
      <c r="U357" s="153">
        <v>0.02</v>
      </c>
      <c r="V357" s="153">
        <v>0.02</v>
      </c>
    </row>
    <row r="358" spans="1:22" ht="15" thickBot="1">
      <c r="A358" s="94" t="s">
        <v>277</v>
      </c>
      <c r="H358" s="145">
        <v>0</v>
      </c>
      <c r="I358" s="145">
        <v>0</v>
      </c>
      <c r="J358" s="145">
        <v>0</v>
      </c>
      <c r="K358" s="153">
        <v>0.05</v>
      </c>
      <c r="L358" s="153">
        <v>0.05</v>
      </c>
      <c r="M358" s="153">
        <v>4.4999999999999998E-2</v>
      </c>
      <c r="N358" s="153">
        <v>4.4999999999999998E-2</v>
      </c>
      <c r="O358" s="153">
        <v>4.3999999999999997E-2</v>
      </c>
      <c r="P358" s="153">
        <v>4.3999999999999997E-2</v>
      </c>
      <c r="Q358" s="153">
        <v>4.3999999999999997E-2</v>
      </c>
      <c r="R358" s="153">
        <v>4.3999999999999997E-2</v>
      </c>
      <c r="S358" s="153">
        <v>4.3999999999999997E-2</v>
      </c>
      <c r="T358" s="153">
        <v>4.3999999999999997E-2</v>
      </c>
      <c r="U358" s="153">
        <v>4.3999999999999997E-2</v>
      </c>
      <c r="V358" s="153">
        <v>4.3999999999999997E-2</v>
      </c>
    </row>
    <row r="359" spans="1:22" ht="15" thickBot="1">
      <c r="A359" s="94" t="s">
        <v>279</v>
      </c>
      <c r="H359" s="145">
        <v>0</v>
      </c>
      <c r="I359" s="145">
        <v>0</v>
      </c>
      <c r="J359" s="145">
        <v>0</v>
      </c>
      <c r="K359" s="143" t="s">
        <v>662</v>
      </c>
      <c r="L359" s="143" t="s">
        <v>662</v>
      </c>
      <c r="M359" s="153">
        <v>0.02</v>
      </c>
      <c r="N359" s="153">
        <v>0.02</v>
      </c>
      <c r="O359" s="153">
        <v>0.02</v>
      </c>
      <c r="P359" s="153">
        <v>0.02</v>
      </c>
      <c r="Q359" s="153">
        <v>0.02</v>
      </c>
      <c r="R359" s="153">
        <v>0.02</v>
      </c>
      <c r="S359" s="153">
        <v>0.02</v>
      </c>
      <c r="T359" s="153">
        <v>0.02</v>
      </c>
      <c r="U359" s="153">
        <v>0.02</v>
      </c>
      <c r="V359" s="153">
        <v>0.02</v>
      </c>
    </row>
    <row r="360" spans="1:22" ht="15" thickBot="1">
      <c r="A360" s="94" t="s">
        <v>281</v>
      </c>
      <c r="H360" s="145">
        <v>0</v>
      </c>
      <c r="I360" s="145">
        <v>0</v>
      </c>
      <c r="J360" s="145">
        <v>0</v>
      </c>
      <c r="K360" s="143" t="s">
        <v>662</v>
      </c>
      <c r="L360" s="143" t="s">
        <v>662</v>
      </c>
      <c r="M360" s="143" t="s">
        <v>662</v>
      </c>
      <c r="N360" s="143" t="s">
        <v>662</v>
      </c>
      <c r="O360" s="153">
        <v>0.02</v>
      </c>
      <c r="P360" s="153">
        <v>0.02</v>
      </c>
      <c r="Q360" s="153">
        <v>0.02</v>
      </c>
      <c r="R360" s="153">
        <v>0.02</v>
      </c>
      <c r="S360" s="153">
        <v>0.02</v>
      </c>
      <c r="T360" s="153">
        <v>0.02</v>
      </c>
      <c r="U360" s="153">
        <v>0.02</v>
      </c>
      <c r="V360" s="153">
        <v>0.02</v>
      </c>
    </row>
    <row r="361" spans="1:22">
      <c r="A361" s="95" t="s">
        <v>283</v>
      </c>
      <c r="H361" s="145">
        <v>0</v>
      </c>
      <c r="I361" s="145">
        <v>0</v>
      </c>
      <c r="J361" s="145">
        <v>0</v>
      </c>
      <c r="K361" s="143" t="s">
        <v>662</v>
      </c>
      <c r="L361" s="143" t="s">
        <v>662</v>
      </c>
      <c r="M361" s="153">
        <v>0.02</v>
      </c>
      <c r="N361" s="153">
        <v>0.02</v>
      </c>
      <c r="O361" s="153">
        <v>0.02</v>
      </c>
      <c r="P361" s="153">
        <v>0.02</v>
      </c>
      <c r="Q361" s="153">
        <v>0.02</v>
      </c>
      <c r="R361" s="153">
        <v>0.02</v>
      </c>
      <c r="S361" s="153">
        <v>0.02</v>
      </c>
      <c r="T361" s="153">
        <v>0.02</v>
      </c>
      <c r="U361" s="153">
        <v>0.02</v>
      </c>
      <c r="V361" s="153">
        <v>0.02</v>
      </c>
    </row>
    <row r="363" spans="1:22" s="197" customFormat="1">
      <c r="A363" s="199" t="s">
        <v>664</v>
      </c>
      <c r="H363" s="192">
        <f>H325*(SUMPRODUCT(H328:H343,H346:H361))/10000000</f>
        <v>0</v>
      </c>
      <c r="I363" s="192">
        <f t="shared" ref="I363:V363" si="77">I325*(SUMPRODUCT(I328:I343,I346:I361))/10000000</f>
        <v>0</v>
      </c>
      <c r="J363" s="192">
        <f t="shared" si="77"/>
        <v>0</v>
      </c>
      <c r="K363" s="192">
        <f t="shared" si="77"/>
        <v>0.27745610062500004</v>
      </c>
      <c r="L363" s="192">
        <f t="shared" si="77"/>
        <v>0.36859094770000006</v>
      </c>
      <c r="M363" s="192">
        <f t="shared" si="77"/>
        <v>0.55451615023199996</v>
      </c>
      <c r="N363" s="192">
        <f t="shared" si="77"/>
        <v>0.75026430037649994</v>
      </c>
      <c r="O363" s="192">
        <f t="shared" si="77"/>
        <v>0.98779864176359999</v>
      </c>
      <c r="P363" s="192">
        <f t="shared" si="77"/>
        <v>1.3196864488799998</v>
      </c>
      <c r="Q363" s="192">
        <f t="shared" si="77"/>
        <v>1.7862565809744004</v>
      </c>
      <c r="R363" s="192">
        <f t="shared" si="77"/>
        <v>2.4384586346280002</v>
      </c>
      <c r="S363" s="192">
        <f t="shared" si="77"/>
        <v>3.1559810657279996</v>
      </c>
      <c r="T363" s="192">
        <f t="shared" si="77"/>
        <v>3.8340077198784002</v>
      </c>
      <c r="U363" s="192">
        <f t="shared" si="77"/>
        <v>4.4685919215000007</v>
      </c>
      <c r="V363" s="192">
        <f t="shared" si="77"/>
        <v>5.1740971343999993</v>
      </c>
    </row>
    <row r="364" spans="1:22">
      <c r="A364" s="158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</row>
    <row r="365" spans="1:22">
      <c r="A365" s="243" t="s">
        <v>667</v>
      </c>
      <c r="B365" s="243"/>
      <c r="C365" s="243"/>
      <c r="D365" s="243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</row>
    <row r="366" spans="1:22">
      <c r="A366" s="158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</row>
    <row r="367" spans="1:22" ht="57.6">
      <c r="A367" s="17" t="s">
        <v>40</v>
      </c>
      <c r="B367" s="69" t="s">
        <v>880</v>
      </c>
      <c r="C367" s="69" t="s">
        <v>881</v>
      </c>
      <c r="D367" s="69" t="s">
        <v>882</v>
      </c>
      <c r="E367" s="159" t="s">
        <v>883</v>
      </c>
      <c r="F367" s="160" t="s">
        <v>522</v>
      </c>
      <c r="H367" s="231" t="s">
        <v>884</v>
      </c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</row>
    <row r="368" spans="1:22">
      <c r="A368" s="3" t="s">
        <v>41</v>
      </c>
      <c r="B368" s="153">
        <v>0.54200000000000004</v>
      </c>
      <c r="C368" s="152">
        <v>3850</v>
      </c>
      <c r="D368" s="153">
        <v>0.45800000000000002</v>
      </c>
      <c r="E368" s="152">
        <v>3500</v>
      </c>
      <c r="F368" s="59">
        <f t="shared" ref="F368:F380" si="78" xml:space="preserve"> B368*C368+D368*E368</f>
        <v>3689.7000000000003</v>
      </c>
      <c r="H368" s="150">
        <v>0</v>
      </c>
      <c r="I368" s="150">
        <v>0</v>
      </c>
      <c r="J368" s="150">
        <v>0</v>
      </c>
      <c r="K368" s="145">
        <v>0.08</v>
      </c>
      <c r="L368" s="145">
        <v>0.08</v>
      </c>
      <c r="M368" s="145">
        <v>0.08</v>
      </c>
      <c r="N368" s="145">
        <v>0.08</v>
      </c>
      <c r="O368" s="145">
        <v>0.08</v>
      </c>
      <c r="P368" s="145">
        <v>0.08</v>
      </c>
      <c r="Q368" s="145">
        <v>0.08</v>
      </c>
      <c r="R368" s="145">
        <v>0.08</v>
      </c>
      <c r="S368" s="145">
        <v>0.08</v>
      </c>
      <c r="T368" s="145">
        <v>0.08</v>
      </c>
      <c r="U368" s="145">
        <v>0.08</v>
      </c>
      <c r="V368" s="145">
        <v>0.08</v>
      </c>
    </row>
    <row r="369" spans="1:22">
      <c r="A369" s="3" t="s">
        <v>42</v>
      </c>
      <c r="B369" s="153">
        <v>0.53200000000000003</v>
      </c>
      <c r="C369" s="152">
        <v>13750</v>
      </c>
      <c r="D369" s="153">
        <v>0.46800000000000003</v>
      </c>
      <c r="E369" s="152">
        <v>12500</v>
      </c>
      <c r="F369" s="59">
        <f t="shared" si="78"/>
        <v>13165</v>
      </c>
      <c r="H369" s="150">
        <v>0</v>
      </c>
      <c r="I369" s="150">
        <v>0</v>
      </c>
      <c r="J369" s="150">
        <v>0</v>
      </c>
      <c r="K369" s="145">
        <v>0</v>
      </c>
      <c r="L369" s="145">
        <v>0</v>
      </c>
      <c r="M369" s="145">
        <v>0.02</v>
      </c>
      <c r="N369" s="145">
        <v>0.02</v>
      </c>
      <c r="O369" s="145">
        <v>0.03</v>
      </c>
      <c r="P369" s="145">
        <v>0.03</v>
      </c>
      <c r="Q369" s="145">
        <v>0.03</v>
      </c>
      <c r="R369" s="145">
        <v>0.03</v>
      </c>
      <c r="S369" s="145">
        <v>0.03</v>
      </c>
      <c r="T369" s="145">
        <v>0.03</v>
      </c>
      <c r="U369" s="145">
        <v>0.03</v>
      </c>
      <c r="V369" s="145">
        <v>0.03</v>
      </c>
    </row>
    <row r="370" spans="1:22">
      <c r="A370" s="3" t="s">
        <v>43</v>
      </c>
      <c r="B370" s="153">
        <v>0.53100000000000003</v>
      </c>
      <c r="C370" s="152">
        <v>5500</v>
      </c>
      <c r="D370" s="153">
        <v>0.46899999999999997</v>
      </c>
      <c r="E370" s="152">
        <v>5000</v>
      </c>
      <c r="F370" s="59">
        <f t="shared" si="78"/>
        <v>5265.5</v>
      </c>
      <c r="H370" s="150">
        <v>0</v>
      </c>
      <c r="I370" s="150">
        <v>0</v>
      </c>
      <c r="J370" s="150">
        <v>0</v>
      </c>
      <c r="K370" s="145">
        <v>0.08</v>
      </c>
      <c r="L370" s="145">
        <v>0.08</v>
      </c>
      <c r="M370" s="145">
        <v>0.08</v>
      </c>
      <c r="N370" s="145">
        <v>0.08</v>
      </c>
      <c r="O370" s="145">
        <v>0.08</v>
      </c>
      <c r="P370" s="145">
        <v>0.08</v>
      </c>
      <c r="Q370" s="145">
        <v>0.08</v>
      </c>
      <c r="R370" s="145">
        <v>0.08</v>
      </c>
      <c r="S370" s="145">
        <v>0.08</v>
      </c>
      <c r="T370" s="145">
        <v>0.08</v>
      </c>
      <c r="U370" s="145">
        <v>0.08</v>
      </c>
      <c r="V370" s="145">
        <v>0.08</v>
      </c>
    </row>
    <row r="371" spans="1:22">
      <c r="A371" s="3" t="s">
        <v>44</v>
      </c>
      <c r="B371" s="153">
        <v>0.6</v>
      </c>
      <c r="C371" s="143">
        <v>247.5</v>
      </c>
      <c r="D371" s="153">
        <v>0.4</v>
      </c>
      <c r="E371" s="143">
        <v>225</v>
      </c>
      <c r="F371" s="59">
        <f t="shared" si="78"/>
        <v>238.5</v>
      </c>
      <c r="H371" s="150">
        <v>0</v>
      </c>
      <c r="I371" s="150">
        <v>0</v>
      </c>
      <c r="J371" s="150">
        <v>0</v>
      </c>
      <c r="K371" s="145">
        <v>0.2</v>
      </c>
      <c r="L371" s="145">
        <v>0.2</v>
      </c>
      <c r="M371" s="145">
        <v>0.18</v>
      </c>
      <c r="N371" s="145">
        <v>0.18</v>
      </c>
      <c r="O371" s="145">
        <v>0.17</v>
      </c>
      <c r="P371" s="145">
        <v>0.17</v>
      </c>
      <c r="Q371" s="145">
        <v>0.17</v>
      </c>
      <c r="R371" s="145">
        <v>0.17</v>
      </c>
      <c r="S371" s="145">
        <v>0.17</v>
      </c>
      <c r="T371" s="145">
        <v>0.17</v>
      </c>
      <c r="U371" s="145">
        <v>0.17</v>
      </c>
      <c r="V371" s="145">
        <v>0.17</v>
      </c>
    </row>
    <row r="372" spans="1:22">
      <c r="A372" s="3" t="s">
        <v>45</v>
      </c>
      <c r="B372" s="153">
        <v>0.55000000000000004</v>
      </c>
      <c r="C372" s="143">
        <v>825</v>
      </c>
      <c r="D372" s="153">
        <v>0.45</v>
      </c>
      <c r="E372" s="143">
        <v>750</v>
      </c>
      <c r="F372" s="59">
        <f t="shared" si="78"/>
        <v>791.25</v>
      </c>
      <c r="H372" s="150">
        <v>0</v>
      </c>
      <c r="I372" s="150">
        <v>0</v>
      </c>
      <c r="J372" s="150">
        <v>0</v>
      </c>
      <c r="K372" s="145">
        <v>0.02</v>
      </c>
      <c r="L372" s="145">
        <v>0.02</v>
      </c>
      <c r="M372" s="145">
        <v>0.03</v>
      </c>
      <c r="N372" s="145">
        <v>0.03</v>
      </c>
      <c r="O372" s="145">
        <v>0.03</v>
      </c>
      <c r="P372" s="145">
        <v>0.03</v>
      </c>
      <c r="Q372" s="145">
        <v>0.03</v>
      </c>
      <c r="R372" s="145">
        <v>0.03</v>
      </c>
      <c r="S372" s="145">
        <v>0.03</v>
      </c>
      <c r="T372" s="145">
        <v>0.03</v>
      </c>
      <c r="U372" s="145">
        <v>0.03</v>
      </c>
      <c r="V372" s="145">
        <v>0.03</v>
      </c>
    </row>
    <row r="373" spans="1:22">
      <c r="A373" s="3" t="s">
        <v>46</v>
      </c>
      <c r="B373" s="153">
        <v>0.56299999999999994</v>
      </c>
      <c r="C373" s="143">
        <v>935</v>
      </c>
      <c r="D373" s="153">
        <v>0.438</v>
      </c>
      <c r="E373" s="143">
        <v>850</v>
      </c>
      <c r="F373" s="59">
        <f t="shared" si="78"/>
        <v>898.70499999999993</v>
      </c>
      <c r="H373" s="150">
        <v>0</v>
      </c>
      <c r="I373" s="150">
        <v>0</v>
      </c>
      <c r="J373" s="150">
        <v>0</v>
      </c>
      <c r="K373" s="145">
        <v>0.15</v>
      </c>
      <c r="L373" s="145">
        <v>0.15</v>
      </c>
      <c r="M373" s="145">
        <v>0.14000000000000001</v>
      </c>
      <c r="N373" s="145">
        <v>0.14000000000000001</v>
      </c>
      <c r="O373" s="145">
        <v>0.13</v>
      </c>
      <c r="P373" s="145">
        <v>0.13</v>
      </c>
      <c r="Q373" s="145">
        <v>0.13</v>
      </c>
      <c r="R373" s="145">
        <v>0.13</v>
      </c>
      <c r="S373" s="145">
        <v>0.13</v>
      </c>
      <c r="T373" s="145">
        <v>0.13</v>
      </c>
      <c r="U373" s="145">
        <v>0.13</v>
      </c>
      <c r="V373" s="145">
        <v>0.13</v>
      </c>
    </row>
    <row r="374" spans="1:22">
      <c r="A374" s="3" t="s">
        <v>47</v>
      </c>
      <c r="B374" s="153">
        <v>0.58799999999999997</v>
      </c>
      <c r="C374" s="143">
        <v>165</v>
      </c>
      <c r="D374" s="153">
        <v>0.41199999999999998</v>
      </c>
      <c r="E374" s="143">
        <v>150</v>
      </c>
      <c r="F374" s="59">
        <f t="shared" si="78"/>
        <v>158.82</v>
      </c>
      <c r="H374" s="150">
        <v>0</v>
      </c>
      <c r="I374" s="150">
        <v>0</v>
      </c>
      <c r="J374" s="150">
        <v>0</v>
      </c>
      <c r="K374" s="145">
        <v>0.1</v>
      </c>
      <c r="L374" s="145">
        <v>0.1</v>
      </c>
      <c r="M374" s="145">
        <v>0.09</v>
      </c>
      <c r="N374" s="145">
        <v>0.09</v>
      </c>
      <c r="O374" s="145">
        <v>0.08</v>
      </c>
      <c r="P374" s="145">
        <v>0.08</v>
      </c>
      <c r="Q374" s="145">
        <v>0.08</v>
      </c>
      <c r="R374" s="145">
        <v>0.08</v>
      </c>
      <c r="S374" s="145">
        <v>0.08</v>
      </c>
      <c r="T374" s="145">
        <v>0.08</v>
      </c>
      <c r="U374" s="145">
        <v>0.08</v>
      </c>
      <c r="V374" s="145">
        <v>0.08</v>
      </c>
    </row>
    <row r="375" spans="1:22">
      <c r="A375" s="3" t="s">
        <v>48</v>
      </c>
      <c r="B375" s="153">
        <v>0.57099999999999995</v>
      </c>
      <c r="C375" s="143">
        <v>825</v>
      </c>
      <c r="D375" s="153">
        <v>0.42899999999999999</v>
      </c>
      <c r="E375" s="143">
        <v>750</v>
      </c>
      <c r="F375" s="59">
        <f t="shared" si="78"/>
        <v>792.82500000000005</v>
      </c>
      <c r="H375" s="150">
        <v>0</v>
      </c>
      <c r="I375" s="150">
        <v>0</v>
      </c>
      <c r="J375" s="150">
        <v>0</v>
      </c>
      <c r="K375" s="145">
        <v>7.0000000000000007E-2</v>
      </c>
      <c r="L375" s="145">
        <v>7.0000000000000007E-2</v>
      </c>
      <c r="M375" s="145">
        <v>7.0000000000000007E-2</v>
      </c>
      <c r="N375" s="145">
        <v>7.0000000000000007E-2</v>
      </c>
      <c r="O375" s="145">
        <v>7.0000000000000007E-2</v>
      </c>
      <c r="P375" s="145">
        <v>7.0000000000000007E-2</v>
      </c>
      <c r="Q375" s="145">
        <v>7.0000000000000007E-2</v>
      </c>
      <c r="R375" s="145">
        <v>7.0000000000000007E-2</v>
      </c>
      <c r="S375" s="145">
        <v>7.0000000000000007E-2</v>
      </c>
      <c r="T375" s="145">
        <v>7.0000000000000007E-2</v>
      </c>
      <c r="U375" s="145">
        <v>7.0000000000000007E-2</v>
      </c>
      <c r="V375" s="145">
        <v>7.0000000000000007E-2</v>
      </c>
    </row>
    <row r="376" spans="1:22">
      <c r="A376" s="3" t="s">
        <v>49</v>
      </c>
      <c r="B376" s="153">
        <v>0.56399999999999995</v>
      </c>
      <c r="C376" s="152">
        <v>1265</v>
      </c>
      <c r="D376" s="153">
        <v>0.436</v>
      </c>
      <c r="E376" s="152">
        <v>1150</v>
      </c>
      <c r="F376" s="59">
        <f t="shared" si="78"/>
        <v>1214.8599999999999</v>
      </c>
      <c r="H376" s="150">
        <v>0</v>
      </c>
      <c r="I376" s="150">
        <v>0</v>
      </c>
      <c r="J376" s="150">
        <v>0</v>
      </c>
      <c r="K376" s="145">
        <v>0.03</v>
      </c>
      <c r="L376" s="145">
        <v>0.03</v>
      </c>
      <c r="M376" s="145">
        <v>0.03</v>
      </c>
      <c r="N376" s="145">
        <v>0.03</v>
      </c>
      <c r="O376" s="145">
        <v>0.03</v>
      </c>
      <c r="P376" s="145">
        <v>0.03</v>
      </c>
      <c r="Q376" s="145">
        <v>0.03</v>
      </c>
      <c r="R376" s="145">
        <v>0.03</v>
      </c>
      <c r="S376" s="145">
        <v>0.03</v>
      </c>
      <c r="T376" s="145">
        <v>0.03</v>
      </c>
      <c r="U376" s="145">
        <v>0.03</v>
      </c>
      <c r="V376" s="145">
        <v>0.03</v>
      </c>
    </row>
    <row r="377" spans="1:22">
      <c r="A377" s="3" t="s">
        <v>50</v>
      </c>
      <c r="B377" s="153">
        <v>0.58799999999999997</v>
      </c>
      <c r="C377" s="143">
        <v>302.5</v>
      </c>
      <c r="D377" s="153">
        <v>0.41199999999999998</v>
      </c>
      <c r="E377" s="143">
        <v>275</v>
      </c>
      <c r="F377" s="59">
        <f t="shared" si="78"/>
        <v>291.16999999999996</v>
      </c>
      <c r="H377" s="150">
        <v>0</v>
      </c>
      <c r="I377" s="150">
        <v>0</v>
      </c>
      <c r="J377" s="150">
        <v>0</v>
      </c>
      <c r="K377" s="145">
        <v>0.13</v>
      </c>
      <c r="L377" s="145">
        <v>0.13</v>
      </c>
      <c r="M377" s="145">
        <v>0.12</v>
      </c>
      <c r="N377" s="145">
        <v>0.12</v>
      </c>
      <c r="O377" s="145">
        <v>0.11</v>
      </c>
      <c r="P377" s="145">
        <v>0.11</v>
      </c>
      <c r="Q377" s="145">
        <v>0.11</v>
      </c>
      <c r="R377" s="145">
        <v>0.11</v>
      </c>
      <c r="S377" s="145">
        <v>0.11</v>
      </c>
      <c r="T377" s="145">
        <v>0.11</v>
      </c>
      <c r="U377" s="145">
        <v>0.11</v>
      </c>
      <c r="V377" s="145">
        <v>0.11</v>
      </c>
    </row>
    <row r="378" spans="1:22">
      <c r="A378" s="3" t="s">
        <v>51</v>
      </c>
      <c r="B378" s="153">
        <v>0.57099999999999995</v>
      </c>
      <c r="C378" s="143">
        <v>385</v>
      </c>
      <c r="D378" s="153">
        <v>0.42899999999999999</v>
      </c>
      <c r="E378" s="143">
        <v>350</v>
      </c>
      <c r="F378" s="59">
        <f t="shared" si="78"/>
        <v>369.98500000000001</v>
      </c>
      <c r="H378" s="150">
        <v>0</v>
      </c>
      <c r="I378" s="150">
        <v>0</v>
      </c>
      <c r="J378" s="150">
        <v>0</v>
      </c>
      <c r="K378" s="145">
        <v>0.02</v>
      </c>
      <c r="L378" s="145">
        <v>0.02</v>
      </c>
      <c r="M378" s="145">
        <v>0.02</v>
      </c>
      <c r="N378" s="145">
        <v>0.02</v>
      </c>
      <c r="O378" s="145">
        <v>0.02</v>
      </c>
      <c r="P378" s="145">
        <v>0.02</v>
      </c>
      <c r="Q378" s="145">
        <v>0.02</v>
      </c>
      <c r="R378" s="145">
        <v>0.02</v>
      </c>
      <c r="S378" s="145">
        <v>0.02</v>
      </c>
      <c r="T378" s="145">
        <v>0.02</v>
      </c>
      <c r="U378" s="145">
        <v>0.02</v>
      </c>
      <c r="V378" s="145">
        <v>0.02</v>
      </c>
    </row>
    <row r="379" spans="1:22">
      <c r="A379" s="3" t="s">
        <v>52</v>
      </c>
      <c r="B379" s="153">
        <v>0.55600000000000005</v>
      </c>
      <c r="C379" s="152">
        <v>1265</v>
      </c>
      <c r="D379" s="153">
        <v>0.44400000000000001</v>
      </c>
      <c r="E379" s="152">
        <v>1150</v>
      </c>
      <c r="F379" s="59">
        <f t="shared" si="78"/>
        <v>1213.94</v>
      </c>
      <c r="H379" s="150">
        <v>0</v>
      </c>
      <c r="I379" s="150">
        <v>0</v>
      </c>
      <c r="J379" s="150">
        <v>0</v>
      </c>
      <c r="K379" s="145">
        <v>0.01</v>
      </c>
      <c r="L379" s="145">
        <v>0.01</v>
      </c>
      <c r="M379" s="145">
        <v>0.02</v>
      </c>
      <c r="N379" s="145">
        <v>0.02</v>
      </c>
      <c r="O379" s="145">
        <v>0.02</v>
      </c>
      <c r="P379" s="145">
        <v>0.02</v>
      </c>
      <c r="Q379" s="145">
        <v>0.02</v>
      </c>
      <c r="R379" s="145">
        <v>0.02</v>
      </c>
      <c r="S379" s="145">
        <v>0.02</v>
      </c>
      <c r="T379" s="145">
        <v>0.02</v>
      </c>
      <c r="U379" s="145">
        <v>0.02</v>
      </c>
      <c r="V379" s="145">
        <v>0.02</v>
      </c>
    </row>
    <row r="380" spans="1:22">
      <c r="A380" s="3" t="s">
        <v>53</v>
      </c>
      <c r="B380" s="153">
        <v>0.58799999999999997</v>
      </c>
      <c r="C380" s="143">
        <v>302.5</v>
      </c>
      <c r="D380" s="153">
        <v>0.41199999999999998</v>
      </c>
      <c r="E380" s="143">
        <v>275</v>
      </c>
      <c r="F380" s="59">
        <f t="shared" si="78"/>
        <v>291.16999999999996</v>
      </c>
      <c r="H380" s="150">
        <v>0</v>
      </c>
      <c r="I380" s="150">
        <v>0</v>
      </c>
      <c r="J380" s="150">
        <v>0</v>
      </c>
      <c r="K380" s="145">
        <v>0</v>
      </c>
      <c r="L380" s="145">
        <v>0</v>
      </c>
      <c r="M380" s="145">
        <v>0.01</v>
      </c>
      <c r="N380" s="145">
        <v>0.01</v>
      </c>
      <c r="O380" s="145">
        <v>0.03</v>
      </c>
      <c r="P380" s="145">
        <v>0.03</v>
      </c>
      <c r="Q380" s="145">
        <v>0.03</v>
      </c>
      <c r="R380" s="145">
        <v>0.03</v>
      </c>
      <c r="S380" s="145">
        <v>0.03</v>
      </c>
      <c r="T380" s="145">
        <v>0.03</v>
      </c>
      <c r="U380" s="145">
        <v>0.03</v>
      </c>
      <c r="V380" s="145">
        <v>0.03</v>
      </c>
    </row>
    <row r="382" spans="1:22" ht="57.6">
      <c r="A382" s="17" t="s">
        <v>40</v>
      </c>
      <c r="B382" s="69" t="s">
        <v>880</v>
      </c>
      <c r="C382" s="17" t="s">
        <v>885</v>
      </c>
      <c r="D382" s="69" t="s">
        <v>882</v>
      </c>
      <c r="E382" s="18" t="s">
        <v>883</v>
      </c>
      <c r="F382" s="161" t="s">
        <v>522</v>
      </c>
      <c r="H382" s="231" t="s">
        <v>886</v>
      </c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</row>
    <row r="383" spans="1:22">
      <c r="A383" s="3" t="s">
        <v>41</v>
      </c>
      <c r="B383" s="143">
        <v>60</v>
      </c>
      <c r="C383" s="152">
        <v>3850</v>
      </c>
      <c r="D383" s="143">
        <v>40</v>
      </c>
      <c r="E383" s="152">
        <v>3500</v>
      </c>
      <c r="F383" s="59">
        <f t="shared" ref="F383:F395" si="79" xml:space="preserve"> (B383*C383+D383*E383)/100</f>
        <v>3710</v>
      </c>
      <c r="H383" s="150">
        <v>0</v>
      </c>
      <c r="I383" s="150">
        <v>0</v>
      </c>
      <c r="J383" s="150">
        <v>0</v>
      </c>
      <c r="K383" s="145">
        <v>0.35</v>
      </c>
      <c r="L383" s="145">
        <v>0.35</v>
      </c>
      <c r="M383" s="145">
        <v>0.38</v>
      </c>
      <c r="N383" s="145">
        <v>0.38</v>
      </c>
      <c r="O383" s="145">
        <v>0.42</v>
      </c>
      <c r="P383" s="145">
        <v>0.42</v>
      </c>
      <c r="Q383" s="145">
        <v>0.45</v>
      </c>
      <c r="R383" s="145">
        <v>0.45</v>
      </c>
      <c r="S383" s="145">
        <v>0.47</v>
      </c>
      <c r="T383" s="145">
        <v>0.47</v>
      </c>
      <c r="U383" s="145">
        <v>0.47</v>
      </c>
      <c r="V383" s="145">
        <v>0.5</v>
      </c>
    </row>
    <row r="384" spans="1:22">
      <c r="A384" s="3" t="s">
        <v>42</v>
      </c>
      <c r="B384" s="143">
        <v>59</v>
      </c>
      <c r="C384" s="152">
        <v>13750</v>
      </c>
      <c r="D384" s="143">
        <v>41</v>
      </c>
      <c r="E384" s="152">
        <v>12500</v>
      </c>
      <c r="F384" s="59">
        <f t="shared" si="79"/>
        <v>13237.5</v>
      </c>
      <c r="H384" s="150">
        <v>0</v>
      </c>
      <c r="I384" s="150">
        <v>0</v>
      </c>
      <c r="J384" s="150">
        <v>0</v>
      </c>
      <c r="K384" s="145">
        <v>0.25</v>
      </c>
      <c r="L384" s="145">
        <v>0.25</v>
      </c>
      <c r="M384" s="145">
        <v>0.28000000000000003</v>
      </c>
      <c r="N384" s="145">
        <v>0.28000000000000003</v>
      </c>
      <c r="O384" s="145">
        <v>0.3</v>
      </c>
      <c r="P384" s="145">
        <v>0.3</v>
      </c>
      <c r="Q384" s="145">
        <v>0.32</v>
      </c>
      <c r="R384" s="145">
        <v>0.32</v>
      </c>
      <c r="S384" s="145">
        <v>0.34</v>
      </c>
      <c r="T384" s="145">
        <v>0.34</v>
      </c>
      <c r="U384" s="145">
        <v>0.34</v>
      </c>
      <c r="V384" s="145">
        <v>0.35</v>
      </c>
    </row>
    <row r="385" spans="1:22">
      <c r="A385" s="3" t="s">
        <v>43</v>
      </c>
      <c r="B385" s="143">
        <v>60</v>
      </c>
      <c r="C385" s="152">
        <v>5500</v>
      </c>
      <c r="D385" s="143">
        <v>40</v>
      </c>
      <c r="E385" s="152">
        <v>5000</v>
      </c>
      <c r="F385" s="59">
        <f t="shared" si="79"/>
        <v>5300</v>
      </c>
      <c r="H385" s="150">
        <v>0</v>
      </c>
      <c r="I385" s="150">
        <v>0</v>
      </c>
      <c r="J385" s="150">
        <v>0</v>
      </c>
      <c r="K385" s="145">
        <v>0.3</v>
      </c>
      <c r="L385" s="145">
        <v>0.3</v>
      </c>
      <c r="M385" s="145">
        <v>0.33</v>
      </c>
      <c r="N385" s="145">
        <v>0.33</v>
      </c>
      <c r="O385" s="145">
        <v>0.36</v>
      </c>
      <c r="P385" s="145">
        <v>0.36</v>
      </c>
      <c r="Q385" s="145">
        <v>0.38</v>
      </c>
      <c r="R385" s="145">
        <v>0.38</v>
      </c>
      <c r="S385" s="145">
        <v>0.4</v>
      </c>
      <c r="T385" s="145">
        <v>0.4</v>
      </c>
      <c r="U385" s="145">
        <v>0.4</v>
      </c>
      <c r="V385" s="145">
        <v>0.42</v>
      </c>
    </row>
    <row r="386" spans="1:22">
      <c r="A386" s="3" t="s">
        <v>44</v>
      </c>
      <c r="B386" s="143">
        <v>60</v>
      </c>
      <c r="C386" s="143">
        <v>247.5</v>
      </c>
      <c r="D386" s="143">
        <v>40</v>
      </c>
      <c r="E386" s="143">
        <v>225</v>
      </c>
      <c r="F386" s="59">
        <f t="shared" si="79"/>
        <v>238.5</v>
      </c>
      <c r="H386" s="150">
        <v>0</v>
      </c>
      <c r="I386" s="150">
        <v>0</v>
      </c>
      <c r="J386" s="150">
        <v>0</v>
      </c>
      <c r="K386" s="145">
        <v>0.4</v>
      </c>
      <c r="L386" s="145">
        <v>0.4</v>
      </c>
      <c r="M386" s="145">
        <v>0.42</v>
      </c>
      <c r="N386" s="145">
        <v>0.42</v>
      </c>
      <c r="O386" s="145">
        <v>0.45</v>
      </c>
      <c r="P386" s="145">
        <v>0.45</v>
      </c>
      <c r="Q386" s="145">
        <v>0.47</v>
      </c>
      <c r="R386" s="145">
        <v>0.47</v>
      </c>
      <c r="S386" s="145">
        <v>0.48</v>
      </c>
      <c r="T386" s="145">
        <v>0.48</v>
      </c>
      <c r="U386" s="145">
        <v>0.48</v>
      </c>
      <c r="V386" s="145">
        <v>0.5</v>
      </c>
    </row>
    <row r="387" spans="1:22">
      <c r="A387" s="3" t="s">
        <v>45</v>
      </c>
      <c r="B387" s="143">
        <v>59</v>
      </c>
      <c r="C387" s="143">
        <v>825</v>
      </c>
      <c r="D387" s="143">
        <v>41</v>
      </c>
      <c r="E387" s="143">
        <v>750</v>
      </c>
      <c r="F387" s="59">
        <f t="shared" si="79"/>
        <v>794.25</v>
      </c>
      <c r="H387" s="150">
        <v>0</v>
      </c>
      <c r="I387" s="150">
        <v>0</v>
      </c>
      <c r="J387" s="150">
        <v>0</v>
      </c>
      <c r="K387" s="145">
        <v>0.08</v>
      </c>
      <c r="L387" s="145">
        <v>0.08</v>
      </c>
      <c r="M387" s="145">
        <v>0.08</v>
      </c>
      <c r="N387" s="145">
        <v>0.08</v>
      </c>
      <c r="O387" s="145">
        <v>0.09</v>
      </c>
      <c r="P387" s="145">
        <v>0.09</v>
      </c>
      <c r="Q387" s="145">
        <v>0.09</v>
      </c>
      <c r="R387" s="145">
        <v>0.09</v>
      </c>
      <c r="S387" s="145">
        <v>0.1</v>
      </c>
      <c r="T387" s="145">
        <v>0.1</v>
      </c>
      <c r="U387" s="145">
        <v>0.1</v>
      </c>
      <c r="V387" s="145">
        <v>0.1</v>
      </c>
    </row>
    <row r="388" spans="1:22">
      <c r="A388" s="3" t="s">
        <v>46</v>
      </c>
      <c r="B388" s="143">
        <v>59</v>
      </c>
      <c r="C388" s="143">
        <v>935</v>
      </c>
      <c r="D388" s="143">
        <v>41</v>
      </c>
      <c r="E388" s="143">
        <v>850</v>
      </c>
      <c r="F388" s="59">
        <f t="shared" si="79"/>
        <v>900.15</v>
      </c>
      <c r="H388" s="150">
        <v>0</v>
      </c>
      <c r="I388" s="150">
        <v>0</v>
      </c>
      <c r="J388" s="150">
        <v>0</v>
      </c>
      <c r="K388" s="145">
        <v>0.3</v>
      </c>
      <c r="L388" s="145">
        <v>0.3</v>
      </c>
      <c r="M388" s="145">
        <v>0.32</v>
      </c>
      <c r="N388" s="145">
        <v>0.32</v>
      </c>
      <c r="O388" s="145">
        <v>0.35</v>
      </c>
      <c r="P388" s="145">
        <v>0.35</v>
      </c>
      <c r="Q388" s="145">
        <v>0.37</v>
      </c>
      <c r="R388" s="145">
        <v>0.37</v>
      </c>
      <c r="S388" s="145">
        <v>0.38</v>
      </c>
      <c r="T388" s="145">
        <v>0.38</v>
      </c>
      <c r="U388" s="145">
        <v>0.38</v>
      </c>
      <c r="V388" s="145">
        <v>0.4</v>
      </c>
    </row>
    <row r="389" spans="1:22">
      <c r="A389" s="3" t="s">
        <v>47</v>
      </c>
      <c r="B389" s="143">
        <v>60</v>
      </c>
      <c r="C389" s="143">
        <v>165</v>
      </c>
      <c r="D389" s="143">
        <v>40</v>
      </c>
      <c r="E389" s="143">
        <v>150</v>
      </c>
      <c r="F389" s="59">
        <f t="shared" si="79"/>
        <v>159</v>
      </c>
      <c r="H389" s="150">
        <v>0</v>
      </c>
      <c r="I389" s="150">
        <v>0</v>
      </c>
      <c r="J389" s="150">
        <v>0</v>
      </c>
      <c r="K389" s="145">
        <v>0.25</v>
      </c>
      <c r="L389" s="145">
        <v>0.25</v>
      </c>
      <c r="M389" s="145">
        <v>0.27</v>
      </c>
      <c r="N389" s="145">
        <v>0.27</v>
      </c>
      <c r="O389" s="145">
        <v>0.28000000000000003</v>
      </c>
      <c r="P389" s="145">
        <v>0.28000000000000003</v>
      </c>
      <c r="Q389" s="145">
        <v>0.3</v>
      </c>
      <c r="R389" s="145">
        <v>0.3</v>
      </c>
      <c r="S389" s="145">
        <v>0.3</v>
      </c>
      <c r="T389" s="145">
        <v>0.3</v>
      </c>
      <c r="U389" s="145">
        <v>0.3</v>
      </c>
      <c r="V389" s="145">
        <v>0.3</v>
      </c>
    </row>
    <row r="390" spans="1:22">
      <c r="A390" s="3" t="s">
        <v>48</v>
      </c>
      <c r="B390" s="59">
        <v>60</v>
      </c>
      <c r="C390" s="59">
        <v>825</v>
      </c>
      <c r="D390" s="59">
        <v>40</v>
      </c>
      <c r="E390" s="59">
        <v>750</v>
      </c>
      <c r="F390" s="59">
        <f t="shared" si="79"/>
        <v>795</v>
      </c>
      <c r="H390" s="59">
        <v>0</v>
      </c>
      <c r="I390" s="59">
        <v>0</v>
      </c>
      <c r="J390" s="59">
        <v>0</v>
      </c>
      <c r="K390" s="59">
        <v>0.25</v>
      </c>
      <c r="L390" s="59">
        <v>0.25</v>
      </c>
      <c r="M390" s="59">
        <v>0.27</v>
      </c>
      <c r="N390" s="59">
        <v>0.27</v>
      </c>
      <c r="O390" s="59">
        <v>0.28000000000000003</v>
      </c>
      <c r="P390" s="59">
        <v>0.28000000000000003</v>
      </c>
      <c r="Q390" s="59">
        <v>0.3</v>
      </c>
      <c r="R390" s="59">
        <v>0.3</v>
      </c>
      <c r="S390" s="59">
        <v>0.3</v>
      </c>
      <c r="T390" s="59">
        <v>0.3</v>
      </c>
      <c r="U390" s="59">
        <v>0.3</v>
      </c>
      <c r="V390" s="59">
        <v>0.3</v>
      </c>
    </row>
    <row r="391" spans="1:22">
      <c r="A391" s="3" t="s">
        <v>49</v>
      </c>
      <c r="B391" s="59">
        <v>59</v>
      </c>
      <c r="C391" s="59">
        <v>1265</v>
      </c>
      <c r="D391" s="59">
        <v>41</v>
      </c>
      <c r="E391" s="59">
        <v>1150</v>
      </c>
      <c r="F391" s="59">
        <f t="shared" si="79"/>
        <v>1217.8499999999999</v>
      </c>
      <c r="H391" s="59">
        <v>0</v>
      </c>
      <c r="I391" s="59">
        <v>0</v>
      </c>
      <c r="J391" s="59">
        <v>0</v>
      </c>
      <c r="K391" s="59">
        <v>0.08</v>
      </c>
      <c r="L391" s="59">
        <v>0.08</v>
      </c>
      <c r="M391" s="59">
        <v>0.08</v>
      </c>
      <c r="N391" s="59">
        <v>0.08</v>
      </c>
      <c r="O391" s="59">
        <v>0.08</v>
      </c>
      <c r="P391" s="59">
        <v>0.08</v>
      </c>
      <c r="Q391" s="59">
        <v>0.08</v>
      </c>
      <c r="R391" s="59">
        <v>0.08</v>
      </c>
      <c r="S391" s="59">
        <v>0.08</v>
      </c>
      <c r="T391" s="59">
        <v>0.08</v>
      </c>
      <c r="U391" s="59">
        <v>0.08</v>
      </c>
      <c r="V391" s="59">
        <v>0.08</v>
      </c>
    </row>
    <row r="392" spans="1:22">
      <c r="A392" s="3" t="s">
        <v>50</v>
      </c>
      <c r="B392" s="59">
        <v>59</v>
      </c>
      <c r="C392" s="59">
        <v>302.5</v>
      </c>
      <c r="D392" s="59">
        <v>41</v>
      </c>
      <c r="E392" s="59">
        <v>275</v>
      </c>
      <c r="F392" s="59">
        <f t="shared" si="79"/>
        <v>291.22500000000002</v>
      </c>
      <c r="H392" s="59">
        <v>0</v>
      </c>
      <c r="I392" s="59">
        <v>0</v>
      </c>
      <c r="J392" s="59">
        <v>0</v>
      </c>
      <c r="K392" s="59">
        <v>0.35</v>
      </c>
      <c r="L392" s="59">
        <v>0.35</v>
      </c>
      <c r="M392" s="59">
        <v>0.37</v>
      </c>
      <c r="N392" s="59">
        <v>0.37</v>
      </c>
      <c r="O392" s="59">
        <v>0.4</v>
      </c>
      <c r="P392" s="59">
        <v>0.4</v>
      </c>
      <c r="Q392" s="59">
        <v>0.42</v>
      </c>
      <c r="R392" s="59">
        <v>0.42</v>
      </c>
      <c r="S392" s="59">
        <v>0.43</v>
      </c>
      <c r="T392" s="59">
        <v>0.43</v>
      </c>
      <c r="U392" s="59">
        <v>0.43</v>
      </c>
      <c r="V392" s="59">
        <v>0.45</v>
      </c>
    </row>
    <row r="393" spans="1:22">
      <c r="A393" s="3" t="s">
        <v>51</v>
      </c>
      <c r="B393" s="143">
        <v>59</v>
      </c>
      <c r="C393" s="143">
        <v>385</v>
      </c>
      <c r="D393" s="143">
        <v>41</v>
      </c>
      <c r="E393" s="143">
        <v>350</v>
      </c>
      <c r="F393" s="59">
        <f t="shared" si="79"/>
        <v>370.65</v>
      </c>
      <c r="H393" s="150">
        <v>0</v>
      </c>
      <c r="I393" s="150">
        <v>0</v>
      </c>
      <c r="J393" s="150">
        <v>0</v>
      </c>
      <c r="K393" s="145">
        <v>0.35</v>
      </c>
      <c r="L393" s="145">
        <v>0.35</v>
      </c>
      <c r="M393" s="145">
        <v>0.37</v>
      </c>
      <c r="N393" s="145">
        <v>0.37</v>
      </c>
      <c r="O393" s="145">
        <v>0.4</v>
      </c>
      <c r="P393" s="145">
        <v>0.4</v>
      </c>
      <c r="Q393" s="145">
        <v>0.42</v>
      </c>
      <c r="R393" s="145">
        <v>0.42</v>
      </c>
      <c r="S393" s="145">
        <v>0.43</v>
      </c>
      <c r="T393" s="145">
        <v>0.43</v>
      </c>
      <c r="U393" s="145">
        <v>0.43</v>
      </c>
      <c r="V393" s="145">
        <v>0.45</v>
      </c>
    </row>
    <row r="394" spans="1:22">
      <c r="A394" s="3" t="s">
        <v>52</v>
      </c>
      <c r="B394" s="143">
        <v>59</v>
      </c>
      <c r="C394" s="152">
        <v>1265</v>
      </c>
      <c r="D394" s="143">
        <v>41</v>
      </c>
      <c r="E394" s="152">
        <v>1150</v>
      </c>
      <c r="F394" s="59">
        <f t="shared" si="79"/>
        <v>1217.8499999999999</v>
      </c>
      <c r="H394" s="150">
        <v>0</v>
      </c>
      <c r="I394" s="150">
        <v>0</v>
      </c>
      <c r="J394" s="150">
        <v>0</v>
      </c>
      <c r="K394" s="145">
        <v>0.45</v>
      </c>
      <c r="L394" s="145">
        <v>0.45</v>
      </c>
      <c r="M394" s="145">
        <v>0.48</v>
      </c>
      <c r="N394" s="145">
        <v>0.48</v>
      </c>
      <c r="O394" s="145">
        <v>0.5</v>
      </c>
      <c r="P394" s="145">
        <v>0.5</v>
      </c>
      <c r="Q394" s="145">
        <v>0.52</v>
      </c>
      <c r="R394" s="145">
        <v>0.52</v>
      </c>
      <c r="S394" s="145">
        <v>0.53</v>
      </c>
      <c r="T394" s="145">
        <v>0.53</v>
      </c>
      <c r="U394" s="145">
        <v>0.53</v>
      </c>
      <c r="V394" s="145">
        <v>0.55000000000000004</v>
      </c>
    </row>
    <row r="395" spans="1:22">
      <c r="A395" s="3" t="s">
        <v>53</v>
      </c>
      <c r="B395" s="143">
        <v>59</v>
      </c>
      <c r="C395" s="143">
        <v>302.5</v>
      </c>
      <c r="D395" s="143">
        <v>41</v>
      </c>
      <c r="E395" s="143">
        <v>275</v>
      </c>
      <c r="F395" s="59">
        <f t="shared" si="79"/>
        <v>291.22500000000002</v>
      </c>
      <c r="H395" s="150">
        <v>0</v>
      </c>
      <c r="I395" s="150">
        <v>0</v>
      </c>
      <c r="J395" s="150">
        <v>0</v>
      </c>
      <c r="K395" s="145">
        <v>0.35</v>
      </c>
      <c r="L395" s="145">
        <v>0.35</v>
      </c>
      <c r="M395" s="145">
        <v>0.37</v>
      </c>
      <c r="N395" s="145">
        <v>0.37</v>
      </c>
      <c r="O395" s="145">
        <v>0.4</v>
      </c>
      <c r="P395" s="145">
        <v>0.4</v>
      </c>
      <c r="Q395" s="145">
        <v>0.42</v>
      </c>
      <c r="R395" s="145">
        <v>0.42</v>
      </c>
      <c r="S395" s="145">
        <v>0.43</v>
      </c>
      <c r="T395" s="145">
        <v>0.43</v>
      </c>
      <c r="U395" s="145">
        <v>0.43</v>
      </c>
      <c r="V395" s="145">
        <v>0.45</v>
      </c>
    </row>
    <row r="397" spans="1:22">
      <c r="A397" s="20" t="s">
        <v>670</v>
      </c>
      <c r="H397" s="150">
        <v>0.14000000000000001</v>
      </c>
      <c r="I397" s="150">
        <v>0.14000000000000001</v>
      </c>
      <c r="J397" s="150">
        <v>0.14000000000000001</v>
      </c>
      <c r="K397" s="150">
        <v>0.14000000000000001</v>
      </c>
      <c r="L397" s="150">
        <v>0.14000000000000001</v>
      </c>
      <c r="M397" s="150">
        <v>0.14000000000000001</v>
      </c>
      <c r="N397" s="150">
        <v>0.14000000000000001</v>
      </c>
      <c r="O397" s="150">
        <v>0.14000000000000001</v>
      </c>
      <c r="P397" s="150">
        <v>0.14000000000000001</v>
      </c>
      <c r="Q397" s="150">
        <v>0.14000000000000001</v>
      </c>
      <c r="R397" s="150">
        <v>0.14000000000000001</v>
      </c>
      <c r="S397" s="150">
        <v>0.14000000000000001</v>
      </c>
      <c r="T397" s="150">
        <v>0.14000000000000001</v>
      </c>
      <c r="U397" s="150">
        <v>0.14000000000000001</v>
      </c>
      <c r="V397" s="150">
        <v>0.14000000000000001</v>
      </c>
    </row>
    <row r="398" spans="1:22">
      <c r="A398" s="20" t="s">
        <v>671</v>
      </c>
      <c r="H398">
        <v>1.1399999999999999</v>
      </c>
      <c r="I398">
        <v>1.2996000000000001</v>
      </c>
      <c r="J398">
        <v>1.4815</v>
      </c>
      <c r="K398">
        <v>1.6890000000000001</v>
      </c>
      <c r="L398">
        <v>1.9254</v>
      </c>
      <c r="M398">
        <v>2.1949999999999998</v>
      </c>
      <c r="N398">
        <v>2.5023</v>
      </c>
      <c r="O398">
        <v>2.8525999999999998</v>
      </c>
      <c r="P398">
        <v>3.2519</v>
      </c>
      <c r="Q398">
        <v>3.7071999999999998</v>
      </c>
      <c r="R398">
        <v>4.2262000000000004</v>
      </c>
      <c r="S398">
        <v>4.8178999999999998</v>
      </c>
      <c r="T398">
        <v>5.4923999999999999</v>
      </c>
      <c r="U398">
        <v>6.2613000000000003</v>
      </c>
      <c r="V398">
        <v>7.1379000000000001</v>
      </c>
    </row>
    <row r="400" spans="1:22">
      <c r="A400" s="21" t="s">
        <v>672</v>
      </c>
      <c r="H400" s="192" cm="1">
        <f t="array" ref="H400" xml:space="preserve"> H398*SUMPRODUCT(F383:F395,H383:H395+F368:F380,H368:H380)/10000000</f>
        <v>0</v>
      </c>
      <c r="I400" s="192" cm="1">
        <f t="array" ref="I400">(I398*SUMPRODUCT(F383:F395,I383:I395+F368:F380,I368:I380))/10000000</f>
        <v>0</v>
      </c>
      <c r="J400" s="192" cm="1">
        <f t="array" ref="J400">(J398*SUMPRODUCT(F383:F395,J383:J395+F368:F380,J368:J380))/10000000</f>
        <v>0</v>
      </c>
      <c r="K400" s="192" cm="1">
        <f t="array" ref="K400">(K398*SUMPRODUCT(F383:F395,K383:K395+F368:F380,K368:K380))/10000000</f>
        <v>0.60683768489608136</v>
      </c>
      <c r="L400" s="192" cm="1">
        <f t="array" ref="L400">(L398*SUMPRODUCT(F383:F395,L383:L395+F368:F380,L368:L380))/10000000</f>
        <v>0.69177340349254879</v>
      </c>
      <c r="M400" s="192" cm="1">
        <f t="array" ref="M400">(M398*SUMPRODUCT(F383:F395,M383:M395+F368:F380,M368:M380))/10000000</f>
        <v>1.5562565661368899</v>
      </c>
      <c r="N400" s="192" cm="1">
        <f t="array" ref="N400">(N398*SUMPRODUCT(F383:F395,N383:N395+F368:F380,N368:N380))/10000000</f>
        <v>1.7741324853960543</v>
      </c>
      <c r="O400" s="192" cm="1">
        <f t="array" ref="O400">(O398*SUMPRODUCT(F383:F395,O383:O395+F368:F380,O368:O380))/10000000</f>
        <v>2.5173438711934475</v>
      </c>
      <c r="P400" s="192" cm="1">
        <f t="array" ref="P400">(P398*SUMPRODUCT(F383:F395,P383:P395+F368:F380,P368:P380))/10000000</f>
        <v>2.8697155348573133</v>
      </c>
      <c r="Q400" s="192" cm="1">
        <f t="array" ref="Q400">(Q398*SUMPRODUCT(F383:F395,Q383:Q395+F368:F380,Q368:Q380))/10000000</f>
        <v>3.2715173158964546</v>
      </c>
      <c r="R400" s="192" cm="1">
        <f t="array" ref="R400">(R398*SUMPRODUCT(F383:F395,R383:R395+F368:F380,R368:R380))/10000000</f>
        <v>3.72952268030902</v>
      </c>
      <c r="S400" s="192" cm="1">
        <f t="array" ref="S400">(S398*SUMPRODUCT(F383:F395,S383:S395+F368:F380,S368:S380))/10000000</f>
        <v>4.2516960903319623</v>
      </c>
      <c r="T400" s="192" cm="1">
        <f t="array" ref="T400">(T398*SUMPRODUCT(F383:F395,T383:T395+F368:F380,T368:T380))/10000000</f>
        <v>4.8469282481037945</v>
      </c>
      <c r="U400" s="192" cm="1">
        <f t="array" ref="U400">(U398*SUMPRODUCT(F383:F395,U383:U395+F368:F380,U368:U380))/10000000</f>
        <v>5.5254664335904682</v>
      </c>
      <c r="V400" s="192" cm="1">
        <f t="array" ref="V400">(V398*SUMPRODUCT(F383:F395,V383:V395+F368:F380,V368:V380))/10000000</f>
        <v>6.2990661470281957</v>
      </c>
    </row>
    <row r="402" spans="1:22">
      <c r="A402" s="3" t="s">
        <v>172</v>
      </c>
      <c r="H402">
        <f>SUM(H268:H283)</f>
        <v>0</v>
      </c>
      <c r="I402">
        <f t="shared" ref="I402:V402" si="80">SUM(I268:I283)</f>
        <v>0</v>
      </c>
      <c r="J402">
        <f t="shared" si="80"/>
        <v>0</v>
      </c>
      <c r="K402">
        <f t="shared" si="80"/>
        <v>20.081310100499998</v>
      </c>
      <c r="L402">
        <f t="shared" si="80"/>
        <v>25.770906952500003</v>
      </c>
      <c r="M402">
        <f t="shared" si="80"/>
        <v>48.914119595000003</v>
      </c>
      <c r="N402">
        <f t="shared" si="80"/>
        <v>70.970983647200001</v>
      </c>
      <c r="O402">
        <f t="shared" si="80"/>
        <v>94.011189965999989</v>
      </c>
      <c r="P402">
        <f t="shared" si="80"/>
        <v>114.84559866700003</v>
      </c>
      <c r="Q402">
        <f t="shared" si="80"/>
        <v>145.28024244114999</v>
      </c>
      <c r="R402">
        <f t="shared" si="80"/>
        <v>173.70646420374999</v>
      </c>
      <c r="S402">
        <f t="shared" si="80"/>
        <v>206.36262193320005</v>
      </c>
      <c r="T402">
        <f t="shared" si="80"/>
        <v>235.4103415706</v>
      </c>
      <c r="U402">
        <f t="shared" si="80"/>
        <v>268.19752040374999</v>
      </c>
      <c r="V402">
        <f t="shared" si="80"/>
        <v>305.18662883399998</v>
      </c>
    </row>
    <row r="403" spans="1:22">
      <c r="A403" s="3" t="s">
        <v>173</v>
      </c>
      <c r="H403" s="141">
        <f>(H311*H293+H312*H294+H313*H295+H314*H296+H315*H297+H316*H298)/10000000</f>
        <v>0</v>
      </c>
      <c r="I403" s="141">
        <f t="shared" ref="I403:V403" si="81">(I311*I293+I312*I294+I313*I295+I314*I296+I315*I297+I316*I298)/10000000</f>
        <v>0</v>
      </c>
      <c r="J403" s="141">
        <f t="shared" si="81"/>
        <v>0</v>
      </c>
      <c r="K403" s="141">
        <f t="shared" si="81"/>
        <v>1.7305661999999999E-2</v>
      </c>
      <c r="L403" s="141">
        <f t="shared" si="81"/>
        <v>2.2208795E-2</v>
      </c>
      <c r="M403" s="141">
        <f t="shared" si="81"/>
        <v>3.1410467999999997E-2</v>
      </c>
      <c r="N403" s="141">
        <f t="shared" si="81"/>
        <v>4.2228329000000002E-2</v>
      </c>
      <c r="O403" s="141">
        <f t="shared" si="81"/>
        <v>5.4897596000000007E-2</v>
      </c>
      <c r="P403" s="141">
        <f t="shared" si="81"/>
        <v>6.5030881999999998E-2</v>
      </c>
      <c r="Q403" s="141">
        <f t="shared" si="81"/>
        <v>7.6643834999999993E-2</v>
      </c>
      <c r="R403" s="141">
        <f t="shared" si="81"/>
        <v>8.9929711999999981E-2</v>
      </c>
      <c r="S403" s="141">
        <f t="shared" si="81"/>
        <v>9.8922367999999997E-2</v>
      </c>
      <c r="T403" s="141">
        <f t="shared" si="81"/>
        <v>0.10881649600000003</v>
      </c>
      <c r="U403" s="141">
        <f t="shared" si="81"/>
        <v>0.1196972</v>
      </c>
      <c r="V403" s="141">
        <f t="shared" si="81"/>
        <v>0.13166534399999999</v>
      </c>
    </row>
    <row r="404" spans="1:22">
      <c r="A404" s="3" t="s">
        <v>174</v>
      </c>
      <c r="H404" s="141">
        <f>H325*(SUMPRODUCT(H328:H343,H346:H361))/10000000</f>
        <v>0</v>
      </c>
      <c r="I404" s="141">
        <f t="shared" ref="I404:V404" si="82">I325*(SUMPRODUCT(I328:I343,I346:I361))/10000000</f>
        <v>0</v>
      </c>
      <c r="J404" s="141">
        <f t="shared" si="82"/>
        <v>0</v>
      </c>
      <c r="K404" s="141">
        <f t="shared" si="82"/>
        <v>0.27745610062500004</v>
      </c>
      <c r="L404" s="141">
        <f t="shared" si="82"/>
        <v>0.36859094770000006</v>
      </c>
      <c r="M404" s="141">
        <f t="shared" si="82"/>
        <v>0.55451615023199996</v>
      </c>
      <c r="N404" s="141">
        <f t="shared" si="82"/>
        <v>0.75026430037649994</v>
      </c>
      <c r="O404" s="141">
        <f t="shared" si="82"/>
        <v>0.98779864176359999</v>
      </c>
      <c r="P404" s="141">
        <f t="shared" si="82"/>
        <v>1.3196864488799998</v>
      </c>
      <c r="Q404" s="141">
        <f t="shared" si="82"/>
        <v>1.7862565809744004</v>
      </c>
      <c r="R404" s="141">
        <f t="shared" si="82"/>
        <v>2.4384586346280002</v>
      </c>
      <c r="S404" s="141">
        <f t="shared" si="82"/>
        <v>3.1559810657279996</v>
      </c>
      <c r="T404" s="141">
        <f t="shared" si="82"/>
        <v>3.8340077198784002</v>
      </c>
      <c r="U404" s="141">
        <f t="shared" si="82"/>
        <v>4.4685919215000007</v>
      </c>
      <c r="V404" s="141">
        <f t="shared" si="82"/>
        <v>5.1740971343999993</v>
      </c>
    </row>
    <row r="405" spans="1:22">
      <c r="A405" s="3" t="s">
        <v>175</v>
      </c>
      <c r="H405" s="141" cm="1">
        <f t="array" ref="H405" xml:space="preserve"> H398*SUMPRODUCT(F383:F395,H383:H395+F368:F380,H368:H380)/10000000</f>
        <v>0</v>
      </c>
      <c r="I405" s="141" cm="1">
        <f t="array" ref="I405">(I398*SUMPRODUCT(F383:F395,I383:I395+F368:F380,I368:I380))/10000000</f>
        <v>0</v>
      </c>
      <c r="J405" s="141" cm="1">
        <f t="array" ref="J405">(J398*SUMPRODUCT(F383:F395,J383:J395+F368:F380,J368:J380))/10000000</f>
        <v>0</v>
      </c>
      <c r="K405" s="141" cm="1">
        <f t="array" ref="K405">(K398*SUMPRODUCT(F383:F395,K383:K395+F368:F380,K368:K380))/10000000</f>
        <v>0.60683768489608136</v>
      </c>
      <c r="L405" s="141" cm="1">
        <f t="array" ref="L405">(L398*SUMPRODUCT(F383:F395,L383:L395+F368:F380,L368:L380))/10000000</f>
        <v>0.69177340349254879</v>
      </c>
      <c r="M405" s="141" cm="1">
        <f t="array" ref="M405">(M398*SUMPRODUCT(F383:F395,M383:M395+F368:F380,M368:M380))/10000000</f>
        <v>1.5562565661368899</v>
      </c>
      <c r="N405" s="141" cm="1">
        <f t="array" ref="N405">(N398*SUMPRODUCT(F383:F395,N383:N395+F368:F380,N368:N380))/10000000</f>
        <v>1.7741324853960543</v>
      </c>
      <c r="O405" s="141" cm="1">
        <f t="array" ref="O405">(O398*SUMPRODUCT(F383:F395,O383:O395+F368:F380,O368:O380))/10000000</f>
        <v>2.5173438711934475</v>
      </c>
      <c r="P405" s="141" cm="1">
        <f t="array" ref="P405">(P398*SUMPRODUCT(F383:F395,P383:P395+F368:F380,P368:P380))/10000000</f>
        <v>2.8697155348573133</v>
      </c>
      <c r="Q405" s="141" cm="1">
        <f t="array" ref="Q405">(Q398*SUMPRODUCT(F383:F395,Q383:Q395+F368:F380,Q368:Q380))/10000000</f>
        <v>3.2715173158964546</v>
      </c>
      <c r="R405" s="141" cm="1">
        <f t="array" ref="R405">(R398*SUMPRODUCT(F383:F395,R383:R395+F368:F380,R368:R380))/10000000</f>
        <v>3.72952268030902</v>
      </c>
      <c r="S405" s="141" cm="1">
        <f t="array" ref="S405">(S398*SUMPRODUCT(F383:F395,S383:S395+F368:F380,S368:S380))/10000000</f>
        <v>4.2516960903319623</v>
      </c>
      <c r="T405" s="141" cm="1">
        <f t="array" ref="T405">(T398*SUMPRODUCT(F383:F395,T383:T395+F368:F380,T368:T380))/10000000</f>
        <v>4.8469282481037945</v>
      </c>
      <c r="U405" s="141" cm="1">
        <f t="array" ref="U405">(U398*SUMPRODUCT(F383:F395,U383:U395+F368:F380,U368:U380))/10000000</f>
        <v>5.5254664335904682</v>
      </c>
      <c r="V405" s="141" cm="1">
        <f t="array" ref="V405">(V398*SUMPRODUCT(F383:F395,V383:V395+F368:F380,V368:V380))/10000000</f>
        <v>6.2990661470281957</v>
      </c>
    </row>
    <row r="406" spans="1:22">
      <c r="A406" s="21" t="s">
        <v>673</v>
      </c>
      <c r="H406" s="192">
        <f>SUM(H402:H405)</f>
        <v>0</v>
      </c>
      <c r="I406" s="192">
        <f t="shared" ref="I406:V406" si="83">SUM(I402:I405)</f>
        <v>0</v>
      </c>
      <c r="J406" s="192">
        <f t="shared" si="83"/>
        <v>0</v>
      </c>
      <c r="K406" s="192">
        <f t="shared" si="83"/>
        <v>20.982909548021077</v>
      </c>
      <c r="L406" s="192">
        <f t="shared" si="83"/>
        <v>26.85348009869255</v>
      </c>
      <c r="M406" s="192">
        <f t="shared" si="83"/>
        <v>51.056302779368885</v>
      </c>
      <c r="N406" s="192">
        <f t="shared" si="83"/>
        <v>73.53760876197255</v>
      </c>
      <c r="O406" s="192">
        <f t="shared" si="83"/>
        <v>97.571230074957043</v>
      </c>
      <c r="P406" s="192">
        <f t="shared" si="83"/>
        <v>119.10003153273735</v>
      </c>
      <c r="Q406" s="192">
        <f t="shared" si="83"/>
        <v>150.41466017302085</v>
      </c>
      <c r="R406" s="192">
        <f t="shared" si="83"/>
        <v>179.96437523068701</v>
      </c>
      <c r="S406" s="192">
        <f t="shared" si="83"/>
        <v>213.86922145725998</v>
      </c>
      <c r="T406" s="192">
        <f t="shared" si="83"/>
        <v>244.20009403458221</v>
      </c>
      <c r="U406" s="192">
        <f t="shared" si="83"/>
        <v>278.31127595884044</v>
      </c>
      <c r="V406" s="192">
        <f t="shared" si="83"/>
        <v>316.79145745942816</v>
      </c>
    </row>
    <row r="408" spans="1:22" s="181" customFormat="1" ht="21">
      <c r="A408" s="229" t="s">
        <v>185</v>
      </c>
      <c r="B408" s="230"/>
      <c r="C408" s="230"/>
      <c r="D408" s="230"/>
      <c r="E408" s="230"/>
      <c r="F408" s="230"/>
      <c r="G408" s="230"/>
      <c r="H408" s="230"/>
      <c r="I408" s="230"/>
      <c r="J408" s="230"/>
      <c r="K408" s="230"/>
      <c r="L408" s="230"/>
      <c r="M408" s="230"/>
      <c r="N408" s="230"/>
      <c r="O408" s="230"/>
      <c r="P408" s="230"/>
      <c r="Q408" s="230"/>
      <c r="R408" s="230"/>
      <c r="S408" s="230"/>
      <c r="T408" s="230"/>
      <c r="U408" s="230"/>
      <c r="V408" s="230"/>
    </row>
    <row r="410" spans="1:22">
      <c r="A410" s="3" t="s">
        <v>70</v>
      </c>
      <c r="H410" s="59">
        <f>REVENUE!N9</f>
        <v>0</v>
      </c>
      <c r="I410" s="59">
        <f>REVENUE!O9</f>
        <v>0</v>
      </c>
      <c r="J410" s="59">
        <f>REVENUE!P9</f>
        <v>0</v>
      </c>
      <c r="K410" s="59">
        <f>REVENUE!Q9</f>
        <v>0.12704399999999999</v>
      </c>
      <c r="L410" s="59">
        <f>REVENUE!R9</f>
        <v>0.25156109999999993</v>
      </c>
      <c r="M410" s="59">
        <f>REVENUE!S9</f>
        <v>0.46024319880000009</v>
      </c>
      <c r="N410" s="59">
        <f>REVENUE!T9</f>
        <v>0.781316448</v>
      </c>
      <c r="O410" s="59">
        <f>REVENUE!U9</f>
        <v>1.1426813775</v>
      </c>
      <c r="P410" s="59">
        <f>REVENUE!V9</f>
        <v>1.6075595853200004</v>
      </c>
      <c r="Q410" s="59">
        <f>REVENUE!W9</f>
        <v>2.1709273433400003</v>
      </c>
      <c r="R410" s="59">
        <f>REVENUE!X9</f>
        <v>2.8396166624000001</v>
      </c>
      <c r="S410" s="59">
        <f>REVENUE!Y9</f>
        <v>3.6566253206999995</v>
      </c>
      <c r="T410" s="59">
        <f>REVENUE!Z9</f>
        <v>4.5946531439999996</v>
      </c>
      <c r="U410" s="59">
        <f>REVENUE!AA9</f>
        <v>5.5778252885999997</v>
      </c>
      <c r="V410" s="59">
        <f>REVENUE!AB9</f>
        <v>6.7684060800000001</v>
      </c>
    </row>
    <row r="411" spans="1:22">
      <c r="A411" s="3" t="s">
        <v>176</v>
      </c>
      <c r="H411" s="59">
        <v>25</v>
      </c>
      <c r="I411" s="59">
        <v>25</v>
      </c>
      <c r="J411" s="59">
        <v>25</v>
      </c>
      <c r="K411" s="59">
        <v>25</v>
      </c>
      <c r="L411" s="59">
        <v>25</v>
      </c>
      <c r="M411" s="59">
        <v>25</v>
      </c>
      <c r="N411" s="59">
        <v>25</v>
      </c>
      <c r="O411" s="59">
        <v>25</v>
      </c>
      <c r="P411" s="59">
        <v>25</v>
      </c>
      <c r="Q411" s="59">
        <v>25</v>
      </c>
      <c r="R411" s="59">
        <v>25</v>
      </c>
      <c r="S411" s="59">
        <v>25</v>
      </c>
      <c r="T411" s="59">
        <v>25</v>
      </c>
      <c r="U411" s="59">
        <v>25</v>
      </c>
      <c r="V411" s="59">
        <v>25</v>
      </c>
    </row>
    <row r="412" spans="1:22" s="197" customFormat="1">
      <c r="A412" s="20" t="s">
        <v>177</v>
      </c>
      <c r="H412" s="192">
        <f xml:space="preserve"> H410*H411/100</f>
        <v>0</v>
      </c>
      <c r="I412" s="192">
        <f t="shared" ref="I412:V412" si="84" xml:space="preserve"> I410*I411/100</f>
        <v>0</v>
      </c>
      <c r="J412" s="192">
        <f t="shared" si="84"/>
        <v>0</v>
      </c>
      <c r="K412" s="192">
        <f t="shared" si="84"/>
        <v>3.1760999999999998E-2</v>
      </c>
      <c r="L412" s="192">
        <f t="shared" si="84"/>
        <v>6.2890274999999982E-2</v>
      </c>
      <c r="M412" s="192">
        <f t="shared" si="84"/>
        <v>0.11506079970000002</v>
      </c>
      <c r="N412" s="192">
        <f t="shared" si="84"/>
        <v>0.195329112</v>
      </c>
      <c r="O412" s="192">
        <f t="shared" si="84"/>
        <v>0.285670344375</v>
      </c>
      <c r="P412" s="192">
        <f t="shared" si="84"/>
        <v>0.40188989633000011</v>
      </c>
      <c r="Q412" s="192">
        <f t="shared" si="84"/>
        <v>0.54273183583500006</v>
      </c>
      <c r="R412" s="192">
        <f t="shared" si="84"/>
        <v>0.70990416560000003</v>
      </c>
      <c r="S412" s="192">
        <f t="shared" si="84"/>
        <v>0.91415633017499986</v>
      </c>
      <c r="T412" s="192">
        <f t="shared" si="84"/>
        <v>1.1486632859999999</v>
      </c>
      <c r="U412" s="192">
        <f t="shared" si="84"/>
        <v>1.3944563221499999</v>
      </c>
      <c r="V412" s="192">
        <f t="shared" si="84"/>
        <v>1.69210152</v>
      </c>
    </row>
    <row r="414" spans="1:22" s="181" customFormat="1" ht="21">
      <c r="A414" s="229" t="s">
        <v>186</v>
      </c>
      <c r="B414" s="230"/>
      <c r="C414" s="230"/>
      <c r="D414" s="230"/>
      <c r="E414" s="230"/>
      <c r="F414" s="230"/>
      <c r="G414" s="230"/>
      <c r="H414" s="230"/>
      <c r="I414" s="230"/>
      <c r="J414" s="230"/>
      <c r="K414" s="230"/>
      <c r="L414" s="230"/>
      <c r="M414" s="230"/>
      <c r="N414" s="230"/>
      <c r="O414" s="230"/>
      <c r="P414" s="230"/>
      <c r="Q414" s="230"/>
      <c r="R414" s="230"/>
      <c r="S414" s="230"/>
      <c r="T414" s="230"/>
      <c r="U414" s="230"/>
      <c r="V414" s="230"/>
    </row>
    <row r="416" spans="1:22">
      <c r="A416" s="3" t="s">
        <v>73</v>
      </c>
      <c r="H416" s="141">
        <f>REVENUE!N10</f>
        <v>0</v>
      </c>
      <c r="I416" s="141">
        <f>REVENUE!O10</f>
        <v>0</v>
      </c>
      <c r="J416" s="141">
        <f>REVENUE!P10</f>
        <v>0</v>
      </c>
      <c r="K416" s="141">
        <f>REVENUE!Q10</f>
        <v>0.14494589999999999</v>
      </c>
      <c r="L416" s="141">
        <f>REVENUE!R10</f>
        <v>0.3429543645</v>
      </c>
      <c r="M416" s="141">
        <f>REVENUE!S10</f>
        <v>0.79292528728</v>
      </c>
      <c r="N416" s="141">
        <f>REVENUE!T10</f>
        <v>1.650003264</v>
      </c>
      <c r="O416" s="141">
        <f>REVENUE!U10</f>
        <v>3.4697381400000005</v>
      </c>
      <c r="P416" s="141">
        <f>REVENUE!V10</f>
        <v>5.8888080919999997</v>
      </c>
      <c r="Q416" s="141">
        <f>REVENUE!W10</f>
        <v>9.5959485908550022</v>
      </c>
      <c r="R416" s="141">
        <f>REVENUE!X10</f>
        <v>15.146550974879998</v>
      </c>
      <c r="S416" s="141">
        <f>REVENUE!Y10</f>
        <v>23.3156412216</v>
      </c>
      <c r="T416" s="141">
        <f>REVENUE!Z10</f>
        <v>31.188561522000004</v>
      </c>
      <c r="U416" s="141">
        <f>REVENUE!AA10</f>
        <v>42.604942379999997</v>
      </c>
      <c r="V416" s="141">
        <f>REVENUE!AB10</f>
        <v>51.671646532800004</v>
      </c>
    </row>
    <row r="417" spans="1:22">
      <c r="A417" s="3" t="s">
        <v>176</v>
      </c>
      <c r="H417" s="150">
        <v>0.7</v>
      </c>
      <c r="I417" s="150">
        <v>0.7</v>
      </c>
      <c r="J417" s="150">
        <v>0.7</v>
      </c>
      <c r="K417" s="150">
        <v>0.7</v>
      </c>
      <c r="L417" s="150">
        <v>0.7</v>
      </c>
      <c r="M417" s="150">
        <v>0.7</v>
      </c>
      <c r="N417" s="150">
        <v>0.7</v>
      </c>
      <c r="O417" s="150">
        <v>0.7</v>
      </c>
      <c r="P417" s="150">
        <v>0.7</v>
      </c>
      <c r="Q417" s="150">
        <v>0.7</v>
      </c>
      <c r="R417" s="150">
        <v>0.7</v>
      </c>
      <c r="S417" s="150">
        <v>0.7</v>
      </c>
      <c r="T417" s="150">
        <v>0.7</v>
      </c>
      <c r="U417" s="150">
        <v>0.7</v>
      </c>
      <c r="V417" s="150">
        <v>0.7</v>
      </c>
    </row>
    <row r="418" spans="1:22">
      <c r="A418" s="3" t="s">
        <v>178</v>
      </c>
      <c r="H418" s="141">
        <f xml:space="preserve"> H417*H416</f>
        <v>0</v>
      </c>
      <c r="I418" s="141">
        <f t="shared" ref="I418:V418" si="85" xml:space="preserve"> I417*I416</f>
        <v>0</v>
      </c>
      <c r="J418" s="141">
        <f t="shared" si="85"/>
        <v>0</v>
      </c>
      <c r="K418" s="141">
        <f t="shared" si="85"/>
        <v>0.10146212999999998</v>
      </c>
      <c r="L418" s="141">
        <f t="shared" si="85"/>
        <v>0.24006805514999999</v>
      </c>
      <c r="M418" s="141">
        <f t="shared" si="85"/>
        <v>0.55504770109599999</v>
      </c>
      <c r="N418" s="141">
        <f t="shared" si="85"/>
        <v>1.1550022847999999</v>
      </c>
      <c r="O418" s="141">
        <f t="shared" si="85"/>
        <v>2.4288166980000003</v>
      </c>
      <c r="P418" s="141">
        <f t="shared" si="85"/>
        <v>4.1221656643999998</v>
      </c>
      <c r="Q418" s="141">
        <f t="shared" si="85"/>
        <v>6.7171640135985013</v>
      </c>
      <c r="R418" s="141">
        <f t="shared" si="85"/>
        <v>10.602585682415999</v>
      </c>
      <c r="S418" s="141">
        <f t="shared" si="85"/>
        <v>16.320948855119997</v>
      </c>
      <c r="T418" s="141">
        <f t="shared" si="85"/>
        <v>21.831993065400003</v>
      </c>
      <c r="U418" s="141">
        <f t="shared" si="85"/>
        <v>29.823459665999994</v>
      </c>
      <c r="V418" s="141">
        <f t="shared" si="85"/>
        <v>36.170152572959999</v>
      </c>
    </row>
    <row r="420" spans="1:22" s="181" customFormat="1" ht="21">
      <c r="A420" s="229" t="s">
        <v>187</v>
      </c>
      <c r="B420" s="230"/>
      <c r="C420" s="230"/>
      <c r="D420" s="230"/>
      <c r="E420" s="230"/>
      <c r="F420" s="230"/>
      <c r="G420" s="230"/>
      <c r="H420" s="230"/>
      <c r="I420" s="230"/>
      <c r="J420" s="230"/>
      <c r="K420" s="230"/>
      <c r="L420" s="230"/>
      <c r="M420" s="230"/>
      <c r="N420" s="230"/>
      <c r="O420" s="230"/>
      <c r="P420" s="230"/>
      <c r="Q420" s="230"/>
      <c r="R420" s="230"/>
      <c r="S420" s="230"/>
      <c r="T420" s="230"/>
      <c r="U420" s="230"/>
      <c r="V420" s="230"/>
    </row>
    <row r="422" spans="1:22">
      <c r="A422" s="3" t="s">
        <v>82</v>
      </c>
      <c r="H422" s="141">
        <f>REVENUE!N11</f>
        <v>0</v>
      </c>
      <c r="I422" s="141">
        <f>REVENUE!O11</f>
        <v>0</v>
      </c>
      <c r="J422" s="141">
        <f>REVENUE!P11</f>
        <v>0</v>
      </c>
      <c r="K422" s="141">
        <f>REVENUE!Q11</f>
        <v>2.5499999999999998E-2</v>
      </c>
      <c r="L422" s="141">
        <f>REVENUE!R11</f>
        <v>4.3248000000000002E-2</v>
      </c>
      <c r="M422" s="141">
        <f>REVENUE!S11</f>
        <v>7.4636800000000017E-2</v>
      </c>
      <c r="N422" s="141">
        <f>REVENUE!T11</f>
        <v>0.117882</v>
      </c>
      <c r="O422" s="141">
        <f>REVENUE!U11</f>
        <v>0.19201399999999999</v>
      </c>
      <c r="P422" s="141">
        <f>REVENUE!V11</f>
        <v>0.25324000000000002</v>
      </c>
      <c r="Q422" s="141">
        <f>REVENUE!W11</f>
        <v>0.32301360000000001</v>
      </c>
      <c r="R422" s="141">
        <f>REVENUE!X11</f>
        <v>0.4017464</v>
      </c>
      <c r="S422" s="141">
        <f>REVENUE!Y11</f>
        <v>0.490176</v>
      </c>
      <c r="T422" s="141">
        <f>REVENUE!Z11</f>
        <v>0.55340159999999994</v>
      </c>
      <c r="U422" s="141">
        <f>REVENUE!AA11</f>
        <v>0.62165999999999999</v>
      </c>
      <c r="V422" s="141">
        <f>REVENUE!AB11</f>
        <v>0.63839999999999997</v>
      </c>
    </row>
    <row r="423" spans="1:22">
      <c r="A423" s="3" t="s">
        <v>176</v>
      </c>
      <c r="H423" s="150">
        <v>0.75</v>
      </c>
      <c r="I423" s="150">
        <v>0.75</v>
      </c>
      <c r="J423" s="150">
        <v>0.75</v>
      </c>
      <c r="K423" s="150">
        <v>0.75</v>
      </c>
      <c r="L423" s="150">
        <v>0.75</v>
      </c>
      <c r="M423" s="150">
        <v>0.75</v>
      </c>
      <c r="N423" s="150">
        <v>0.75</v>
      </c>
      <c r="O423" s="150">
        <v>0.75</v>
      </c>
      <c r="P423" s="150">
        <v>0.75</v>
      </c>
      <c r="Q423" s="150">
        <v>0.75</v>
      </c>
      <c r="R423" s="150">
        <v>0.75</v>
      </c>
      <c r="S423" s="150">
        <v>0.75</v>
      </c>
      <c r="T423" s="150">
        <v>0.75</v>
      </c>
      <c r="U423" s="150">
        <v>0.75</v>
      </c>
      <c r="V423" s="150">
        <v>0.75</v>
      </c>
    </row>
    <row r="424" spans="1:22">
      <c r="A424" s="3" t="s">
        <v>179</v>
      </c>
      <c r="H424" s="141">
        <f xml:space="preserve"> H423*H422</f>
        <v>0</v>
      </c>
      <c r="I424" s="141">
        <f t="shared" ref="I424:V424" si="86" xml:space="preserve"> I423*I422</f>
        <v>0</v>
      </c>
      <c r="J424" s="141">
        <f t="shared" si="86"/>
        <v>0</v>
      </c>
      <c r="K424" s="141">
        <f t="shared" si="86"/>
        <v>1.9125E-2</v>
      </c>
      <c r="L424" s="141">
        <f t="shared" si="86"/>
        <v>3.2436E-2</v>
      </c>
      <c r="M424" s="141">
        <f t="shared" si="86"/>
        <v>5.5977600000000016E-2</v>
      </c>
      <c r="N424" s="141">
        <f t="shared" si="86"/>
        <v>8.8411500000000004E-2</v>
      </c>
      <c r="O424" s="141">
        <f t="shared" si="86"/>
        <v>0.14401049999999999</v>
      </c>
      <c r="P424" s="141">
        <f t="shared" si="86"/>
        <v>0.18993000000000002</v>
      </c>
      <c r="Q424" s="141">
        <f t="shared" si="86"/>
        <v>0.24226020000000001</v>
      </c>
      <c r="R424" s="141">
        <f t="shared" si="86"/>
        <v>0.30130980000000002</v>
      </c>
      <c r="S424" s="141">
        <f t="shared" si="86"/>
        <v>0.36763200000000001</v>
      </c>
      <c r="T424" s="141">
        <f t="shared" si="86"/>
        <v>0.41505119999999995</v>
      </c>
      <c r="U424" s="141">
        <f t="shared" si="86"/>
        <v>0.46624500000000002</v>
      </c>
      <c r="V424" s="141">
        <f t="shared" si="86"/>
        <v>0.4788</v>
      </c>
    </row>
    <row r="426" spans="1:22" s="181" customFormat="1" ht="21">
      <c r="A426" s="229" t="s">
        <v>188</v>
      </c>
      <c r="B426" s="230"/>
      <c r="C426" s="230"/>
      <c r="D426" s="230"/>
      <c r="E426" s="230"/>
      <c r="F426" s="230"/>
      <c r="G426" s="230"/>
      <c r="H426" s="230"/>
      <c r="I426" s="230"/>
      <c r="J426" s="230"/>
      <c r="K426" s="230"/>
      <c r="L426" s="230"/>
      <c r="M426" s="230"/>
      <c r="N426" s="230"/>
      <c r="O426" s="230"/>
      <c r="P426" s="230"/>
      <c r="Q426" s="230"/>
      <c r="R426" s="230"/>
      <c r="S426" s="230"/>
      <c r="T426" s="230"/>
      <c r="U426" s="230"/>
      <c r="V426" s="230"/>
    </row>
    <row r="428" spans="1:22">
      <c r="A428" s="3" t="s">
        <v>99</v>
      </c>
      <c r="H428" s="141">
        <f>REVENUE!N12</f>
        <v>0</v>
      </c>
      <c r="I428" s="141">
        <f>REVENUE!O12</f>
        <v>0</v>
      </c>
      <c r="J428" s="141">
        <f>REVENUE!P12</f>
        <v>0</v>
      </c>
      <c r="K428" s="141">
        <f>REVENUE!Q12</f>
        <v>9.9824999999999997E-2</v>
      </c>
      <c r="L428" s="141">
        <f>REVENUE!R12</f>
        <v>0.1098075</v>
      </c>
      <c r="M428" s="141">
        <f>REVENUE!S12</f>
        <v>0.1207883</v>
      </c>
      <c r="N428" s="141">
        <f>REVENUE!T12</f>
        <v>0.13286700000000001</v>
      </c>
      <c r="O428" s="141">
        <f>REVENUE!U12</f>
        <v>0.1461538</v>
      </c>
      <c r="P428" s="141">
        <f>REVENUE!V12</f>
        <v>0.1607692</v>
      </c>
      <c r="Q428" s="141">
        <f>REVENUE!W12</f>
        <v>0.17684610000000001</v>
      </c>
      <c r="R428" s="141">
        <f>REVENUE!X12</f>
        <v>0.1945305</v>
      </c>
      <c r="S428" s="141">
        <f>REVENUE!Y12</f>
        <v>0.2139838</v>
      </c>
      <c r="T428" s="141">
        <f>REVENUE!Z12</f>
        <v>0.23538210000000001</v>
      </c>
      <c r="U428" s="141">
        <f>REVENUE!AA12</f>
        <v>0.25892039999999999</v>
      </c>
      <c r="V428" s="141">
        <f>REVENUE!AB12</f>
        <v>0.28481250000000002</v>
      </c>
    </row>
    <row r="429" spans="1:22">
      <c r="A429" s="3" t="s">
        <v>176</v>
      </c>
      <c r="H429" s="150">
        <v>0.3</v>
      </c>
      <c r="I429" s="150">
        <v>0.3</v>
      </c>
      <c r="J429" s="150">
        <v>0.3</v>
      </c>
      <c r="K429" s="150">
        <v>0.3</v>
      </c>
      <c r="L429" s="150">
        <v>0.3</v>
      </c>
      <c r="M429" s="150">
        <v>0.3</v>
      </c>
      <c r="N429" s="150">
        <v>0.3</v>
      </c>
      <c r="O429" s="150">
        <v>0.3</v>
      </c>
      <c r="P429" s="150">
        <v>0.3</v>
      </c>
      <c r="Q429" s="150">
        <v>0.3</v>
      </c>
      <c r="R429" s="150">
        <v>0.3</v>
      </c>
      <c r="S429" s="150">
        <v>0.3</v>
      </c>
      <c r="T429" s="150">
        <v>0.3</v>
      </c>
      <c r="U429" s="150">
        <v>0.3</v>
      </c>
      <c r="V429" s="150">
        <v>0.3</v>
      </c>
    </row>
    <row r="430" spans="1:22">
      <c r="A430" s="3" t="s">
        <v>180</v>
      </c>
      <c r="H430" s="141">
        <f>H428*H429</f>
        <v>0</v>
      </c>
      <c r="I430" s="141">
        <f t="shared" ref="I430:V430" si="87">I428*I429</f>
        <v>0</v>
      </c>
      <c r="J430" s="141">
        <f t="shared" si="87"/>
        <v>0</v>
      </c>
      <c r="K430" s="141">
        <f t="shared" si="87"/>
        <v>2.9947499999999998E-2</v>
      </c>
      <c r="L430" s="141">
        <f t="shared" si="87"/>
        <v>3.2942249999999999E-2</v>
      </c>
      <c r="M430" s="141">
        <f t="shared" si="87"/>
        <v>3.6236489999999996E-2</v>
      </c>
      <c r="N430" s="141">
        <f t="shared" si="87"/>
        <v>3.9860100000000002E-2</v>
      </c>
      <c r="O430" s="141">
        <f t="shared" si="87"/>
        <v>4.3846139999999999E-2</v>
      </c>
      <c r="P430" s="141">
        <f t="shared" si="87"/>
        <v>4.8230759999999998E-2</v>
      </c>
      <c r="Q430" s="141">
        <f t="shared" si="87"/>
        <v>5.3053830000000003E-2</v>
      </c>
      <c r="R430" s="141">
        <f t="shared" si="87"/>
        <v>5.8359149999999999E-2</v>
      </c>
      <c r="S430" s="141">
        <f t="shared" si="87"/>
        <v>6.4195139999999998E-2</v>
      </c>
      <c r="T430" s="141">
        <f t="shared" si="87"/>
        <v>7.0614629999999998E-2</v>
      </c>
      <c r="U430" s="141">
        <f t="shared" si="87"/>
        <v>7.7676120000000001E-2</v>
      </c>
      <c r="V430" s="141">
        <f t="shared" si="87"/>
        <v>8.5443749999999999E-2</v>
      </c>
    </row>
    <row r="432" spans="1:22" s="181" customFormat="1" ht="21">
      <c r="A432" s="229" t="s">
        <v>189</v>
      </c>
      <c r="B432" s="230"/>
      <c r="C432" s="230"/>
      <c r="D432" s="230"/>
      <c r="E432" s="230"/>
      <c r="F432" s="230"/>
      <c r="G432" s="230"/>
      <c r="H432" s="230"/>
      <c r="I432" s="230"/>
      <c r="J432" s="230"/>
      <c r="K432" s="230"/>
      <c r="L432" s="230"/>
      <c r="M432" s="230"/>
      <c r="N432" s="230"/>
      <c r="O432" s="230"/>
      <c r="P432" s="230"/>
      <c r="Q432" s="230"/>
      <c r="R432" s="230"/>
      <c r="S432" s="230"/>
      <c r="T432" s="230"/>
      <c r="U432" s="230"/>
      <c r="V432" s="230"/>
    </row>
    <row r="433" spans="1:22">
      <c r="A433" s="3" t="s">
        <v>100</v>
      </c>
      <c r="H433" s="141" t="e">
        <f>REVENUE!N13</f>
        <v>#REF!</v>
      </c>
      <c r="I433" s="141" t="e">
        <f>REVENUE!O13</f>
        <v>#REF!</v>
      </c>
      <c r="J433" s="141" t="e">
        <f>REVENUE!P13</f>
        <v>#REF!</v>
      </c>
      <c r="K433" s="141" t="e">
        <f>REVENUE!Q13</f>
        <v>#REF!</v>
      </c>
      <c r="L433" s="141" t="e">
        <f>REVENUE!R13</f>
        <v>#REF!</v>
      </c>
      <c r="M433" s="141" t="e">
        <f>REVENUE!S13</f>
        <v>#REF!</v>
      </c>
      <c r="N433" s="141" t="e">
        <f>REVENUE!T13</f>
        <v>#REF!</v>
      </c>
      <c r="O433" s="141" t="e">
        <f>REVENUE!U13</f>
        <v>#REF!</v>
      </c>
      <c r="P433" s="141" t="e">
        <f>REVENUE!V13</f>
        <v>#REF!</v>
      </c>
      <c r="Q433" s="141" t="e">
        <f>REVENUE!W13</f>
        <v>#REF!</v>
      </c>
      <c r="R433" s="141" t="e">
        <f>REVENUE!X13</f>
        <v>#REF!</v>
      </c>
      <c r="S433" s="141" t="e">
        <f>REVENUE!Y13</f>
        <v>#REF!</v>
      </c>
      <c r="T433" s="141" t="e">
        <f>REVENUE!Z13</f>
        <v>#REF!</v>
      </c>
      <c r="U433" s="141" t="e">
        <f>REVENUE!AA13</f>
        <v>#REF!</v>
      </c>
      <c r="V433" s="141" t="e">
        <f>REVENUE!AB13</f>
        <v>#REF!</v>
      </c>
    </row>
    <row r="434" spans="1:22">
      <c r="A434" s="3" t="s">
        <v>176</v>
      </c>
      <c r="H434" s="148">
        <v>0.05</v>
      </c>
      <c r="I434" s="148">
        <v>0.05</v>
      </c>
      <c r="J434" s="148">
        <v>0.05</v>
      </c>
      <c r="K434" s="148">
        <v>0.05</v>
      </c>
      <c r="L434" s="148">
        <v>0.05</v>
      </c>
      <c r="M434" s="148">
        <v>0.05</v>
      </c>
      <c r="N434" s="148">
        <v>0.05</v>
      </c>
      <c r="O434" s="148">
        <v>0.05</v>
      </c>
      <c r="P434" s="148">
        <v>0.05</v>
      </c>
      <c r="Q434" s="148">
        <v>0.05</v>
      </c>
      <c r="R434" s="148">
        <v>0.05</v>
      </c>
      <c r="S434" s="148">
        <v>0.05</v>
      </c>
      <c r="T434" s="148">
        <v>0.05</v>
      </c>
      <c r="U434" s="148">
        <v>0.05</v>
      </c>
      <c r="V434" s="148">
        <v>0.05</v>
      </c>
    </row>
    <row r="435" spans="1:22">
      <c r="A435" s="3" t="s">
        <v>181</v>
      </c>
      <c r="H435" s="141" t="e">
        <f xml:space="preserve"> H434*H433</f>
        <v>#REF!</v>
      </c>
      <c r="I435" s="141" t="e">
        <f t="shared" ref="I435:V435" si="88" xml:space="preserve"> I434*I433</f>
        <v>#REF!</v>
      </c>
      <c r="J435" s="141" t="e">
        <f t="shared" si="88"/>
        <v>#REF!</v>
      </c>
      <c r="K435" s="141" t="e">
        <f t="shared" si="88"/>
        <v>#REF!</v>
      </c>
      <c r="L435" s="141" t="e">
        <f t="shared" si="88"/>
        <v>#REF!</v>
      </c>
      <c r="M435" s="141" t="e">
        <f t="shared" si="88"/>
        <v>#REF!</v>
      </c>
      <c r="N435" s="141" t="e">
        <f t="shared" si="88"/>
        <v>#REF!</v>
      </c>
      <c r="O435" s="141" t="e">
        <f t="shared" si="88"/>
        <v>#REF!</v>
      </c>
      <c r="P435" s="141" t="e">
        <f t="shared" si="88"/>
        <v>#REF!</v>
      </c>
      <c r="Q435" s="141" t="e">
        <f t="shared" si="88"/>
        <v>#REF!</v>
      </c>
      <c r="R435" s="141" t="e">
        <f t="shared" si="88"/>
        <v>#REF!</v>
      </c>
      <c r="S435" s="141" t="e">
        <f t="shared" si="88"/>
        <v>#REF!</v>
      </c>
      <c r="T435" s="141" t="e">
        <f t="shared" si="88"/>
        <v>#REF!</v>
      </c>
      <c r="U435" s="141" t="e">
        <f t="shared" si="88"/>
        <v>#REF!</v>
      </c>
      <c r="V435" s="141" t="e">
        <f t="shared" si="88"/>
        <v>#REF!</v>
      </c>
    </row>
    <row r="437" spans="1:22" s="181" customFormat="1" ht="21">
      <c r="A437" s="229" t="s">
        <v>190</v>
      </c>
      <c r="B437" s="230"/>
      <c r="C437" s="230"/>
      <c r="D437" s="230"/>
      <c r="E437" s="230"/>
      <c r="F437" s="230"/>
      <c r="G437" s="230"/>
      <c r="H437" s="230"/>
      <c r="I437" s="230"/>
      <c r="J437" s="230"/>
      <c r="K437" s="230"/>
      <c r="L437" s="230"/>
      <c r="M437" s="230"/>
      <c r="N437" s="230"/>
      <c r="O437" s="230"/>
      <c r="P437" s="230"/>
      <c r="Q437" s="230"/>
      <c r="R437" s="230"/>
      <c r="S437" s="230"/>
      <c r="T437" s="230"/>
      <c r="U437" s="230"/>
      <c r="V437" s="230"/>
    </row>
    <row r="439" spans="1:22">
      <c r="A439" s="3" t="s">
        <v>182</v>
      </c>
      <c r="B439" s="162">
        <v>5450000</v>
      </c>
      <c r="H439" s="141">
        <v>0</v>
      </c>
      <c r="I439" s="141">
        <v>0</v>
      </c>
      <c r="J439" s="141">
        <v>0</v>
      </c>
      <c r="K439" s="141">
        <f xml:space="preserve"> B439*K441</f>
        <v>6624475</v>
      </c>
      <c r="L439" s="141">
        <f xml:space="preserve"> B439*L441</f>
        <v>6955835</v>
      </c>
      <c r="M439" s="141">
        <f xml:space="preserve"> B439*M441</f>
        <v>7303545</v>
      </c>
      <c r="N439" s="141">
        <f xml:space="preserve"> B439*N441</f>
        <v>7668695</v>
      </c>
      <c r="O439" s="141">
        <f xml:space="preserve"> B439*O441</f>
        <v>8052375</v>
      </c>
      <c r="P439" s="141">
        <f xml:space="preserve"> B439*P441</f>
        <v>8454585</v>
      </c>
      <c r="Q439" s="141">
        <f xml:space="preserve"> B439*Q441</f>
        <v>8877505</v>
      </c>
      <c r="R439" s="141">
        <f xml:space="preserve"> B439*R441</f>
        <v>9321135</v>
      </c>
      <c r="S439" s="141">
        <f xml:space="preserve"> B439*S441</f>
        <v>9787110</v>
      </c>
      <c r="T439" s="141">
        <f xml:space="preserve"> B439*T441</f>
        <v>10276520</v>
      </c>
      <c r="U439" s="141">
        <f xml:space="preserve"> B439*U441</f>
        <v>10790455</v>
      </c>
      <c r="V439" s="141">
        <f xml:space="preserve"> B439*V441</f>
        <v>11330005</v>
      </c>
    </row>
    <row r="440" spans="1:22">
      <c r="A440" s="3" t="s">
        <v>680</v>
      </c>
      <c r="B440" s="162"/>
      <c r="H440" s="150">
        <v>0.05</v>
      </c>
      <c r="I440" s="150">
        <v>0.05</v>
      </c>
      <c r="J440" s="150">
        <v>0.05</v>
      </c>
      <c r="K440" s="150">
        <v>0.05</v>
      </c>
      <c r="L440" s="150">
        <v>0.05</v>
      </c>
      <c r="M440" s="150">
        <v>0.05</v>
      </c>
      <c r="N440" s="150">
        <v>0.05</v>
      </c>
      <c r="O440" s="150">
        <v>0.05</v>
      </c>
      <c r="P440" s="150">
        <v>0.05</v>
      </c>
      <c r="Q440" s="150">
        <v>0.05</v>
      </c>
      <c r="R440" s="150">
        <v>0.05</v>
      </c>
      <c r="S440" s="150">
        <v>0.05</v>
      </c>
      <c r="T440" s="150">
        <v>0.05</v>
      </c>
      <c r="U440" s="150">
        <v>0.05</v>
      </c>
      <c r="V440" s="150">
        <v>0.05</v>
      </c>
    </row>
    <row r="441" spans="1:22">
      <c r="A441" s="3" t="s">
        <v>682</v>
      </c>
      <c r="B441" s="162"/>
      <c r="H441" s="59">
        <v>1.05</v>
      </c>
      <c r="I441" s="59">
        <v>1.1025</v>
      </c>
      <c r="J441" s="59">
        <v>1.1576</v>
      </c>
      <c r="K441" s="59">
        <v>1.2155</v>
      </c>
      <c r="L441" s="59">
        <v>1.2763</v>
      </c>
      <c r="M441" s="59">
        <v>1.3401000000000001</v>
      </c>
      <c r="N441" s="59">
        <v>1.4071</v>
      </c>
      <c r="O441" s="59">
        <v>1.4775</v>
      </c>
      <c r="P441" s="59">
        <v>1.5512999999999999</v>
      </c>
      <c r="Q441" s="59">
        <v>1.6289</v>
      </c>
      <c r="R441" s="59">
        <v>1.7102999999999999</v>
      </c>
      <c r="S441" s="59">
        <v>1.7958000000000001</v>
      </c>
      <c r="T441" s="59">
        <v>1.8855999999999999</v>
      </c>
      <c r="U441" s="59">
        <v>1.9799</v>
      </c>
      <c r="V441" s="59">
        <v>2.0789</v>
      </c>
    </row>
    <row r="442" spans="1:22" s="197" customFormat="1">
      <c r="A442" s="20" t="s">
        <v>681</v>
      </c>
      <c r="B442" s="196"/>
      <c r="H442" s="192">
        <f xml:space="preserve"> H439*H441/1000000000</f>
        <v>0</v>
      </c>
      <c r="I442" s="192">
        <f t="shared" ref="I442:K442" si="89" xml:space="preserve"> I439*I441/1000000000</f>
        <v>0</v>
      </c>
      <c r="J442" s="192">
        <f t="shared" si="89"/>
        <v>0</v>
      </c>
      <c r="K442" s="192">
        <f t="shared" si="89"/>
        <v>8.0520493624999991E-3</v>
      </c>
      <c r="L442" s="192">
        <f xml:space="preserve"> L439*L441/1000000000</f>
        <v>8.8777322105000004E-3</v>
      </c>
      <c r="M442" s="192">
        <f t="shared" ref="M442:V442" si="90" xml:space="preserve"> M439*M441/1000000000</f>
        <v>9.7874806545000005E-3</v>
      </c>
      <c r="N442" s="192">
        <f t="shared" si="90"/>
        <v>1.07906207345E-2</v>
      </c>
      <c r="O442" s="192">
        <f t="shared" si="90"/>
        <v>1.18973840625E-2</v>
      </c>
      <c r="P442" s="192">
        <f t="shared" si="90"/>
        <v>1.3115597710500001E-2</v>
      </c>
      <c r="Q442" s="192">
        <f t="shared" si="90"/>
        <v>1.4460567894500001E-2</v>
      </c>
      <c r="R442" s="192">
        <f t="shared" si="90"/>
        <v>1.5941937190499997E-2</v>
      </c>
      <c r="S442" s="192">
        <f t="shared" si="90"/>
        <v>1.7575692138000001E-2</v>
      </c>
      <c r="T442" s="192">
        <f t="shared" si="90"/>
        <v>1.9377406111999999E-2</v>
      </c>
      <c r="U442" s="192">
        <f t="shared" si="90"/>
        <v>2.1364021854499999E-2</v>
      </c>
      <c r="V442" s="192">
        <f t="shared" si="90"/>
        <v>2.3553947394499997E-2</v>
      </c>
    </row>
  </sheetData>
  <mergeCells count="31">
    <mergeCell ref="A426:V426"/>
    <mergeCell ref="A432:V432"/>
    <mergeCell ref="A437:V437"/>
    <mergeCell ref="A302:B302"/>
    <mergeCell ref="A310:B310"/>
    <mergeCell ref="H367:V367"/>
    <mergeCell ref="A365:Q365"/>
    <mergeCell ref="A317:B317"/>
    <mergeCell ref="H310:V310"/>
    <mergeCell ref="A321:Q321"/>
    <mergeCell ref="H327:V327"/>
    <mergeCell ref="H345:V345"/>
    <mergeCell ref="A408:V408"/>
    <mergeCell ref="A414:V414"/>
    <mergeCell ref="A420:V420"/>
    <mergeCell ref="H247:V247"/>
    <mergeCell ref="A287:Q287"/>
    <mergeCell ref="H292:V292"/>
    <mergeCell ref="H382:V382"/>
    <mergeCell ref="H5:V5"/>
    <mergeCell ref="A65:V65"/>
    <mergeCell ref="A138:B138"/>
    <mergeCell ref="A18:V18"/>
    <mergeCell ref="A196:Q196"/>
    <mergeCell ref="A150:Q150"/>
    <mergeCell ref="A183:Q183"/>
    <mergeCell ref="A28:Q28"/>
    <mergeCell ref="A109:Q109"/>
    <mergeCell ref="A115:Q115"/>
    <mergeCell ref="A27:V27"/>
    <mergeCell ref="A195:V195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6152-A35A-49C2-B802-14C9C4B2CB45}">
  <dimension ref="A1:V88"/>
  <sheetViews>
    <sheetView zoomScale="60" zoomScaleNormal="70" workbookViewId="0">
      <selection activeCell="F22" sqref="F22"/>
    </sheetView>
  </sheetViews>
  <sheetFormatPr defaultRowHeight="14.4"/>
  <cols>
    <col min="1" max="1" width="45.77734375" bestFit="1" customWidth="1"/>
    <col min="2" max="2" width="14.33203125" bestFit="1" customWidth="1"/>
    <col min="6" max="6" width="10.5546875" bestFit="1" customWidth="1"/>
    <col min="7" max="8" width="10.109375" bestFit="1" customWidth="1"/>
    <col min="9" max="20" width="11" bestFit="1" customWidth="1"/>
  </cols>
  <sheetData>
    <row r="1" spans="1:22">
      <c r="A1" s="5" t="s">
        <v>18</v>
      </c>
      <c r="F1" s="10" t="s">
        <v>19</v>
      </c>
      <c r="G1" s="10" t="s">
        <v>19</v>
      </c>
      <c r="H1" s="10" t="s">
        <v>19</v>
      </c>
      <c r="I1" s="10" t="s">
        <v>19</v>
      </c>
      <c r="J1" s="10" t="s">
        <v>19</v>
      </c>
      <c r="K1" s="10" t="s">
        <v>19</v>
      </c>
      <c r="L1" s="10" t="s">
        <v>19</v>
      </c>
      <c r="M1" s="10" t="s">
        <v>19</v>
      </c>
      <c r="N1" s="10" t="s">
        <v>19</v>
      </c>
      <c r="O1" s="10" t="s">
        <v>19</v>
      </c>
      <c r="P1" s="10" t="s">
        <v>19</v>
      </c>
      <c r="Q1" s="10" t="s">
        <v>19</v>
      </c>
      <c r="R1" s="10" t="s">
        <v>19</v>
      </c>
      <c r="S1" s="10" t="s">
        <v>19</v>
      </c>
      <c r="T1" s="10" t="s">
        <v>19</v>
      </c>
    </row>
    <row r="2" spans="1:22">
      <c r="A2" s="5" t="s">
        <v>23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20</v>
      </c>
      <c r="N2" s="10" t="s">
        <v>21</v>
      </c>
      <c r="O2" s="10" t="s">
        <v>22</v>
      </c>
      <c r="P2" s="10" t="s">
        <v>417</v>
      </c>
      <c r="Q2" s="10" t="s">
        <v>418</v>
      </c>
      <c r="R2" s="10" t="s">
        <v>419</v>
      </c>
      <c r="S2" s="10" t="s">
        <v>420</v>
      </c>
      <c r="T2" s="10" t="s">
        <v>421</v>
      </c>
    </row>
    <row r="3" spans="1:22">
      <c r="A3" s="5" t="s">
        <v>24</v>
      </c>
      <c r="F3" s="10">
        <v>1</v>
      </c>
      <c r="G3" s="10">
        <v>2</v>
      </c>
      <c r="H3" s="10">
        <v>3</v>
      </c>
      <c r="I3" s="10">
        <v>4</v>
      </c>
      <c r="J3" s="10">
        <v>5</v>
      </c>
      <c r="K3" s="10">
        <v>6</v>
      </c>
      <c r="L3" s="10">
        <v>7</v>
      </c>
      <c r="M3" s="10">
        <v>8</v>
      </c>
      <c r="N3" s="10">
        <v>9</v>
      </c>
      <c r="O3" s="10">
        <v>10</v>
      </c>
      <c r="P3" s="10">
        <v>11</v>
      </c>
      <c r="Q3" s="10">
        <v>12</v>
      </c>
      <c r="R3" s="10">
        <v>13</v>
      </c>
      <c r="S3" s="10">
        <v>14</v>
      </c>
      <c r="T3" s="10">
        <v>15</v>
      </c>
    </row>
    <row r="4" spans="1:22">
      <c r="A4" s="5"/>
    </row>
    <row r="5" spans="1:22" s="181" customFormat="1" ht="21">
      <c r="A5" s="229" t="s">
        <v>237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</row>
    <row r="6" spans="1:22">
      <c r="A6" s="3" t="s">
        <v>238</v>
      </c>
      <c r="F6" s="185">
        <f t="shared" ref="F6:T6" si="0" xml:space="preserve"> F51</f>
        <v>0</v>
      </c>
      <c r="G6" s="185">
        <f t="shared" si="0"/>
        <v>0</v>
      </c>
      <c r="H6" s="185">
        <f t="shared" si="0"/>
        <v>0</v>
      </c>
      <c r="I6" s="185">
        <f t="shared" si="0"/>
        <v>7.1968750000000004</v>
      </c>
      <c r="J6" s="185">
        <f t="shared" si="0"/>
        <v>7.69625</v>
      </c>
      <c r="K6" s="185">
        <f t="shared" si="0"/>
        <v>8.2291124999999994</v>
      </c>
      <c r="L6" s="185">
        <f t="shared" si="0"/>
        <v>8.8054500000000004</v>
      </c>
      <c r="M6" s="185">
        <f t="shared" si="0"/>
        <v>9.4217375000000008</v>
      </c>
      <c r="N6" s="185">
        <f t="shared" si="0"/>
        <v>10.080912499999998</v>
      </c>
      <c r="O6" s="185">
        <f t="shared" si="0"/>
        <v>10.7865</v>
      </c>
      <c r="P6" s="185">
        <f t="shared" si="0"/>
        <v>11.541437499999999</v>
      </c>
      <c r="Q6" s="185">
        <f t="shared" si="0"/>
        <v>12.343375</v>
      </c>
      <c r="R6" s="185">
        <f t="shared" si="0"/>
        <v>13.195837500000001</v>
      </c>
      <c r="S6" s="185">
        <f t="shared" si="0"/>
        <v>14.1017625</v>
      </c>
      <c r="T6" s="185">
        <f t="shared" si="0"/>
        <v>15.065262500000001</v>
      </c>
    </row>
    <row r="7" spans="1:22">
      <c r="A7" s="3" t="s">
        <v>212</v>
      </c>
      <c r="F7" s="185">
        <f t="shared" ref="F7:T7" si="1">F59</f>
        <v>0</v>
      </c>
      <c r="G7" s="185">
        <f t="shared" si="1"/>
        <v>0</v>
      </c>
      <c r="H7" s="185">
        <f t="shared" si="1"/>
        <v>0</v>
      </c>
      <c r="I7" s="185">
        <f t="shared" si="1"/>
        <v>0.79625000000000012</v>
      </c>
      <c r="J7" s="185">
        <f t="shared" si="1"/>
        <v>0.85150000000000003</v>
      </c>
      <c r="K7" s="185">
        <f t="shared" si="1"/>
        <v>0.91045500000000001</v>
      </c>
      <c r="L7" s="185">
        <f t="shared" si="1"/>
        <v>0.97422000000000009</v>
      </c>
      <c r="M7" s="185">
        <f t="shared" si="1"/>
        <v>1.042405</v>
      </c>
      <c r="N7" s="185">
        <f t="shared" si="1"/>
        <v>1.115335</v>
      </c>
      <c r="O7" s="185">
        <f t="shared" si="1"/>
        <v>1.1934</v>
      </c>
      <c r="P7" s="185">
        <f t="shared" si="1"/>
        <v>1.2769250000000001</v>
      </c>
      <c r="Q7" s="185">
        <f t="shared" si="1"/>
        <v>1.36565</v>
      </c>
      <c r="R7" s="185">
        <f t="shared" si="1"/>
        <v>1.459965</v>
      </c>
      <c r="S7" s="185">
        <f t="shared" si="1"/>
        <v>1.560195</v>
      </c>
      <c r="T7" s="185">
        <f t="shared" si="1"/>
        <v>1.666795</v>
      </c>
    </row>
    <row r="8" spans="1:22">
      <c r="A8" s="3" t="s">
        <v>218</v>
      </c>
      <c r="F8" s="141">
        <f t="shared" ref="F8:T8" si="2" xml:space="preserve"> F66</f>
        <v>0</v>
      </c>
      <c r="G8" s="141">
        <f t="shared" si="2"/>
        <v>0</v>
      </c>
      <c r="H8" s="141">
        <f t="shared" si="2"/>
        <v>0</v>
      </c>
      <c r="I8" s="141">
        <f t="shared" si="2"/>
        <v>10.289265</v>
      </c>
      <c r="J8" s="141">
        <f t="shared" si="2"/>
        <v>11.003214</v>
      </c>
      <c r="K8" s="141">
        <f t="shared" si="2"/>
        <v>11.76503958</v>
      </c>
      <c r="L8" s="141">
        <f t="shared" si="2"/>
        <v>12.589020719999999</v>
      </c>
      <c r="M8" s="141">
        <f t="shared" si="2"/>
        <v>13.470117779999999</v>
      </c>
      <c r="N8" s="141">
        <f t="shared" si="2"/>
        <v>14.412530459999999</v>
      </c>
      <c r="O8" s="141">
        <f t="shared" si="2"/>
        <v>15.4212984</v>
      </c>
      <c r="P8" s="141">
        <f t="shared" si="2"/>
        <v>16.500621299999999</v>
      </c>
      <c r="Q8" s="141">
        <f t="shared" si="2"/>
        <v>17.6471394</v>
      </c>
      <c r="R8" s="141">
        <f t="shared" si="2"/>
        <v>18.865892340000002</v>
      </c>
      <c r="S8" s="141">
        <f t="shared" si="2"/>
        <v>20.161079819999998</v>
      </c>
      <c r="T8" s="141">
        <f t="shared" si="2"/>
        <v>21.53858142</v>
      </c>
    </row>
    <row r="9" spans="1:22">
      <c r="A9" s="3" t="s">
        <v>222</v>
      </c>
      <c r="F9" s="141">
        <f t="shared" ref="F9:T9" si="3" xml:space="preserve"> F71</f>
        <v>0</v>
      </c>
      <c r="G9" s="141">
        <f t="shared" si="3"/>
        <v>0</v>
      </c>
      <c r="H9" s="141">
        <f t="shared" si="3"/>
        <v>0</v>
      </c>
      <c r="I9" s="141">
        <f t="shared" si="3"/>
        <v>2.68275</v>
      </c>
      <c r="J9" s="141">
        <f t="shared" si="3"/>
        <v>2.8689</v>
      </c>
      <c r="K9" s="141">
        <f t="shared" si="3"/>
        <v>3.0675330000000001</v>
      </c>
      <c r="L9" s="141">
        <f t="shared" si="3"/>
        <v>3.2823720000000001</v>
      </c>
      <c r="M9" s="141">
        <f t="shared" si="3"/>
        <v>3.5121030000000002</v>
      </c>
      <c r="N9" s="141">
        <f t="shared" si="3"/>
        <v>3.7578209999999999</v>
      </c>
      <c r="O9" s="141">
        <f t="shared" si="3"/>
        <v>4.0208400000000006</v>
      </c>
      <c r="P9" s="141">
        <f t="shared" si="3"/>
        <v>4.3022550000000006</v>
      </c>
      <c r="Q9" s="141">
        <f t="shared" si="3"/>
        <v>4.6011900000000008</v>
      </c>
      <c r="R9" s="141">
        <f t="shared" si="3"/>
        <v>4.9189590000000001</v>
      </c>
      <c r="S9" s="141">
        <f t="shared" si="3"/>
        <v>5.2566569999999997</v>
      </c>
      <c r="T9" s="141">
        <f t="shared" si="3"/>
        <v>5.6158169999999998</v>
      </c>
    </row>
    <row r="10" spans="1:22">
      <c r="A10" s="3" t="s">
        <v>225</v>
      </c>
      <c r="F10" s="141">
        <f t="shared" ref="F10:T10" si="4" xml:space="preserve"> F75</f>
        <v>0</v>
      </c>
      <c r="G10" s="141">
        <f t="shared" si="4"/>
        <v>0</v>
      </c>
      <c r="H10" s="141">
        <f t="shared" si="4"/>
        <v>0</v>
      </c>
      <c r="I10" s="141">
        <f t="shared" si="4"/>
        <v>1.4393750000000001</v>
      </c>
      <c r="J10" s="141">
        <f t="shared" si="4"/>
        <v>1.53925</v>
      </c>
      <c r="K10" s="141">
        <f t="shared" si="4"/>
        <v>1.6458225</v>
      </c>
      <c r="L10" s="141">
        <f t="shared" si="4"/>
        <v>1.7610899999999998</v>
      </c>
      <c r="M10" s="141">
        <f t="shared" si="4"/>
        <v>1.8843475000000001</v>
      </c>
      <c r="N10" s="141">
        <f t="shared" si="4"/>
        <v>2.0161825000000002</v>
      </c>
      <c r="O10" s="141">
        <f t="shared" si="4"/>
        <v>2.1573000000000002</v>
      </c>
      <c r="P10" s="141">
        <f t="shared" si="4"/>
        <v>2.3082875</v>
      </c>
      <c r="Q10" s="141">
        <f t="shared" si="4"/>
        <v>2.4686750000000002</v>
      </c>
      <c r="R10" s="141">
        <f t="shared" si="4"/>
        <v>2.6391675000000006</v>
      </c>
      <c r="S10" s="141">
        <f t="shared" si="4"/>
        <v>2.8203525000000003</v>
      </c>
      <c r="T10" s="141">
        <f t="shared" si="4"/>
        <v>3.0130524999999997</v>
      </c>
    </row>
    <row r="11" spans="1:22">
      <c r="A11" s="3" t="s">
        <v>236</v>
      </c>
      <c r="F11" s="142">
        <f t="shared" ref="F11:T11" si="5" xml:space="preserve"> F88</f>
        <v>0</v>
      </c>
      <c r="G11" s="142">
        <f t="shared" si="5"/>
        <v>0</v>
      </c>
      <c r="H11" s="142">
        <f t="shared" si="5"/>
        <v>0</v>
      </c>
      <c r="I11" s="142">
        <f t="shared" si="5"/>
        <v>0.90650000000000019</v>
      </c>
      <c r="J11" s="142">
        <f t="shared" si="5"/>
        <v>0.96940000000000004</v>
      </c>
      <c r="K11" s="142">
        <f t="shared" si="5"/>
        <v>1.0365180000000001</v>
      </c>
      <c r="L11" s="142">
        <f t="shared" si="5"/>
        <v>1.1091120000000001</v>
      </c>
      <c r="M11" s="142">
        <f t="shared" si="5"/>
        <v>1.1867380000000001</v>
      </c>
      <c r="N11" s="142">
        <f t="shared" si="5"/>
        <v>1.2697660000000002</v>
      </c>
      <c r="O11" s="142">
        <f t="shared" si="5"/>
        <v>1.3586400000000001</v>
      </c>
      <c r="P11" s="142">
        <f t="shared" si="5"/>
        <v>1.4537300000000002</v>
      </c>
      <c r="Q11" s="142">
        <f t="shared" si="5"/>
        <v>1.55474</v>
      </c>
      <c r="R11" s="142">
        <f t="shared" si="5"/>
        <v>1.6621140000000001</v>
      </c>
      <c r="S11" s="142">
        <f t="shared" si="5"/>
        <v>1.776222</v>
      </c>
      <c r="T11" s="142">
        <f t="shared" si="5"/>
        <v>1.8975819999999999</v>
      </c>
    </row>
    <row r="12" spans="1:22" s="24" customFormat="1">
      <c r="A12" s="24" t="s">
        <v>239</v>
      </c>
      <c r="F12" s="115">
        <f t="shared" ref="F12:T12" si="6">SUM(F6:F11)</f>
        <v>0</v>
      </c>
      <c r="G12" s="115">
        <f t="shared" si="6"/>
        <v>0</v>
      </c>
      <c r="H12" s="115">
        <f t="shared" si="6"/>
        <v>0</v>
      </c>
      <c r="I12" s="115">
        <f t="shared" si="6"/>
        <v>23.311014999999998</v>
      </c>
      <c r="J12" s="115">
        <f t="shared" si="6"/>
        <v>24.928514</v>
      </c>
      <c r="K12" s="115">
        <f t="shared" si="6"/>
        <v>26.654480580000001</v>
      </c>
      <c r="L12" s="115">
        <f t="shared" si="6"/>
        <v>28.521264719999998</v>
      </c>
      <c r="M12" s="115">
        <f t="shared" si="6"/>
        <v>30.517448780000002</v>
      </c>
      <c r="N12" s="115">
        <f t="shared" si="6"/>
        <v>32.652547459999994</v>
      </c>
      <c r="O12" s="115">
        <f t="shared" si="6"/>
        <v>34.937978399999999</v>
      </c>
      <c r="P12" s="115">
        <f t="shared" si="6"/>
        <v>37.383256299999999</v>
      </c>
      <c r="Q12" s="115">
        <f t="shared" si="6"/>
        <v>39.9807694</v>
      </c>
      <c r="R12" s="115">
        <f t="shared" si="6"/>
        <v>42.741935340000005</v>
      </c>
      <c r="S12" s="115">
        <f t="shared" si="6"/>
        <v>45.67626881999999</v>
      </c>
      <c r="T12" s="115">
        <f t="shared" si="6"/>
        <v>48.797090419999996</v>
      </c>
    </row>
    <row r="13" spans="1:22" s="24" customFormat="1">
      <c r="A13" s="24" t="s">
        <v>176</v>
      </c>
      <c r="F13" s="113" t="e">
        <f>(F12/REVENUE!N14)*100</f>
        <v>#DIV/0!</v>
      </c>
      <c r="G13" s="203" t="e">
        <f>(G12/REVENUE!O14)*100</f>
        <v>#DIV/0!</v>
      </c>
      <c r="H13" s="203" t="e">
        <f>(H12/REVENUE!P14)*100</f>
        <v>#DIV/0!</v>
      </c>
      <c r="I13" s="203" t="e">
        <f>(I12/REVENUE!Q14)*100</f>
        <v>#DIV/0!</v>
      </c>
      <c r="J13" s="203" t="e">
        <f>(J12/REVENUE!R14)*100</f>
        <v>#DIV/0!</v>
      </c>
      <c r="K13" s="203" t="e">
        <f>(K12/REVENUE!S14)*100</f>
        <v>#DIV/0!</v>
      </c>
      <c r="L13" s="203" t="e">
        <f>(L12/REVENUE!T14)*100</f>
        <v>#DIV/0!</v>
      </c>
      <c r="M13" s="203" t="e">
        <f>(M12/REVENUE!U14)*100</f>
        <v>#DIV/0!</v>
      </c>
      <c r="N13" s="203" t="e">
        <f>(N12/REVENUE!V14)*100</f>
        <v>#DIV/0!</v>
      </c>
      <c r="O13" s="203" t="e">
        <f>(O12/REVENUE!W14)*100</f>
        <v>#DIV/0!</v>
      </c>
      <c r="P13" s="203" t="e">
        <f>(P12/REVENUE!X14)*100</f>
        <v>#DIV/0!</v>
      </c>
      <c r="Q13" s="203" t="e">
        <f>(Q12/REVENUE!Y14)*100</f>
        <v>#DIV/0!</v>
      </c>
      <c r="R13" s="203" t="e">
        <f>(R12/REVENUE!Z14)*100</f>
        <v>#DIV/0!</v>
      </c>
      <c r="S13" s="203" t="e">
        <f>(S12/REVENUE!AA14)*100</f>
        <v>#DIV/0!</v>
      </c>
      <c r="T13" s="203" t="e">
        <f>(T12/REVENUE!AB14)*100</f>
        <v>#DIV/0!</v>
      </c>
    </row>
    <row r="15" spans="1:22" s="181" customFormat="1" ht="21">
      <c r="A15" s="229" t="s">
        <v>206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</row>
    <row r="17" spans="1:2">
      <c r="A17" s="22" t="s">
        <v>191</v>
      </c>
      <c r="B17" s="180" t="s">
        <v>437</v>
      </c>
    </row>
    <row r="18" spans="1:2">
      <c r="A18" s="3" t="s">
        <v>192</v>
      </c>
      <c r="B18" s="75">
        <v>1</v>
      </c>
    </row>
    <row r="19" spans="1:2">
      <c r="A19" s="3" t="s">
        <v>193</v>
      </c>
      <c r="B19" s="75">
        <v>7</v>
      </c>
    </row>
    <row r="20" spans="1:2">
      <c r="A20" s="3" t="s">
        <v>194</v>
      </c>
      <c r="B20" s="75">
        <v>10</v>
      </c>
    </row>
    <row r="21" spans="1:2">
      <c r="A21" s="3" t="s">
        <v>195</v>
      </c>
      <c r="B21" s="75">
        <v>8</v>
      </c>
    </row>
    <row r="22" spans="1:2">
      <c r="A22" s="3" t="s">
        <v>196</v>
      </c>
      <c r="B22" s="75">
        <v>13</v>
      </c>
    </row>
    <row r="23" spans="1:2">
      <c r="A23" s="3" t="s">
        <v>197</v>
      </c>
      <c r="B23" s="75">
        <v>5</v>
      </c>
    </row>
    <row r="24" spans="1:2">
      <c r="A24" s="3" t="s">
        <v>198</v>
      </c>
      <c r="B24" s="75">
        <v>6</v>
      </c>
    </row>
    <row r="25" spans="1:2">
      <c r="A25" s="3" t="s">
        <v>199</v>
      </c>
      <c r="B25" s="75">
        <v>3</v>
      </c>
    </row>
    <row r="26" spans="1:2">
      <c r="A26" s="3" t="s">
        <v>200</v>
      </c>
      <c r="B26" s="75">
        <v>4</v>
      </c>
    </row>
    <row r="27" spans="1:2">
      <c r="A27" s="3" t="s">
        <v>201</v>
      </c>
      <c r="B27" s="75">
        <v>10</v>
      </c>
    </row>
    <row r="28" spans="1:2">
      <c r="A28" s="3" t="s">
        <v>202</v>
      </c>
      <c r="B28" s="75">
        <v>5</v>
      </c>
    </row>
    <row r="29" spans="1:2">
      <c r="A29" s="3" t="s">
        <v>203</v>
      </c>
      <c r="B29" s="75">
        <v>10</v>
      </c>
    </row>
    <row r="31" spans="1:2">
      <c r="A31" s="25" t="s">
        <v>204</v>
      </c>
      <c r="B31" s="2">
        <f xml:space="preserve"> SUM(B18:B29)</f>
        <v>82</v>
      </c>
    </row>
    <row r="33" spans="1:22" s="181" customFormat="1" ht="21">
      <c r="A33" s="229" t="s">
        <v>205</v>
      </c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</row>
    <row r="34" spans="1:22">
      <c r="B34" t="s">
        <v>683</v>
      </c>
    </row>
    <row r="35" spans="1:22">
      <c r="A35" s="3" t="s">
        <v>192</v>
      </c>
      <c r="B35" s="179">
        <v>8000000</v>
      </c>
      <c r="F35" s="141">
        <v>0</v>
      </c>
      <c r="G35" s="141">
        <v>0</v>
      </c>
      <c r="H35" s="141">
        <v>0</v>
      </c>
      <c r="I35" s="141">
        <f>B35*I49/10000000</f>
        <v>0.98</v>
      </c>
      <c r="J35" s="141">
        <f>B35*J49/10000000</f>
        <v>1.048</v>
      </c>
      <c r="K35" s="141">
        <f>B35*K49/10000000</f>
        <v>1.12056</v>
      </c>
      <c r="L35" s="141">
        <f>B35*L49/10000000</f>
        <v>1.1990400000000001</v>
      </c>
      <c r="M35" s="141">
        <f>B35*M49/10000000</f>
        <v>1.2829600000000001</v>
      </c>
      <c r="N35" s="141">
        <f>B35*N49/10000000</f>
        <v>1.3727199999999999</v>
      </c>
      <c r="O35" s="141">
        <f>B35*O49/10000000</f>
        <v>1.4688000000000001</v>
      </c>
      <c r="P35" s="141">
        <f>B35*P49/10000000</f>
        <v>1.5716000000000001</v>
      </c>
      <c r="Q35" s="141">
        <f>B35*Q49/10000000</f>
        <v>1.6808000000000001</v>
      </c>
      <c r="R35" s="141">
        <f>B35*R49/10000000</f>
        <v>1.79688</v>
      </c>
      <c r="S35" s="141">
        <f>B35*S49/10000000</f>
        <v>1.9202399999999999</v>
      </c>
      <c r="T35" s="141">
        <f>B35*T49/10000000</f>
        <v>2.0514399999999999</v>
      </c>
    </row>
    <row r="36" spans="1:22">
      <c r="A36" s="3" t="s">
        <v>193</v>
      </c>
      <c r="B36" s="179">
        <v>4000000</v>
      </c>
      <c r="F36" s="141">
        <v>0</v>
      </c>
      <c r="G36" s="141">
        <v>0</v>
      </c>
      <c r="H36" s="141">
        <v>0</v>
      </c>
      <c r="I36" s="141">
        <f>B36*I49/10000000</f>
        <v>0.49</v>
      </c>
      <c r="J36" s="141">
        <f>B36*J49/10000000</f>
        <v>0.52400000000000002</v>
      </c>
      <c r="K36" s="141">
        <f>B36*K49/10000000</f>
        <v>0.56028</v>
      </c>
      <c r="L36" s="141">
        <f>B36*L49/10000000</f>
        <v>0.59952000000000005</v>
      </c>
      <c r="M36" s="141">
        <f>B36*M49/10000000</f>
        <v>0.64148000000000005</v>
      </c>
      <c r="N36" s="141">
        <f>B36*N49/10000000</f>
        <v>0.68635999999999997</v>
      </c>
      <c r="O36" s="141">
        <f>B36*O49/10000000</f>
        <v>0.73440000000000005</v>
      </c>
      <c r="P36" s="141">
        <f>B36*P49/10000000</f>
        <v>0.78580000000000005</v>
      </c>
      <c r="Q36" s="141">
        <f>B36*Q49/10000000</f>
        <v>0.84040000000000004</v>
      </c>
      <c r="R36" s="141">
        <f>B36*R49/10000000</f>
        <v>0.89844000000000002</v>
      </c>
      <c r="S36" s="141">
        <f>B36*S49/10000000</f>
        <v>0.96011999999999997</v>
      </c>
      <c r="T36" s="141">
        <f>B36*T49/10000000</f>
        <v>1.02572</v>
      </c>
    </row>
    <row r="37" spans="1:22">
      <c r="A37" s="3" t="s">
        <v>194</v>
      </c>
      <c r="B37" s="179">
        <v>5500000</v>
      </c>
      <c r="F37" s="141">
        <v>0</v>
      </c>
      <c r="G37" s="141">
        <v>0</v>
      </c>
      <c r="H37" s="141">
        <v>0</v>
      </c>
      <c r="I37" s="141">
        <f>B37*I49/10000000</f>
        <v>0.67375000000000007</v>
      </c>
      <c r="J37" s="141">
        <f>B37*J49/10000000</f>
        <v>0.72050000000000003</v>
      </c>
      <c r="K37" s="141">
        <f>B37*K49/10000000</f>
        <v>0.77038499999999999</v>
      </c>
      <c r="L37" s="141">
        <f>B37*L49/10000000</f>
        <v>0.82433999999999996</v>
      </c>
      <c r="M37" s="141">
        <f>B37*M49/10000000</f>
        <v>0.88203500000000001</v>
      </c>
      <c r="N37" s="141">
        <f>B37*N49/10000000</f>
        <v>0.94374499999999995</v>
      </c>
      <c r="O37" s="141">
        <f>B37*O49/10000000</f>
        <v>1.0098</v>
      </c>
      <c r="P37" s="141">
        <f>B37*P49/10000000</f>
        <v>1.0804750000000001</v>
      </c>
      <c r="Q37" s="141">
        <f>B37*Q49/10000000</f>
        <v>1.1555500000000001</v>
      </c>
      <c r="R37" s="141">
        <f>B37*R49/10000000</f>
        <v>1.2353550000000002</v>
      </c>
      <c r="S37" s="141">
        <f>B37*S49/10000000</f>
        <v>1.320165</v>
      </c>
      <c r="T37" s="141">
        <f>B37*T49/10000000</f>
        <v>1.4103649999999999</v>
      </c>
    </row>
    <row r="38" spans="1:22">
      <c r="A38" s="3" t="s">
        <v>195</v>
      </c>
      <c r="B38" s="179">
        <v>7500000</v>
      </c>
      <c r="F38" s="141">
        <v>0</v>
      </c>
      <c r="G38" s="141">
        <v>0</v>
      </c>
      <c r="H38" s="141">
        <v>0</v>
      </c>
      <c r="I38" s="141">
        <f>B38*I49/10000000</f>
        <v>0.91874999999999996</v>
      </c>
      <c r="J38" s="141">
        <f>B38*J49/10000000</f>
        <v>0.98250000000000004</v>
      </c>
      <c r="K38" s="141">
        <f>B38*K49/10000000</f>
        <v>1.0505249999999999</v>
      </c>
      <c r="L38" s="141">
        <f>B38*L49/10000000</f>
        <v>1.1241000000000001</v>
      </c>
      <c r="M38" s="141">
        <f>B38*M49/10000000</f>
        <v>1.2027749999999999</v>
      </c>
      <c r="N38" s="141">
        <f>B38*N49/10000000</f>
        <v>1.2869250000000001</v>
      </c>
      <c r="O38" s="141">
        <f>B38*O49/10000000</f>
        <v>1.377</v>
      </c>
      <c r="P38" s="141">
        <f>B38*P49/10000000</f>
        <v>1.4733750000000001</v>
      </c>
      <c r="Q38" s="141">
        <f>B38*Q49/10000000</f>
        <v>1.57575</v>
      </c>
      <c r="R38" s="141">
        <f>B38*R49/10000000</f>
        <v>1.6845749999999999</v>
      </c>
      <c r="S38" s="141">
        <f>B38*S49/10000000</f>
        <v>1.800225</v>
      </c>
      <c r="T38" s="141">
        <f>B38*T49/10000000</f>
        <v>1.923225</v>
      </c>
    </row>
    <row r="39" spans="1:22">
      <c r="A39" s="3" t="s">
        <v>196</v>
      </c>
      <c r="B39" s="179">
        <v>8000000</v>
      </c>
      <c r="F39" s="141">
        <v>0</v>
      </c>
      <c r="G39" s="141">
        <v>0</v>
      </c>
      <c r="H39" s="141">
        <v>0</v>
      </c>
      <c r="I39" s="141">
        <f>B39*I49/10000000</f>
        <v>0.98</v>
      </c>
      <c r="J39" s="141">
        <f>B39*J49/10000000</f>
        <v>1.048</v>
      </c>
      <c r="K39" s="141">
        <f>B39*K49/10000000</f>
        <v>1.12056</v>
      </c>
      <c r="L39" s="141">
        <f>B39*L49/10000000</f>
        <v>1.1990400000000001</v>
      </c>
      <c r="M39" s="141">
        <f>B39*M49/10000000</f>
        <v>1.2829600000000001</v>
      </c>
      <c r="N39" s="141">
        <f>B39*N49/10000000</f>
        <v>1.3727199999999999</v>
      </c>
      <c r="O39" s="141">
        <f>B39*O49/10000000</f>
        <v>1.4688000000000001</v>
      </c>
      <c r="P39" s="141">
        <f>B39*P49/10000000</f>
        <v>1.5716000000000001</v>
      </c>
      <c r="Q39" s="141">
        <f>B39*Q49/10000000</f>
        <v>1.6808000000000001</v>
      </c>
      <c r="R39" s="141">
        <f>B39*R49/10000000</f>
        <v>1.79688</v>
      </c>
      <c r="S39" s="141">
        <f>B39*S49/10000000</f>
        <v>1.9202399999999999</v>
      </c>
      <c r="T39" s="141">
        <f>B39*T49/10000000</f>
        <v>2.0514399999999999</v>
      </c>
    </row>
    <row r="40" spans="1:22">
      <c r="A40" s="3" t="s">
        <v>197</v>
      </c>
      <c r="B40" s="179">
        <v>3250000</v>
      </c>
      <c r="F40" s="141">
        <v>0</v>
      </c>
      <c r="G40" s="141">
        <v>0</v>
      </c>
      <c r="H40" s="141">
        <v>0</v>
      </c>
      <c r="I40" s="141">
        <f>B40*I49/10000000</f>
        <v>0.39812500000000006</v>
      </c>
      <c r="J40" s="141">
        <f>B40*J49/10000000</f>
        <v>0.42575000000000002</v>
      </c>
      <c r="K40" s="141">
        <f>B40*K49/10000000</f>
        <v>0.45522750000000001</v>
      </c>
      <c r="L40" s="141">
        <f>B40*L49/10000000</f>
        <v>0.48710999999999999</v>
      </c>
      <c r="M40" s="141">
        <f>B40*M49/10000000</f>
        <v>0.52120250000000001</v>
      </c>
      <c r="N40" s="141">
        <f>B40*N49/10000000</f>
        <v>0.55766749999999998</v>
      </c>
      <c r="O40" s="141">
        <f>B40*O49/10000000</f>
        <v>0.59670000000000001</v>
      </c>
      <c r="P40" s="141">
        <f>B40*P49/10000000</f>
        <v>0.63846250000000004</v>
      </c>
      <c r="Q40" s="141">
        <f>B40*Q49/10000000</f>
        <v>0.68282500000000002</v>
      </c>
      <c r="R40" s="141">
        <f>B40*R49/10000000</f>
        <v>0.72998250000000009</v>
      </c>
      <c r="S40" s="141">
        <f>B40*S49/10000000</f>
        <v>0.7800975</v>
      </c>
      <c r="T40" s="141">
        <f>B40*T49/10000000</f>
        <v>0.8333974999999999</v>
      </c>
    </row>
    <row r="41" spans="1:22">
      <c r="A41" s="3" t="s">
        <v>198</v>
      </c>
      <c r="B41" s="179">
        <v>4000000</v>
      </c>
      <c r="F41" s="141">
        <v>0</v>
      </c>
      <c r="G41" s="141">
        <v>0</v>
      </c>
      <c r="H41" s="141">
        <v>0</v>
      </c>
      <c r="I41" s="141">
        <f>B41*I49/10000000</f>
        <v>0.49</v>
      </c>
      <c r="J41" s="141">
        <f>B41*J49/10000000</f>
        <v>0.52400000000000002</v>
      </c>
      <c r="K41" s="141">
        <f>B41*K49/10000000</f>
        <v>0.56028</v>
      </c>
      <c r="L41" s="141">
        <f>B41*L49/10000000</f>
        <v>0.59952000000000005</v>
      </c>
      <c r="M41" s="141">
        <f>B41*M49/10000000</f>
        <v>0.64148000000000005</v>
      </c>
      <c r="N41" s="141">
        <f>B41*N49/10000000</f>
        <v>0.68635999999999997</v>
      </c>
      <c r="O41" s="141">
        <f>B41*O49/10000000</f>
        <v>0.73440000000000005</v>
      </c>
      <c r="P41" s="141">
        <f>B41*P49/10000000</f>
        <v>0.78580000000000005</v>
      </c>
      <c r="Q41" s="141">
        <f>B41*Q49/10000000</f>
        <v>0.84040000000000004</v>
      </c>
      <c r="R41" s="141">
        <f>B41*R49/10000000</f>
        <v>0.89844000000000002</v>
      </c>
      <c r="S41" s="141">
        <f>B41*S49/10000000</f>
        <v>0.96011999999999997</v>
      </c>
      <c r="T41" s="141">
        <f>B41*T49/10000000</f>
        <v>1.02572</v>
      </c>
    </row>
    <row r="42" spans="1:22">
      <c r="A42" s="3" t="s">
        <v>199</v>
      </c>
      <c r="B42" s="179">
        <v>2250000</v>
      </c>
      <c r="F42" s="141">
        <v>0</v>
      </c>
      <c r="G42" s="141">
        <v>0</v>
      </c>
      <c r="H42" s="141">
        <v>0</v>
      </c>
      <c r="I42" s="141">
        <f>B42*I49/10000000</f>
        <v>0.27562500000000001</v>
      </c>
      <c r="J42" s="141">
        <f>B42*J49/10000000</f>
        <v>0.29475000000000001</v>
      </c>
      <c r="K42" s="141">
        <f>B42*K49/10000000</f>
        <v>0.31515749999999998</v>
      </c>
      <c r="L42" s="141">
        <f>B42*L49/10000000</f>
        <v>0.33722999999999997</v>
      </c>
      <c r="M42" s="141">
        <f>B42*M49/10000000</f>
        <v>0.3608325</v>
      </c>
      <c r="N42" s="141">
        <f>B42*N49/10000000</f>
        <v>0.38607750000000002</v>
      </c>
      <c r="O42" s="141">
        <f>B42*O49/10000000</f>
        <v>0.41310000000000002</v>
      </c>
      <c r="P42" s="141">
        <f>B42*P49/10000000</f>
        <v>0.44201249999999997</v>
      </c>
      <c r="Q42" s="141">
        <f>B42*Q49/10000000</f>
        <v>0.47272500000000001</v>
      </c>
      <c r="R42" s="141">
        <f>B42*R49/10000000</f>
        <v>0.50537250000000011</v>
      </c>
      <c r="S42" s="141">
        <f>B42*S49/10000000</f>
        <v>0.54006750000000003</v>
      </c>
      <c r="T42" s="141">
        <f>B42*T49/10000000</f>
        <v>0.57696749999999997</v>
      </c>
    </row>
    <row r="43" spans="1:22">
      <c r="A43" s="3" t="s">
        <v>200</v>
      </c>
      <c r="B43" s="179">
        <v>3000000</v>
      </c>
      <c r="F43" s="141">
        <v>0</v>
      </c>
      <c r="G43" s="141">
        <v>0</v>
      </c>
      <c r="H43" s="141">
        <v>0</v>
      </c>
      <c r="I43" s="141">
        <f>B43*I49/10000000</f>
        <v>0.36750000000000005</v>
      </c>
      <c r="J43" s="141">
        <f>B43*J49/10000000</f>
        <v>0.39300000000000002</v>
      </c>
      <c r="K43" s="141">
        <f>B43*K49/10000000</f>
        <v>0.42020999999999997</v>
      </c>
      <c r="L43" s="141">
        <f>B43*L49/10000000</f>
        <v>0.44963999999999998</v>
      </c>
      <c r="M43" s="141">
        <f>B43*M49/10000000</f>
        <v>0.48110999999999998</v>
      </c>
      <c r="N43" s="141">
        <f>B43*N49/10000000</f>
        <v>0.51476999999999995</v>
      </c>
      <c r="O43" s="141">
        <f>B43*O49/10000000</f>
        <v>0.55079999999999996</v>
      </c>
      <c r="P43" s="141">
        <f>B43*P49/10000000</f>
        <v>0.58935000000000004</v>
      </c>
      <c r="Q43" s="141">
        <f>B43*Q49/10000000</f>
        <v>0.63029999999999997</v>
      </c>
      <c r="R43" s="141">
        <f>B43*R49/10000000</f>
        <v>0.67383000000000004</v>
      </c>
      <c r="S43" s="141">
        <f>B43*S49/10000000</f>
        <v>0.72009000000000001</v>
      </c>
      <c r="T43" s="141">
        <f>B43*T49/10000000</f>
        <v>0.76928999999999992</v>
      </c>
    </row>
    <row r="44" spans="1:22">
      <c r="A44" s="3" t="s">
        <v>201</v>
      </c>
      <c r="B44" s="179">
        <v>3250000</v>
      </c>
      <c r="F44" s="141">
        <v>0</v>
      </c>
      <c r="G44" s="141">
        <v>0</v>
      </c>
      <c r="H44" s="141">
        <v>0</v>
      </c>
      <c r="I44" s="141">
        <f>B44*I49/10000000</f>
        <v>0.39812500000000006</v>
      </c>
      <c r="J44" s="141">
        <f>B44*J49/10000000</f>
        <v>0.42575000000000002</v>
      </c>
      <c r="K44" s="141">
        <f>B44*K49/10000000</f>
        <v>0.45522750000000001</v>
      </c>
      <c r="L44" s="141">
        <f>B44*L49/10000000</f>
        <v>0.48710999999999999</v>
      </c>
      <c r="M44" s="141">
        <f>B44*M49/10000000</f>
        <v>0.52120250000000001</v>
      </c>
      <c r="N44" s="141">
        <f>B44*N49/10000000</f>
        <v>0.55766749999999998</v>
      </c>
      <c r="O44" s="141">
        <f>B44*O49/10000000</f>
        <v>0.59670000000000001</v>
      </c>
      <c r="P44" s="141">
        <f>B44*P49/10000000</f>
        <v>0.63846250000000004</v>
      </c>
      <c r="Q44" s="141">
        <f>B44*Q49/10000000</f>
        <v>0.68282500000000002</v>
      </c>
      <c r="R44" s="141">
        <f>B44*R49/10000000</f>
        <v>0.72998250000000009</v>
      </c>
      <c r="S44" s="141">
        <f>B44*S49/10000000</f>
        <v>0.7800975</v>
      </c>
      <c r="T44" s="141">
        <f>B44*T49/10000000</f>
        <v>0.8333974999999999</v>
      </c>
    </row>
    <row r="45" spans="1:22">
      <c r="A45" s="3" t="s">
        <v>202</v>
      </c>
      <c r="B45" s="179">
        <v>4500000</v>
      </c>
      <c r="F45" s="141">
        <v>0</v>
      </c>
      <c r="G45" s="141">
        <v>0</v>
      </c>
      <c r="H45" s="141">
        <v>0</v>
      </c>
      <c r="I45" s="141">
        <f>B45*I49/10000000</f>
        <v>0.55125000000000002</v>
      </c>
      <c r="J45" s="141">
        <f>B45*J49/10000000</f>
        <v>0.58950000000000002</v>
      </c>
      <c r="K45" s="141">
        <f>B45*K49/10000000</f>
        <v>0.63031499999999996</v>
      </c>
      <c r="L45" s="141">
        <f>B45*L49/10000000</f>
        <v>0.67445999999999995</v>
      </c>
      <c r="M45" s="141">
        <f>B45*M49/10000000</f>
        <v>0.721665</v>
      </c>
      <c r="N45" s="141">
        <f>B45*N49/10000000</f>
        <v>0.77215500000000004</v>
      </c>
      <c r="O45" s="141">
        <f>B45*O49/10000000</f>
        <v>0.82620000000000005</v>
      </c>
      <c r="P45" s="141">
        <f>B45*P49/10000000</f>
        <v>0.88402499999999995</v>
      </c>
      <c r="Q45" s="141">
        <f>B45*Q49/10000000</f>
        <v>0.94545000000000001</v>
      </c>
      <c r="R45" s="141">
        <f>B45*R49/10000000</f>
        <v>1.0107450000000002</v>
      </c>
      <c r="S45" s="141">
        <f>B45*S49/10000000</f>
        <v>1.0801350000000001</v>
      </c>
      <c r="T45" s="141">
        <f>B45*T49/10000000</f>
        <v>1.1539349999999999</v>
      </c>
    </row>
    <row r="46" spans="1:22">
      <c r="A46" s="3" t="s">
        <v>203</v>
      </c>
      <c r="B46" s="179">
        <v>5500000</v>
      </c>
      <c r="F46" s="141">
        <v>0</v>
      </c>
      <c r="G46" s="141">
        <v>0</v>
      </c>
      <c r="H46" s="141">
        <v>0</v>
      </c>
      <c r="I46" s="141">
        <f>B46*I49/10000000</f>
        <v>0.67375000000000007</v>
      </c>
      <c r="J46" s="141">
        <f>B46*J49/10000000</f>
        <v>0.72050000000000003</v>
      </c>
      <c r="K46" s="141">
        <f>B46*K49/10000000</f>
        <v>0.77038499999999999</v>
      </c>
      <c r="L46" s="141">
        <f>B46*L49/10000000</f>
        <v>0.82433999999999996</v>
      </c>
      <c r="M46" s="141">
        <f>B46*M49/10000000</f>
        <v>0.88203500000000001</v>
      </c>
      <c r="N46" s="141">
        <f>B46*N49/10000000</f>
        <v>0.94374499999999995</v>
      </c>
      <c r="O46" s="141">
        <f>B46*O49/10000000</f>
        <v>1.0098</v>
      </c>
      <c r="P46" s="141">
        <f>B46*P49/10000000</f>
        <v>1.0804750000000001</v>
      </c>
      <c r="Q46" s="141">
        <f>B46*Q49/10000000</f>
        <v>1.1555500000000001</v>
      </c>
      <c r="R46" s="141">
        <f>B46*R49/10000000</f>
        <v>1.2353550000000002</v>
      </c>
      <c r="S46" s="141">
        <f>B46*S49/10000000</f>
        <v>1.320165</v>
      </c>
      <c r="T46" s="141">
        <f>B46*T49/10000000</f>
        <v>1.4103649999999999</v>
      </c>
    </row>
    <row r="48" spans="1:22">
      <c r="A48" s="20" t="s">
        <v>54</v>
      </c>
      <c r="B48" s="20"/>
      <c r="F48" s="150">
        <v>7.0000000000000007E-2</v>
      </c>
      <c r="G48" s="150">
        <v>7.0000000000000007E-2</v>
      </c>
      <c r="H48" s="150">
        <v>7.0000000000000007E-2</v>
      </c>
      <c r="I48" s="150">
        <v>7.0000000000000007E-2</v>
      </c>
      <c r="J48" s="150">
        <v>7.0000000000000007E-2</v>
      </c>
      <c r="K48" s="150">
        <v>7.0000000000000007E-2</v>
      </c>
      <c r="L48" s="150">
        <v>7.0000000000000007E-2</v>
      </c>
      <c r="M48" s="150">
        <v>7.0000000000000007E-2</v>
      </c>
      <c r="N48" s="150">
        <v>7.0000000000000007E-2</v>
      </c>
      <c r="O48" s="150">
        <v>7.0000000000000007E-2</v>
      </c>
      <c r="P48" s="150">
        <v>7.0000000000000007E-2</v>
      </c>
      <c r="Q48" s="150">
        <v>7.0000000000000007E-2</v>
      </c>
      <c r="R48" s="150">
        <v>7.0000000000000007E-2</v>
      </c>
      <c r="S48" s="150">
        <v>7.0000000000000007E-2</v>
      </c>
      <c r="T48" s="150">
        <v>7.0000000000000007E-2</v>
      </c>
      <c r="U48" s="100"/>
      <c r="V48" s="100"/>
    </row>
    <row r="49" spans="1:22">
      <c r="A49" s="20" t="s">
        <v>55</v>
      </c>
      <c r="B49" s="20"/>
      <c r="F49" s="59">
        <v>1</v>
      </c>
      <c r="G49" s="59">
        <v>1.07</v>
      </c>
      <c r="H49" s="59">
        <v>1.1449</v>
      </c>
      <c r="I49" s="59">
        <v>1.2250000000000001</v>
      </c>
      <c r="J49" s="59">
        <v>1.31</v>
      </c>
      <c r="K49" s="59">
        <v>1.4007000000000001</v>
      </c>
      <c r="L49" s="59">
        <v>1.4987999999999999</v>
      </c>
      <c r="M49" s="59">
        <v>1.6036999999999999</v>
      </c>
      <c r="N49" s="59">
        <v>1.7159</v>
      </c>
      <c r="O49" s="59">
        <v>1.8360000000000001</v>
      </c>
      <c r="P49" s="59">
        <v>1.9644999999999999</v>
      </c>
      <c r="Q49" s="59">
        <v>2.101</v>
      </c>
      <c r="R49" s="59">
        <v>2.2461000000000002</v>
      </c>
      <c r="S49" s="59">
        <v>2.4003000000000001</v>
      </c>
      <c r="T49" s="59">
        <v>2.5642999999999998</v>
      </c>
    </row>
    <row r="51" spans="1:22">
      <c r="A51" s="24" t="s">
        <v>207</v>
      </c>
      <c r="B51" s="14"/>
      <c r="F51" s="185">
        <f xml:space="preserve"> SUM(F35:F46)</f>
        <v>0</v>
      </c>
      <c r="G51" s="185">
        <f t="shared" ref="G51:T51" si="7" xml:space="preserve"> SUM(G35:G46)</f>
        <v>0</v>
      </c>
      <c r="H51" s="185">
        <f t="shared" si="7"/>
        <v>0</v>
      </c>
      <c r="I51" s="185">
        <f t="shared" si="7"/>
        <v>7.1968750000000004</v>
      </c>
      <c r="J51" s="185">
        <f t="shared" si="7"/>
        <v>7.69625</v>
      </c>
      <c r="K51" s="185">
        <f t="shared" si="7"/>
        <v>8.2291124999999994</v>
      </c>
      <c r="L51" s="185">
        <f t="shared" si="7"/>
        <v>8.8054500000000004</v>
      </c>
      <c r="M51" s="185">
        <f t="shared" si="7"/>
        <v>9.4217375000000008</v>
      </c>
      <c r="N51" s="185">
        <f t="shared" si="7"/>
        <v>10.080912499999998</v>
      </c>
      <c r="O51" s="185">
        <f t="shared" si="7"/>
        <v>10.7865</v>
      </c>
      <c r="P51" s="185">
        <f t="shared" si="7"/>
        <v>11.541437499999999</v>
      </c>
      <c r="Q51" s="185">
        <f t="shared" si="7"/>
        <v>12.343375</v>
      </c>
      <c r="R51" s="185">
        <f t="shared" si="7"/>
        <v>13.195837500000001</v>
      </c>
      <c r="S51" s="185">
        <f t="shared" si="7"/>
        <v>14.1017625</v>
      </c>
      <c r="T51" s="185">
        <f t="shared" si="7"/>
        <v>15.065262500000001</v>
      </c>
    </row>
    <row r="53" spans="1:22" s="181" customFormat="1" ht="21">
      <c r="A53" s="229" t="s">
        <v>208</v>
      </c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</row>
    <row r="55" spans="1:22">
      <c r="A55" s="3" t="s">
        <v>209</v>
      </c>
      <c r="B55" s="179">
        <v>2000000</v>
      </c>
      <c r="F55" s="163">
        <v>0</v>
      </c>
      <c r="G55" s="163">
        <v>0</v>
      </c>
      <c r="H55" s="163">
        <v>0</v>
      </c>
      <c r="I55" s="59">
        <f>B55*I49/10000000</f>
        <v>0.245</v>
      </c>
      <c r="J55" s="59">
        <f>B55*J49/10000000</f>
        <v>0.26200000000000001</v>
      </c>
      <c r="K55" s="59">
        <f>B55*K49/10000000</f>
        <v>0.28014</v>
      </c>
      <c r="L55" s="59">
        <f>B55*L49/10000000</f>
        <v>0.29976000000000003</v>
      </c>
      <c r="M55" s="59">
        <f>B55*M49/10000000</f>
        <v>0.32074000000000003</v>
      </c>
      <c r="N55" s="59">
        <f>B55*N49/10000000</f>
        <v>0.34317999999999999</v>
      </c>
      <c r="O55" s="59">
        <f>B55*O49/10000000</f>
        <v>0.36720000000000003</v>
      </c>
      <c r="P55" s="59">
        <f>B55*P49/10000000</f>
        <v>0.39290000000000003</v>
      </c>
      <c r="Q55" s="59">
        <f>B55*Q49/10000000</f>
        <v>0.42020000000000002</v>
      </c>
      <c r="R55" s="59">
        <f>B55*R49/10000000</f>
        <v>0.44922000000000001</v>
      </c>
      <c r="S55" s="59">
        <f>B55*S49/10000000</f>
        <v>0.48005999999999999</v>
      </c>
      <c r="T55" s="59">
        <f>B55*T49/10000000</f>
        <v>0.51285999999999998</v>
      </c>
    </row>
    <row r="56" spans="1:22">
      <c r="A56" s="3" t="s">
        <v>210</v>
      </c>
      <c r="B56" s="179">
        <v>1500000</v>
      </c>
      <c r="F56" s="163">
        <v>0</v>
      </c>
      <c r="G56" s="163">
        <v>0</v>
      </c>
      <c r="H56" s="163">
        <v>0</v>
      </c>
      <c r="I56" s="59">
        <f>B56*I49/10000000</f>
        <v>0.18375000000000002</v>
      </c>
      <c r="J56" s="59">
        <f>B56*J49/10000000</f>
        <v>0.19650000000000001</v>
      </c>
      <c r="K56" s="59">
        <f>B56*K49/10000000</f>
        <v>0.21010499999999999</v>
      </c>
      <c r="L56" s="59">
        <f>B56*L49/10000000</f>
        <v>0.22481999999999999</v>
      </c>
      <c r="M56" s="59">
        <f>B56*M49/10000000</f>
        <v>0.24055499999999999</v>
      </c>
      <c r="N56" s="59">
        <f>B56*N49/10000000</f>
        <v>0.25738499999999997</v>
      </c>
      <c r="O56" s="59">
        <f>B56*O49/10000000</f>
        <v>0.27539999999999998</v>
      </c>
      <c r="P56" s="59">
        <f>B56*P49/10000000</f>
        <v>0.29467500000000002</v>
      </c>
      <c r="Q56" s="59">
        <f>B56*Q49/10000000</f>
        <v>0.31514999999999999</v>
      </c>
      <c r="R56" s="59">
        <f>B56*R49/10000000</f>
        <v>0.33691500000000002</v>
      </c>
      <c r="S56" s="59">
        <f>B56*S49/10000000</f>
        <v>0.360045</v>
      </c>
      <c r="T56" s="59">
        <f>B56*T49/10000000</f>
        <v>0.38464499999999996</v>
      </c>
    </row>
    <row r="57" spans="1:22">
      <c r="A57" s="3" t="s">
        <v>211</v>
      </c>
      <c r="B57" s="179">
        <v>3000000</v>
      </c>
      <c r="F57" s="163">
        <v>0</v>
      </c>
      <c r="G57" s="163">
        <v>0</v>
      </c>
      <c r="H57" s="163">
        <v>0</v>
      </c>
      <c r="I57" s="59">
        <f>B57*I49/10000000</f>
        <v>0.36750000000000005</v>
      </c>
      <c r="J57" s="59">
        <f>B57*J49/10000000</f>
        <v>0.39300000000000002</v>
      </c>
      <c r="K57" s="59">
        <f>B57*K49/10000000</f>
        <v>0.42020999999999997</v>
      </c>
      <c r="L57" s="59">
        <f>B57*L49/10000000</f>
        <v>0.44963999999999998</v>
      </c>
      <c r="M57" s="59">
        <f>B57*M49/10000000</f>
        <v>0.48110999999999998</v>
      </c>
      <c r="N57" s="59">
        <f>B57*N49/10000000</f>
        <v>0.51476999999999995</v>
      </c>
      <c r="O57" s="59">
        <f>B57*O49/10000000</f>
        <v>0.55079999999999996</v>
      </c>
      <c r="P57" s="59">
        <f>B57*P49/10000000</f>
        <v>0.58935000000000004</v>
      </c>
      <c r="Q57" s="59">
        <f>B57*Q49/10000000</f>
        <v>0.63029999999999997</v>
      </c>
      <c r="R57" s="59">
        <f>B57*R49/10000000</f>
        <v>0.67383000000000004</v>
      </c>
      <c r="S57" s="59">
        <f>B57*S49/10000000</f>
        <v>0.72009000000000001</v>
      </c>
      <c r="T57" s="59">
        <f>B57*T49/10000000</f>
        <v>0.76928999999999992</v>
      </c>
    </row>
    <row r="59" spans="1:22">
      <c r="A59" s="24" t="s">
        <v>213</v>
      </c>
      <c r="B59" s="14"/>
      <c r="F59" s="185">
        <f xml:space="preserve"> SUM(F55:F57)</f>
        <v>0</v>
      </c>
      <c r="G59" s="185">
        <f t="shared" ref="G59:S59" si="8" xml:space="preserve"> SUM(G55:G57)</f>
        <v>0</v>
      </c>
      <c r="H59" s="185">
        <f t="shared" si="8"/>
        <v>0</v>
      </c>
      <c r="I59" s="185">
        <f t="shared" si="8"/>
        <v>0.79625000000000012</v>
      </c>
      <c r="J59" s="185">
        <f t="shared" si="8"/>
        <v>0.85150000000000003</v>
      </c>
      <c r="K59" s="185">
        <f t="shared" si="8"/>
        <v>0.91045500000000001</v>
      </c>
      <c r="L59" s="185">
        <f t="shared" si="8"/>
        <v>0.97422000000000009</v>
      </c>
      <c r="M59" s="185">
        <f t="shared" si="8"/>
        <v>1.042405</v>
      </c>
      <c r="N59" s="185">
        <f t="shared" si="8"/>
        <v>1.115335</v>
      </c>
      <c r="O59" s="185">
        <f t="shared" si="8"/>
        <v>1.1934</v>
      </c>
      <c r="P59" s="185">
        <f t="shared" si="8"/>
        <v>1.2769250000000001</v>
      </c>
      <c r="Q59" s="185">
        <f t="shared" si="8"/>
        <v>1.36565</v>
      </c>
      <c r="R59" s="185">
        <f t="shared" si="8"/>
        <v>1.459965</v>
      </c>
      <c r="S59" s="185">
        <f t="shared" si="8"/>
        <v>1.560195</v>
      </c>
      <c r="T59" s="185">
        <f xml:space="preserve"> SUM(T55:T57)</f>
        <v>1.666795</v>
      </c>
    </row>
    <row r="61" spans="1:22" s="181" customFormat="1" ht="21">
      <c r="A61" s="229" t="s">
        <v>214</v>
      </c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</row>
    <row r="63" spans="1:22">
      <c r="A63" s="3" t="s">
        <v>215</v>
      </c>
      <c r="B63" s="179">
        <v>15498000</v>
      </c>
      <c r="F63" s="141">
        <v>0</v>
      </c>
      <c r="G63" s="141">
        <v>0</v>
      </c>
      <c r="H63" s="141">
        <v>0</v>
      </c>
      <c r="I63" s="141">
        <f>B63*I49/10000000</f>
        <v>1.8985050000000001</v>
      </c>
      <c r="J63" s="141">
        <f>B63*J49/10000000</f>
        <v>2.0302380000000002</v>
      </c>
      <c r="K63" s="141">
        <f>B63*K49/10000000</f>
        <v>2.1708048600000001</v>
      </c>
      <c r="L63" s="141">
        <f>B63*L49/10000000</f>
        <v>2.3228402399999997</v>
      </c>
      <c r="M63" s="141">
        <f>B63*M49/10000000</f>
        <v>2.4854142599999998</v>
      </c>
      <c r="N63" s="141">
        <f>B63*N49/10000000</f>
        <v>2.65930182</v>
      </c>
      <c r="O63" s="141">
        <f>B63*O49/10000000</f>
        <v>2.8454328000000002</v>
      </c>
      <c r="P63" s="141">
        <f>B63*P49/10000000</f>
        <v>3.0445821</v>
      </c>
      <c r="Q63" s="141">
        <f>B63*Q49/10000000</f>
        <v>3.2561298000000001</v>
      </c>
      <c r="R63" s="141">
        <f>B63*R49/10000000</f>
        <v>3.4810057800000003</v>
      </c>
      <c r="S63" s="141">
        <f>B63*S49/10000000</f>
        <v>3.7199849399999998</v>
      </c>
      <c r="T63" s="141">
        <f>B63*T49/10000000</f>
        <v>3.9741521399999997</v>
      </c>
    </row>
    <row r="64" spans="1:22">
      <c r="A64" s="3" t="s">
        <v>216</v>
      </c>
      <c r="B64" s="179">
        <v>30996000</v>
      </c>
      <c r="F64" s="141">
        <v>0</v>
      </c>
      <c r="G64" s="141">
        <v>0</v>
      </c>
      <c r="H64" s="141">
        <v>0</v>
      </c>
      <c r="I64" s="141">
        <f>B64*I49/10000000</f>
        <v>3.7970100000000002</v>
      </c>
      <c r="J64" s="141">
        <f>B64*J49/10000000</f>
        <v>4.0604760000000004</v>
      </c>
      <c r="K64" s="141">
        <f>B64*K49/10000000</f>
        <v>4.3416097200000001</v>
      </c>
      <c r="L64" s="141">
        <f>B64*L49/10000000</f>
        <v>4.6456804799999993</v>
      </c>
      <c r="M64" s="141">
        <f>B64*M49/10000000</f>
        <v>4.9708285199999995</v>
      </c>
      <c r="N64" s="141">
        <f>B64*N49/10000000</f>
        <v>5.3186036400000001</v>
      </c>
      <c r="O64" s="141">
        <f>B64*O49/10000000</f>
        <v>5.6908656000000004</v>
      </c>
      <c r="P64" s="141">
        <f>B64*P49/10000000</f>
        <v>6.0891641999999999</v>
      </c>
      <c r="Q64" s="141">
        <f>B64*Q49/10000000</f>
        <v>6.5122596000000001</v>
      </c>
      <c r="R64" s="141">
        <f>B64*R49/10000000</f>
        <v>6.9620115600000005</v>
      </c>
      <c r="S64" s="141">
        <f>B64*S49/10000000</f>
        <v>7.4399698799999996</v>
      </c>
      <c r="T64" s="141">
        <f>B64*T49/10000000</f>
        <v>7.9483042799999994</v>
      </c>
    </row>
    <row r="65" spans="1:20">
      <c r="A65" s="3" t="s">
        <v>217</v>
      </c>
      <c r="B65" s="179">
        <v>37500000</v>
      </c>
      <c r="F65" s="141">
        <v>0</v>
      </c>
      <c r="G65" s="141">
        <v>0</v>
      </c>
      <c r="H65" s="141">
        <v>0</v>
      </c>
      <c r="I65" s="141">
        <f>B65*I49/10000000</f>
        <v>4.59375</v>
      </c>
      <c r="J65" s="141">
        <f>B65*J49/10000000</f>
        <v>4.9124999999999996</v>
      </c>
      <c r="K65" s="141">
        <f>B65*K49/10000000</f>
        <v>5.2526250000000001</v>
      </c>
      <c r="L65" s="141">
        <f>B65*L49/10000000</f>
        <v>5.6204999999999998</v>
      </c>
      <c r="M65" s="141">
        <f>B65*M49/10000000</f>
        <v>6.0138749999999996</v>
      </c>
      <c r="N65" s="141">
        <f>B65*N49/10000000</f>
        <v>6.4346249999999996</v>
      </c>
      <c r="O65" s="141">
        <f>B65*O49/10000000</f>
        <v>6.8849999999999998</v>
      </c>
      <c r="P65" s="141">
        <f>B65*P49/10000000</f>
        <v>7.3668750000000003</v>
      </c>
      <c r="Q65" s="141">
        <f>B65*Q49/10000000</f>
        <v>7.8787500000000001</v>
      </c>
      <c r="R65" s="141">
        <f>B65*R49/10000000</f>
        <v>8.4228750000000012</v>
      </c>
      <c r="S65" s="141">
        <f>B65*S49/10000000</f>
        <v>9.001125</v>
      </c>
      <c r="T65" s="141">
        <f>B65*T49/10000000</f>
        <v>9.6161250000000003</v>
      </c>
    </row>
    <row r="66" spans="1:20">
      <c r="A66" s="24" t="s">
        <v>218</v>
      </c>
      <c r="B66" s="74">
        <f>SUM(B63:B65)/10000000</f>
        <v>8.3994</v>
      </c>
      <c r="F66" s="141">
        <f xml:space="preserve"> SUM(F63:F65)</f>
        <v>0</v>
      </c>
      <c r="G66" s="141">
        <f t="shared" ref="G66:T66" si="9" xml:space="preserve"> SUM(G63:G65)</f>
        <v>0</v>
      </c>
      <c r="H66" s="141">
        <f t="shared" si="9"/>
        <v>0</v>
      </c>
      <c r="I66" s="141">
        <f t="shared" si="9"/>
        <v>10.289265</v>
      </c>
      <c r="J66" s="141">
        <f t="shared" si="9"/>
        <v>11.003214</v>
      </c>
      <c r="K66" s="141">
        <f t="shared" si="9"/>
        <v>11.76503958</v>
      </c>
      <c r="L66" s="141">
        <f t="shared" si="9"/>
        <v>12.589020719999999</v>
      </c>
      <c r="M66" s="141">
        <f t="shared" si="9"/>
        <v>13.470117779999999</v>
      </c>
      <c r="N66" s="141">
        <f t="shared" si="9"/>
        <v>14.412530459999999</v>
      </c>
      <c r="O66" s="141">
        <f t="shared" si="9"/>
        <v>15.4212984</v>
      </c>
      <c r="P66" s="141">
        <f t="shared" si="9"/>
        <v>16.500621299999999</v>
      </c>
      <c r="Q66" s="141">
        <f t="shared" si="9"/>
        <v>17.6471394</v>
      </c>
      <c r="R66" s="141">
        <f t="shared" si="9"/>
        <v>18.865892340000002</v>
      </c>
      <c r="S66" s="141">
        <f t="shared" si="9"/>
        <v>20.161079819999998</v>
      </c>
      <c r="T66" s="141">
        <f t="shared" si="9"/>
        <v>21.53858142</v>
      </c>
    </row>
    <row r="68" spans="1:20">
      <c r="A68" s="3" t="s">
        <v>219</v>
      </c>
      <c r="B68" s="179">
        <v>17500000</v>
      </c>
      <c r="F68" s="141">
        <v>0</v>
      </c>
      <c r="G68" s="141">
        <v>0</v>
      </c>
      <c r="H68" s="141">
        <v>0</v>
      </c>
      <c r="I68" s="141">
        <f>B68*I49/10000000</f>
        <v>2.1437499999999998</v>
      </c>
      <c r="J68" s="141">
        <f>B68*J49/10000000</f>
        <v>2.2925</v>
      </c>
      <c r="K68" s="141">
        <f>B68*K49/10000000</f>
        <v>2.451225</v>
      </c>
      <c r="L68" s="141">
        <f>B68*L49/10000000</f>
        <v>2.6229</v>
      </c>
      <c r="M68" s="141">
        <f>B68*M49/10000000</f>
        <v>2.8064749999999998</v>
      </c>
      <c r="N68" s="141">
        <f>B68*N49/10000000</f>
        <v>3.0028250000000001</v>
      </c>
      <c r="O68" s="141">
        <f>B68*O49/10000000</f>
        <v>3.2130000000000001</v>
      </c>
      <c r="P68" s="141">
        <f>B68*P49/10000000</f>
        <v>3.437875</v>
      </c>
      <c r="Q68" s="141">
        <f>B68*Q49/10000000</f>
        <v>3.6767500000000002</v>
      </c>
      <c r="R68" s="141">
        <f>B68*R49/10000000</f>
        <v>3.9306749999999999</v>
      </c>
      <c r="S68" s="141">
        <f>B68*S49/10000000</f>
        <v>4.2005249999999998</v>
      </c>
      <c r="T68" s="141">
        <f>B68*T49/10000000</f>
        <v>4.4875249999999998</v>
      </c>
    </row>
    <row r="69" spans="1:20">
      <c r="A69" s="3" t="s">
        <v>220</v>
      </c>
      <c r="B69" s="179">
        <v>3250000</v>
      </c>
      <c r="F69" s="141">
        <v>0</v>
      </c>
      <c r="G69" s="141">
        <v>0</v>
      </c>
      <c r="H69" s="141">
        <v>0</v>
      </c>
      <c r="I69" s="141">
        <f>B69*I49/10000000</f>
        <v>0.39812500000000006</v>
      </c>
      <c r="J69" s="141">
        <f>B69*J49/10000000</f>
        <v>0.42575000000000002</v>
      </c>
      <c r="K69" s="141">
        <f>B69*K49/10000000</f>
        <v>0.45522750000000001</v>
      </c>
      <c r="L69" s="141">
        <f>B69*L49/10000000</f>
        <v>0.48710999999999999</v>
      </c>
      <c r="M69" s="141">
        <f>B69*M49/10000000</f>
        <v>0.52120250000000001</v>
      </c>
      <c r="N69" s="141">
        <f>B69*N49/10000000</f>
        <v>0.55766749999999998</v>
      </c>
      <c r="O69" s="141">
        <f>B69*O49/10000000</f>
        <v>0.59670000000000001</v>
      </c>
      <c r="P69" s="141">
        <f>B69*P49/10000000</f>
        <v>0.63846250000000004</v>
      </c>
      <c r="Q69" s="141">
        <f>B69*Q49/10000000</f>
        <v>0.68282500000000002</v>
      </c>
      <c r="R69" s="141">
        <f>B69*R49/10000000</f>
        <v>0.72998250000000009</v>
      </c>
      <c r="S69" s="141">
        <f>B69*S49/10000000</f>
        <v>0.7800975</v>
      </c>
      <c r="T69" s="141">
        <f>B69*T49/10000000</f>
        <v>0.8333974999999999</v>
      </c>
    </row>
    <row r="70" spans="1:20">
      <c r="A70" s="3" t="s">
        <v>221</v>
      </c>
      <c r="B70" s="179">
        <v>1150000</v>
      </c>
      <c r="F70" s="141">
        <v>0</v>
      </c>
      <c r="G70" s="141">
        <v>0</v>
      </c>
      <c r="H70" s="141">
        <v>0</v>
      </c>
      <c r="I70" s="141">
        <f>B70*I49/10000000</f>
        <v>0.140875</v>
      </c>
      <c r="J70" s="141">
        <f>B70*J49/10000000</f>
        <v>0.15065000000000001</v>
      </c>
      <c r="K70" s="141">
        <f>B70*K49/10000000</f>
        <v>0.16108049999999999</v>
      </c>
      <c r="L70" s="141">
        <f>B70*L49/10000000</f>
        <v>0.17236199999999999</v>
      </c>
      <c r="M70" s="141">
        <f>B70*M49/10000000</f>
        <v>0.18442549999999999</v>
      </c>
      <c r="N70" s="141">
        <f>B70*N49/10000000</f>
        <v>0.19732849999999999</v>
      </c>
      <c r="O70" s="141">
        <f>B70*O49/10000000</f>
        <v>0.21113999999999999</v>
      </c>
      <c r="P70" s="141">
        <f>B70*P49/10000000</f>
        <v>0.22591749999999999</v>
      </c>
      <c r="Q70" s="141">
        <f>B70*Q49/10000000</f>
        <v>0.241615</v>
      </c>
      <c r="R70" s="141">
        <f>B70*R49/10000000</f>
        <v>0.25830150000000007</v>
      </c>
      <c r="S70" s="141">
        <f>B70*S49/10000000</f>
        <v>0.27603450000000002</v>
      </c>
      <c r="T70" s="141">
        <f>B70*T49/10000000</f>
        <v>0.2948945</v>
      </c>
    </row>
    <row r="71" spans="1:20">
      <c r="A71" s="24" t="s">
        <v>222</v>
      </c>
      <c r="B71" s="74">
        <f>SUM(B68:B70)/10000000</f>
        <v>2.19</v>
      </c>
      <c r="F71" s="141">
        <f>SUM(F68:F70)</f>
        <v>0</v>
      </c>
      <c r="G71" s="141">
        <f t="shared" ref="G71:T71" si="10">SUM(G68:G70)</f>
        <v>0</v>
      </c>
      <c r="H71" s="141">
        <f t="shared" si="10"/>
        <v>0</v>
      </c>
      <c r="I71" s="141">
        <f t="shared" si="10"/>
        <v>2.68275</v>
      </c>
      <c r="J71" s="141">
        <f t="shared" si="10"/>
        <v>2.8689</v>
      </c>
      <c r="K71" s="141">
        <f t="shared" si="10"/>
        <v>3.0675330000000001</v>
      </c>
      <c r="L71" s="141">
        <f t="shared" si="10"/>
        <v>3.2823720000000001</v>
      </c>
      <c r="M71" s="141">
        <f t="shared" si="10"/>
        <v>3.5121030000000002</v>
      </c>
      <c r="N71" s="141">
        <f t="shared" si="10"/>
        <v>3.7578209999999999</v>
      </c>
      <c r="O71" s="141">
        <f t="shared" si="10"/>
        <v>4.0208400000000006</v>
      </c>
      <c r="P71" s="141">
        <f t="shared" si="10"/>
        <v>4.3022550000000006</v>
      </c>
      <c r="Q71" s="141">
        <f t="shared" si="10"/>
        <v>4.6011900000000008</v>
      </c>
      <c r="R71" s="141">
        <f t="shared" si="10"/>
        <v>4.9189590000000001</v>
      </c>
      <c r="S71" s="141">
        <f t="shared" si="10"/>
        <v>5.2566569999999997</v>
      </c>
      <c r="T71" s="141">
        <f t="shared" si="10"/>
        <v>5.6158169999999998</v>
      </c>
    </row>
    <row r="73" spans="1:20">
      <c r="A73" s="3" t="s">
        <v>223</v>
      </c>
      <c r="B73" s="179">
        <v>2750000</v>
      </c>
      <c r="F73" s="141">
        <v>0</v>
      </c>
      <c r="G73" s="141">
        <v>0</v>
      </c>
      <c r="H73" s="141">
        <v>0</v>
      </c>
      <c r="I73" s="141">
        <f>B73*I49/10000000</f>
        <v>0.33687500000000004</v>
      </c>
      <c r="J73" s="141">
        <f>B73*J49/10000000</f>
        <v>0.36025000000000001</v>
      </c>
      <c r="K73" s="141">
        <f>B73*K49/10000000</f>
        <v>0.38519249999999999</v>
      </c>
      <c r="L73" s="141">
        <f>B73*L49/10000000</f>
        <v>0.41216999999999998</v>
      </c>
      <c r="M73" s="141">
        <f>B73*M49/10000000</f>
        <v>0.44101750000000001</v>
      </c>
      <c r="N73" s="141">
        <f>B73*N49/10000000</f>
        <v>0.47187249999999997</v>
      </c>
      <c r="O73" s="141">
        <f>B73*O49/10000000</f>
        <v>0.50490000000000002</v>
      </c>
      <c r="P73" s="141">
        <f>B73*P49/10000000</f>
        <v>0.54023750000000004</v>
      </c>
      <c r="Q73" s="141">
        <f>B73*Q49/10000000</f>
        <v>0.57777500000000004</v>
      </c>
      <c r="R73" s="141">
        <f>B73*R49/10000000</f>
        <v>0.6176775000000001</v>
      </c>
      <c r="S73" s="141">
        <f>B73*S49/10000000</f>
        <v>0.66008250000000002</v>
      </c>
      <c r="T73" s="141">
        <f>B73*T49/10000000</f>
        <v>0.70518249999999993</v>
      </c>
    </row>
    <row r="74" spans="1:20">
      <c r="A74" s="3" t="s">
        <v>224</v>
      </c>
      <c r="B74" s="179">
        <v>9000000</v>
      </c>
      <c r="F74" s="141">
        <v>0</v>
      </c>
      <c r="G74" s="141">
        <v>0</v>
      </c>
      <c r="H74" s="141">
        <v>0</v>
      </c>
      <c r="I74" s="141">
        <f>B74*I49/10000000</f>
        <v>1.1025</v>
      </c>
      <c r="J74" s="141">
        <f>B74*J49/10000000</f>
        <v>1.179</v>
      </c>
      <c r="K74" s="141">
        <f>B74*K49/10000000</f>
        <v>1.2606299999999999</v>
      </c>
      <c r="L74" s="141">
        <f>B74*L49/10000000</f>
        <v>1.3489199999999999</v>
      </c>
      <c r="M74" s="141">
        <f>B74*M49/10000000</f>
        <v>1.44333</v>
      </c>
      <c r="N74" s="141">
        <f>B74*N49/10000000</f>
        <v>1.5443100000000001</v>
      </c>
      <c r="O74" s="141">
        <f>B74*O49/10000000</f>
        <v>1.6524000000000001</v>
      </c>
      <c r="P74" s="141">
        <f>B74*P49/10000000</f>
        <v>1.7680499999999999</v>
      </c>
      <c r="Q74" s="141">
        <f>B74*Q49/10000000</f>
        <v>1.8909</v>
      </c>
      <c r="R74" s="141">
        <f>B74*R49/10000000</f>
        <v>2.0214900000000005</v>
      </c>
      <c r="S74" s="141">
        <f>B74*S49/10000000</f>
        <v>2.1602700000000001</v>
      </c>
      <c r="T74" s="141">
        <f>B74*T49/10000000</f>
        <v>2.3078699999999999</v>
      </c>
    </row>
    <row r="75" spans="1:20">
      <c r="A75" s="24" t="s">
        <v>225</v>
      </c>
      <c r="B75" s="103">
        <f xml:space="preserve"> SUM(B73:B74)/10000000</f>
        <v>1.175</v>
      </c>
      <c r="F75" s="141">
        <f>SUM(F73:F74)</f>
        <v>0</v>
      </c>
      <c r="G75" s="141">
        <f t="shared" ref="G75:T75" si="11">SUM(G73:G74)</f>
        <v>0</v>
      </c>
      <c r="H75" s="141">
        <f t="shared" si="11"/>
        <v>0</v>
      </c>
      <c r="I75" s="141">
        <f t="shared" si="11"/>
        <v>1.4393750000000001</v>
      </c>
      <c r="J75" s="141">
        <f t="shared" si="11"/>
        <v>1.53925</v>
      </c>
      <c r="K75" s="141">
        <f t="shared" si="11"/>
        <v>1.6458225</v>
      </c>
      <c r="L75" s="141">
        <f t="shared" si="11"/>
        <v>1.7610899999999998</v>
      </c>
      <c r="M75" s="141">
        <f t="shared" si="11"/>
        <v>1.8843475000000001</v>
      </c>
      <c r="N75" s="141">
        <f t="shared" si="11"/>
        <v>2.0161825000000002</v>
      </c>
      <c r="O75" s="141">
        <f t="shared" si="11"/>
        <v>2.1573000000000002</v>
      </c>
      <c r="P75" s="141">
        <f t="shared" si="11"/>
        <v>2.3082875</v>
      </c>
      <c r="Q75" s="141">
        <f t="shared" si="11"/>
        <v>2.4686750000000002</v>
      </c>
      <c r="R75" s="141">
        <f t="shared" si="11"/>
        <v>2.6391675000000006</v>
      </c>
      <c r="S75" s="141">
        <f t="shared" si="11"/>
        <v>2.8203525000000003</v>
      </c>
      <c r="T75" s="141">
        <f t="shared" si="11"/>
        <v>3.0130524999999997</v>
      </c>
    </row>
    <row r="77" spans="1:20">
      <c r="A77" s="3" t="s">
        <v>226</v>
      </c>
    </row>
    <row r="78" spans="1:20">
      <c r="A78" s="24" t="s">
        <v>227</v>
      </c>
    </row>
    <row r="80" spans="1:20">
      <c r="A80" s="3" t="s">
        <v>228</v>
      </c>
      <c r="B80" s="179">
        <v>900000</v>
      </c>
      <c r="F80" s="141">
        <v>0</v>
      </c>
      <c r="G80" s="141">
        <v>0</v>
      </c>
      <c r="H80" s="141">
        <v>0</v>
      </c>
      <c r="I80" s="141">
        <f>B80*I49/10000000</f>
        <v>0.11025</v>
      </c>
      <c r="J80" s="141">
        <f>B80*J49/10000000</f>
        <v>0.1179</v>
      </c>
      <c r="K80" s="141">
        <f>B80*K49/10000000</f>
        <v>0.12606300000000001</v>
      </c>
      <c r="L80" s="141">
        <f>B80*L49/10000000</f>
        <v>0.13489200000000001</v>
      </c>
      <c r="M80" s="141">
        <f>B80*M49/10000000</f>
        <v>0.14433299999999999</v>
      </c>
      <c r="N80" s="141">
        <f>B80*N49/10000000</f>
        <v>0.15443100000000001</v>
      </c>
      <c r="O80" s="141">
        <f>B80*O49/10000000</f>
        <v>0.16524</v>
      </c>
      <c r="P80" s="141">
        <f>B80*P49/10000000</f>
        <v>0.17680499999999999</v>
      </c>
      <c r="Q80" s="141">
        <f>B80*Q49/10000000</f>
        <v>0.18909000000000001</v>
      </c>
      <c r="R80" s="141">
        <f>B80*R49/10000000</f>
        <v>0.20214900000000002</v>
      </c>
      <c r="S80" s="141">
        <f>B80*S49/10000000</f>
        <v>0.216027</v>
      </c>
      <c r="T80" s="141">
        <f>B80*T49/10000000</f>
        <v>0.23078699999999999</v>
      </c>
    </row>
    <row r="81" spans="1:20">
      <c r="A81" s="3" t="s">
        <v>229</v>
      </c>
      <c r="B81" s="179">
        <v>750000</v>
      </c>
      <c r="F81" s="141">
        <v>0</v>
      </c>
      <c r="G81" s="141">
        <v>0</v>
      </c>
      <c r="H81" s="141">
        <v>0</v>
      </c>
      <c r="I81" s="141">
        <f>B81*I49/10000000</f>
        <v>9.1875000000000012E-2</v>
      </c>
      <c r="J81" s="141">
        <f>B81*J49/10000000</f>
        <v>9.8250000000000004E-2</v>
      </c>
      <c r="K81" s="141">
        <f>B81*K49/10000000</f>
        <v>0.10505249999999999</v>
      </c>
      <c r="L81" s="141">
        <f>B81*L49/10000000</f>
        <v>0.11241</v>
      </c>
      <c r="M81" s="141">
        <f>B81*M49/10000000</f>
        <v>0.1202775</v>
      </c>
      <c r="N81" s="141">
        <f>B81*N49/10000000</f>
        <v>0.12869249999999999</v>
      </c>
      <c r="O81" s="141">
        <f>B81*O49/10000000</f>
        <v>0.13769999999999999</v>
      </c>
      <c r="P81" s="141">
        <f>B81*P49/10000000</f>
        <v>0.14733750000000001</v>
      </c>
      <c r="Q81" s="141">
        <f>B81*Q49/10000000</f>
        <v>0.15757499999999999</v>
      </c>
      <c r="R81" s="141">
        <f>B81*R49/10000000</f>
        <v>0.16845750000000001</v>
      </c>
      <c r="S81" s="141">
        <f>B81*S49/10000000</f>
        <v>0.1800225</v>
      </c>
      <c r="T81" s="141">
        <f>B81*T49/10000000</f>
        <v>0.19232249999999998</v>
      </c>
    </row>
    <row r="82" spans="1:20">
      <c r="A82" s="3" t="s">
        <v>230</v>
      </c>
      <c r="B82" s="179">
        <v>450000</v>
      </c>
      <c r="F82" s="141">
        <v>0</v>
      </c>
      <c r="G82" s="141">
        <v>0</v>
      </c>
      <c r="H82" s="141">
        <v>0</v>
      </c>
      <c r="I82" s="141">
        <f>B82*I49/10000000</f>
        <v>5.5125E-2</v>
      </c>
      <c r="J82" s="141">
        <f>B82*J49/10000000</f>
        <v>5.8950000000000002E-2</v>
      </c>
      <c r="K82" s="141">
        <f>B82*K49/10000000</f>
        <v>6.3031500000000004E-2</v>
      </c>
      <c r="L82" s="141">
        <f>B82*L49/10000000</f>
        <v>6.7446000000000006E-2</v>
      </c>
      <c r="M82" s="141">
        <f>B82*M49/10000000</f>
        <v>7.2166499999999995E-2</v>
      </c>
      <c r="N82" s="141">
        <f>B82*N49/10000000</f>
        <v>7.7215500000000006E-2</v>
      </c>
      <c r="O82" s="141">
        <f>B82*O49/10000000</f>
        <v>8.2619999999999999E-2</v>
      </c>
      <c r="P82" s="141">
        <f>B82*P49/10000000</f>
        <v>8.8402499999999995E-2</v>
      </c>
      <c r="Q82" s="141">
        <f>B82*Q49/10000000</f>
        <v>9.4545000000000004E-2</v>
      </c>
      <c r="R82" s="141">
        <f>B82*R49/10000000</f>
        <v>0.10107450000000001</v>
      </c>
      <c r="S82" s="141">
        <f>B82*S49/10000000</f>
        <v>0.1080135</v>
      </c>
      <c r="T82" s="141">
        <f>B82*T49/10000000</f>
        <v>0.1153935</v>
      </c>
    </row>
    <row r="83" spans="1:20">
      <c r="A83" s="3" t="s">
        <v>231</v>
      </c>
      <c r="B83" s="179">
        <v>300000</v>
      </c>
      <c r="F83" s="141">
        <v>0</v>
      </c>
      <c r="G83" s="141">
        <v>0</v>
      </c>
      <c r="H83" s="141">
        <v>0</v>
      </c>
      <c r="I83" s="141">
        <f>B83*I49/10000000</f>
        <v>3.6749999999999998E-2</v>
      </c>
      <c r="J83" s="141">
        <f>B83*J49/10000000</f>
        <v>3.9300000000000002E-2</v>
      </c>
      <c r="K83" s="141">
        <f>B83*K49/10000000</f>
        <v>4.2021000000000003E-2</v>
      </c>
      <c r="L83" s="141">
        <f>B83*L49/10000000</f>
        <v>4.4963999999999997E-2</v>
      </c>
      <c r="M83" s="141">
        <f>B83*M49/10000000</f>
        <v>4.8111000000000001E-2</v>
      </c>
      <c r="N83" s="141">
        <f>B83*N49/10000000</f>
        <v>5.1477000000000002E-2</v>
      </c>
      <c r="O83" s="141">
        <f>B83*O49/10000000</f>
        <v>5.5079999999999997E-2</v>
      </c>
      <c r="P83" s="141">
        <f>B83*P49/10000000</f>
        <v>5.8935000000000001E-2</v>
      </c>
      <c r="Q83" s="141">
        <f>B83*Q49/10000000</f>
        <v>6.3030000000000003E-2</v>
      </c>
      <c r="R83" s="141">
        <f>B83*R49/10000000</f>
        <v>6.7383000000000012E-2</v>
      </c>
      <c r="S83" s="141">
        <f>B83*S49/10000000</f>
        <v>7.2009000000000004E-2</v>
      </c>
      <c r="T83" s="141">
        <f>B83*T49/10000000</f>
        <v>7.6928999999999984E-2</v>
      </c>
    </row>
    <row r="84" spans="1:20">
      <c r="A84" s="3" t="s">
        <v>232</v>
      </c>
      <c r="B84" s="179">
        <v>1750000</v>
      </c>
      <c r="F84" s="141">
        <v>0</v>
      </c>
      <c r="G84" s="141">
        <v>0</v>
      </c>
      <c r="H84" s="141">
        <v>0</v>
      </c>
      <c r="I84" s="141">
        <f>B84*I49/10000000</f>
        <v>0.21437500000000001</v>
      </c>
      <c r="J84" s="141">
        <f>B84*J49/10000000</f>
        <v>0.22925000000000001</v>
      </c>
      <c r="K84" s="141">
        <f>B84*K49/10000000</f>
        <v>0.24512249999999999</v>
      </c>
      <c r="L84" s="141">
        <f>B84*L49/10000000</f>
        <v>0.26229000000000002</v>
      </c>
      <c r="M84" s="141">
        <f>B84*M49/10000000</f>
        <v>0.28064749999999999</v>
      </c>
      <c r="N84" s="141">
        <f>B84*N49/10000000</f>
        <v>0.30028250000000001</v>
      </c>
      <c r="O84" s="141">
        <f>B84*O49/10000000</f>
        <v>0.32129999999999997</v>
      </c>
      <c r="P84" s="141">
        <f>B84*P49/10000000</f>
        <v>0.34378750000000002</v>
      </c>
      <c r="Q84" s="141">
        <f>B84*Q49/10000000</f>
        <v>0.36767499999999997</v>
      </c>
      <c r="R84" s="141">
        <f>B84*R49/10000000</f>
        <v>0.39306750000000007</v>
      </c>
      <c r="S84" s="141">
        <f>B84*S49/10000000</f>
        <v>0.4200525</v>
      </c>
      <c r="T84" s="141">
        <f>B84*T49/10000000</f>
        <v>0.4487525</v>
      </c>
    </row>
    <row r="85" spans="1:20">
      <c r="A85" s="3" t="s">
        <v>233</v>
      </c>
      <c r="B85" s="179">
        <v>1000000</v>
      </c>
      <c r="F85" s="141">
        <v>0</v>
      </c>
      <c r="G85" s="141">
        <v>0</v>
      </c>
      <c r="H85" s="141">
        <v>0</v>
      </c>
      <c r="I85" s="141">
        <f>B85*I49/10000000</f>
        <v>0.1225</v>
      </c>
      <c r="J85" s="141">
        <f>B85*J49/10000000</f>
        <v>0.13100000000000001</v>
      </c>
      <c r="K85" s="141">
        <f>B85*K49/10000000</f>
        <v>0.14007</v>
      </c>
      <c r="L85" s="141">
        <f>B85*L49/10000000</f>
        <v>0.14988000000000001</v>
      </c>
      <c r="M85" s="141">
        <f>B85*M49/10000000</f>
        <v>0.16037000000000001</v>
      </c>
      <c r="N85" s="141">
        <f>B85*N49/10000000</f>
        <v>0.17158999999999999</v>
      </c>
      <c r="O85" s="141">
        <f>B85*O49/10000000</f>
        <v>0.18360000000000001</v>
      </c>
      <c r="P85" s="141">
        <f>B85*P49/10000000</f>
        <v>0.19645000000000001</v>
      </c>
      <c r="Q85" s="141">
        <f>B85*Q49/10000000</f>
        <v>0.21010000000000001</v>
      </c>
      <c r="R85" s="141">
        <f>B85*R49/10000000</f>
        <v>0.22461</v>
      </c>
      <c r="S85" s="141">
        <f>B85*S49/10000000</f>
        <v>0.24002999999999999</v>
      </c>
      <c r="T85" s="141">
        <f>B85*T49/10000000</f>
        <v>0.25642999999999999</v>
      </c>
    </row>
    <row r="86" spans="1:20">
      <c r="A86" s="3" t="s">
        <v>234</v>
      </c>
      <c r="B86" s="179">
        <v>1500000</v>
      </c>
      <c r="F86" s="141">
        <v>0</v>
      </c>
      <c r="G86" s="141">
        <v>0</v>
      </c>
      <c r="H86" s="141">
        <v>0</v>
      </c>
      <c r="I86" s="141">
        <f>B86*I49/10000000</f>
        <v>0.18375000000000002</v>
      </c>
      <c r="J86" s="141">
        <f>B86*J49/10000000</f>
        <v>0.19650000000000001</v>
      </c>
      <c r="K86" s="141">
        <f>B86*K49/10000000</f>
        <v>0.21010499999999999</v>
      </c>
      <c r="L86" s="141">
        <f>B86*L49/10000000</f>
        <v>0.22481999999999999</v>
      </c>
      <c r="M86" s="141">
        <f>B86*M49/10000000</f>
        <v>0.24055499999999999</v>
      </c>
      <c r="N86" s="141">
        <f>B86*N49/10000000</f>
        <v>0.25738499999999997</v>
      </c>
      <c r="O86" s="141">
        <f>B86*O49/10000000</f>
        <v>0.27539999999999998</v>
      </c>
      <c r="P86" s="141">
        <f>B86*P49/10000000</f>
        <v>0.29467500000000002</v>
      </c>
      <c r="Q86" s="141">
        <f>B86*Q49/10000000</f>
        <v>0.31514999999999999</v>
      </c>
      <c r="R86" s="141">
        <f>B86*R49/10000000</f>
        <v>0.33691500000000002</v>
      </c>
      <c r="S86" s="141">
        <f>B86*S49/10000000</f>
        <v>0.360045</v>
      </c>
      <c r="T86" s="141">
        <f>B86*T49/10000000</f>
        <v>0.38464499999999996</v>
      </c>
    </row>
    <row r="87" spans="1:20">
      <c r="A87" s="3" t="s">
        <v>235</v>
      </c>
      <c r="B87" s="179">
        <v>750000</v>
      </c>
      <c r="F87" s="141">
        <v>0</v>
      </c>
      <c r="G87" s="141">
        <v>0</v>
      </c>
      <c r="H87" s="141">
        <v>0</v>
      </c>
      <c r="I87" s="141">
        <f>B87*I49/10000000</f>
        <v>9.1875000000000012E-2</v>
      </c>
      <c r="J87" s="141">
        <f>B87*J49/10000000</f>
        <v>9.8250000000000004E-2</v>
      </c>
      <c r="K87" s="141">
        <f>B87*K49/10000000</f>
        <v>0.10505249999999999</v>
      </c>
      <c r="L87" s="141">
        <f>B87*L49/10000000</f>
        <v>0.11241</v>
      </c>
      <c r="M87" s="141">
        <f>B87*M49/10000000</f>
        <v>0.1202775</v>
      </c>
      <c r="N87" s="141">
        <f>B87*N49/10000000</f>
        <v>0.12869249999999999</v>
      </c>
      <c r="O87" s="141">
        <f>B87*O49/10000000</f>
        <v>0.13769999999999999</v>
      </c>
      <c r="P87" s="141">
        <f>B87*P49/10000000</f>
        <v>0.14733750000000001</v>
      </c>
      <c r="Q87" s="141">
        <f>B87*Q49/10000000</f>
        <v>0.15757499999999999</v>
      </c>
      <c r="R87" s="141">
        <f>B87*R49/10000000</f>
        <v>0.16845750000000001</v>
      </c>
      <c r="S87" s="141">
        <f>B87*S49/10000000</f>
        <v>0.1800225</v>
      </c>
      <c r="T87" s="141">
        <f>B87*T49/10000000</f>
        <v>0.19232249999999998</v>
      </c>
    </row>
    <row r="88" spans="1:20">
      <c r="A88" s="24" t="s">
        <v>236</v>
      </c>
      <c r="B88" s="74">
        <f>SUM(B80:B87)/10000000</f>
        <v>0.74</v>
      </c>
      <c r="F88" s="141">
        <f>SUM(F80:F87)</f>
        <v>0</v>
      </c>
      <c r="G88" s="141">
        <f t="shared" ref="G88:T88" si="12">SUM(G80:G87)</f>
        <v>0</v>
      </c>
      <c r="H88" s="141">
        <f t="shared" si="12"/>
        <v>0</v>
      </c>
      <c r="I88" s="141">
        <f t="shared" si="12"/>
        <v>0.90650000000000019</v>
      </c>
      <c r="J88" s="141">
        <f t="shared" si="12"/>
        <v>0.96940000000000004</v>
      </c>
      <c r="K88" s="141">
        <f t="shared" si="12"/>
        <v>1.0365180000000001</v>
      </c>
      <c r="L88" s="141">
        <f t="shared" si="12"/>
        <v>1.1091120000000001</v>
      </c>
      <c r="M88" s="141">
        <f t="shared" si="12"/>
        <v>1.1867380000000001</v>
      </c>
      <c r="N88" s="141">
        <f t="shared" si="12"/>
        <v>1.2697660000000002</v>
      </c>
      <c r="O88" s="141">
        <f t="shared" si="12"/>
        <v>1.3586400000000001</v>
      </c>
      <c r="P88" s="141">
        <f t="shared" si="12"/>
        <v>1.4537300000000002</v>
      </c>
      <c r="Q88" s="141">
        <f t="shared" si="12"/>
        <v>1.55474</v>
      </c>
      <c r="R88" s="141">
        <f t="shared" si="12"/>
        <v>1.6621140000000001</v>
      </c>
      <c r="S88" s="141">
        <f t="shared" si="12"/>
        <v>1.776222</v>
      </c>
      <c r="T88" s="141">
        <f t="shared" si="12"/>
        <v>1.8975819999999999</v>
      </c>
    </row>
  </sheetData>
  <mergeCells count="5">
    <mergeCell ref="A15:V15"/>
    <mergeCell ref="A33:V33"/>
    <mergeCell ref="A53:V53"/>
    <mergeCell ref="A61:V61"/>
    <mergeCell ref="A5:V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42EA-EEFF-4B1B-8EA3-ECFF949C05D2}">
  <dimension ref="A1:V22"/>
  <sheetViews>
    <sheetView workbookViewId="0">
      <selection activeCell="A20" sqref="A20:XFD20"/>
    </sheetView>
  </sheetViews>
  <sheetFormatPr defaultRowHeight="14.4"/>
  <cols>
    <col min="1" max="1" width="13.6640625" bestFit="1" customWidth="1"/>
    <col min="2" max="2" width="35.44140625" bestFit="1" customWidth="1"/>
    <col min="6" max="6" width="16.44140625" bestFit="1" customWidth="1"/>
  </cols>
  <sheetData>
    <row r="1" spans="1:22" s="181" customFormat="1" ht="21">
      <c r="A1" s="229" t="s">
        <v>451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</row>
    <row r="3" spans="1:22">
      <c r="A3" s="7" t="s">
        <v>436</v>
      </c>
      <c r="B3" s="7"/>
      <c r="C3" s="7" t="s">
        <v>446</v>
      </c>
      <c r="D3" s="7" t="s">
        <v>57</v>
      </c>
      <c r="E3" s="7"/>
      <c r="F3" s="54">
        <v>6.5000000000000002E-2</v>
      </c>
      <c r="H3" t="s">
        <v>443</v>
      </c>
    </row>
    <row r="4" spans="1:22">
      <c r="A4" s="7" t="s">
        <v>431</v>
      </c>
      <c r="B4" s="7"/>
      <c r="C4" s="7" t="s">
        <v>447</v>
      </c>
      <c r="D4" s="7" t="s">
        <v>437</v>
      </c>
      <c r="E4" s="7"/>
      <c r="F4" s="7">
        <v>0.75</v>
      </c>
      <c r="H4" t="s">
        <v>438</v>
      </c>
    </row>
    <row r="5" spans="1:22">
      <c r="A5" s="7" t="s">
        <v>432</v>
      </c>
      <c r="B5" s="7"/>
      <c r="C5" s="7" t="s">
        <v>448</v>
      </c>
      <c r="D5" s="7" t="s">
        <v>57</v>
      </c>
      <c r="E5" s="7"/>
      <c r="F5" s="37">
        <v>0.06</v>
      </c>
      <c r="H5" t="s">
        <v>439</v>
      </c>
    </row>
    <row r="6" spans="1:22">
      <c r="A6" s="7" t="s">
        <v>433</v>
      </c>
      <c r="B6" s="7"/>
      <c r="C6" s="7"/>
      <c r="D6" s="7" t="s">
        <v>57</v>
      </c>
      <c r="E6" s="7"/>
      <c r="F6" s="37">
        <v>0.02</v>
      </c>
      <c r="H6" t="s">
        <v>440</v>
      </c>
    </row>
    <row r="7" spans="1:22">
      <c r="A7" s="7" t="s">
        <v>434</v>
      </c>
      <c r="B7" s="7"/>
      <c r="C7" s="7"/>
      <c r="D7" s="7" t="s">
        <v>57</v>
      </c>
      <c r="E7" s="7"/>
      <c r="F7" s="37">
        <v>0.02</v>
      </c>
      <c r="H7" t="s">
        <v>441</v>
      </c>
    </row>
    <row r="8" spans="1:22">
      <c r="A8" s="7" t="s">
        <v>435</v>
      </c>
      <c r="B8" s="7"/>
      <c r="C8" s="7"/>
      <c r="D8" s="7" t="s">
        <v>57</v>
      </c>
      <c r="E8" s="7"/>
      <c r="F8" s="37">
        <v>0</v>
      </c>
      <c r="H8" t="s">
        <v>442</v>
      </c>
    </row>
    <row r="9" spans="1:22">
      <c r="A9" s="55" t="s">
        <v>444</v>
      </c>
      <c r="B9" s="7"/>
      <c r="C9" s="7" t="s">
        <v>449</v>
      </c>
      <c r="D9" s="7" t="s">
        <v>57</v>
      </c>
      <c r="E9" s="7"/>
      <c r="F9" s="54">
        <f xml:space="preserve"> F3+F4*(F5) + F6+F7</f>
        <v>0.15</v>
      </c>
      <c r="H9" t="s">
        <v>465</v>
      </c>
    </row>
    <row r="10" spans="1:22">
      <c r="A10" s="55" t="s">
        <v>445</v>
      </c>
      <c r="B10" s="7"/>
      <c r="C10" s="7" t="s">
        <v>450</v>
      </c>
      <c r="D10" s="7" t="s">
        <v>57</v>
      </c>
      <c r="E10" s="7"/>
      <c r="F10" s="37">
        <v>0.7</v>
      </c>
      <c r="H10" t="s">
        <v>461</v>
      </c>
    </row>
    <row r="12" spans="1:22" s="181" customFormat="1" ht="21">
      <c r="A12" s="229" t="s">
        <v>452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</row>
    <row r="14" spans="1:22">
      <c r="A14" s="7" t="s">
        <v>453</v>
      </c>
      <c r="B14" s="7"/>
      <c r="C14" s="7" t="s">
        <v>466</v>
      </c>
      <c r="D14" s="7" t="s">
        <v>57</v>
      </c>
      <c r="E14" s="7"/>
      <c r="F14" s="54">
        <v>8.5000000000000006E-2</v>
      </c>
      <c r="H14" t="s">
        <v>461</v>
      </c>
    </row>
    <row r="15" spans="1:22">
      <c r="A15" s="7" t="s">
        <v>454</v>
      </c>
      <c r="B15" s="7"/>
      <c r="C15" s="7"/>
      <c r="D15" s="7"/>
      <c r="E15" s="7"/>
      <c r="F15" s="37">
        <v>0</v>
      </c>
    </row>
    <row r="16" spans="1:22">
      <c r="A16" s="7" t="s">
        <v>455</v>
      </c>
      <c r="B16" s="7"/>
      <c r="C16" s="7" t="s">
        <v>459</v>
      </c>
      <c r="D16" s="7" t="s">
        <v>57</v>
      </c>
      <c r="E16" s="7"/>
      <c r="F16" s="37">
        <v>0.3</v>
      </c>
      <c r="H16" t="s">
        <v>462</v>
      </c>
    </row>
    <row r="17" spans="1:22">
      <c r="A17" s="55" t="s">
        <v>456</v>
      </c>
      <c r="B17" s="7"/>
      <c r="C17" s="7" t="s">
        <v>460</v>
      </c>
      <c r="D17" s="7" t="s">
        <v>57</v>
      </c>
      <c r="E17" s="7"/>
      <c r="F17" s="56">
        <f xml:space="preserve"> F14*(1-F16)</f>
        <v>5.9499999999999997E-2</v>
      </c>
      <c r="H17" t="s">
        <v>467</v>
      </c>
    </row>
    <row r="18" spans="1:22">
      <c r="A18" s="55" t="s">
        <v>457</v>
      </c>
      <c r="B18" s="7"/>
      <c r="C18" s="7" t="s">
        <v>458</v>
      </c>
      <c r="D18" s="7" t="s">
        <v>57</v>
      </c>
      <c r="E18" s="7"/>
      <c r="F18" s="37">
        <v>0.3</v>
      </c>
      <c r="H18" t="s">
        <v>461</v>
      </c>
    </row>
    <row r="19" spans="1:22">
      <c r="A19" s="1"/>
    </row>
    <row r="20" spans="1:22" s="181" customFormat="1" ht="21">
      <c r="A20" s="229" t="s">
        <v>463</v>
      </c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</row>
    <row r="22" spans="1:22" ht="23.4">
      <c r="A22" s="57" t="s">
        <v>464</v>
      </c>
      <c r="B22" s="21"/>
      <c r="C22" s="21"/>
      <c r="D22" s="21"/>
      <c r="E22" s="21"/>
      <c r="F22" s="58">
        <f xml:space="preserve"> F9*F10+F17*F18</f>
        <v>0.12284999999999999</v>
      </c>
      <c r="H22" t="s">
        <v>468</v>
      </c>
    </row>
  </sheetData>
  <mergeCells count="3">
    <mergeCell ref="A1:V1"/>
    <mergeCell ref="A12:V12"/>
    <mergeCell ref="A20:V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3B38-1532-4F32-BA74-566CC0029AE3}">
  <dimension ref="A1:V111"/>
  <sheetViews>
    <sheetView topLeftCell="A15" zoomScale="64" workbookViewId="0">
      <selection activeCell="T50" sqref="T50"/>
    </sheetView>
  </sheetViews>
  <sheetFormatPr defaultRowHeight="14.4"/>
  <cols>
    <col min="1" max="1" width="37.88671875" bestFit="1" customWidth="1"/>
    <col min="2" max="2" width="38.5546875" customWidth="1"/>
    <col min="6" max="20" width="10" bestFit="1" customWidth="1"/>
  </cols>
  <sheetData>
    <row r="1" spans="1:22">
      <c r="A1" s="5" t="s">
        <v>18</v>
      </c>
      <c r="F1" s="10" t="s">
        <v>19</v>
      </c>
      <c r="G1" s="10" t="s">
        <v>19</v>
      </c>
      <c r="H1" s="10" t="s">
        <v>19</v>
      </c>
      <c r="I1" s="10" t="s">
        <v>19</v>
      </c>
      <c r="J1" s="10" t="s">
        <v>19</v>
      </c>
      <c r="K1" s="10" t="s">
        <v>19</v>
      </c>
      <c r="L1" s="10" t="s">
        <v>19</v>
      </c>
      <c r="M1" s="10" t="s">
        <v>19</v>
      </c>
      <c r="N1" s="10" t="s">
        <v>19</v>
      </c>
      <c r="O1" s="10" t="s">
        <v>19</v>
      </c>
      <c r="P1" s="10" t="s">
        <v>19</v>
      </c>
      <c r="Q1" s="10" t="s">
        <v>19</v>
      </c>
      <c r="R1" s="10" t="s">
        <v>19</v>
      </c>
      <c r="S1" s="10" t="s">
        <v>19</v>
      </c>
      <c r="T1" s="10" t="s">
        <v>19</v>
      </c>
    </row>
    <row r="2" spans="1:22">
      <c r="A2" s="5" t="s">
        <v>23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20</v>
      </c>
      <c r="N2" s="10" t="s">
        <v>21</v>
      </c>
      <c r="O2" s="10" t="s">
        <v>22</v>
      </c>
      <c r="P2" s="10" t="s">
        <v>417</v>
      </c>
      <c r="Q2" s="10" t="s">
        <v>418</v>
      </c>
      <c r="R2" s="10" t="s">
        <v>419</v>
      </c>
      <c r="S2" s="10" t="s">
        <v>420</v>
      </c>
      <c r="T2" s="10" t="s">
        <v>421</v>
      </c>
    </row>
    <row r="3" spans="1:22">
      <c r="A3" s="5" t="s">
        <v>24</v>
      </c>
      <c r="F3" s="10">
        <v>1</v>
      </c>
      <c r="G3" s="10">
        <v>2</v>
      </c>
      <c r="H3" s="10">
        <v>3</v>
      </c>
      <c r="I3" s="10">
        <v>4</v>
      </c>
      <c r="J3" s="10">
        <v>5</v>
      </c>
      <c r="K3" s="10">
        <v>6</v>
      </c>
      <c r="L3" s="10">
        <v>7</v>
      </c>
      <c r="M3" s="10">
        <v>8</v>
      </c>
      <c r="N3" s="10">
        <v>9</v>
      </c>
      <c r="O3" s="10">
        <v>10</v>
      </c>
      <c r="P3" s="10">
        <v>11</v>
      </c>
      <c r="Q3" s="10">
        <v>12</v>
      </c>
      <c r="R3" s="10">
        <v>13</v>
      </c>
      <c r="S3" s="10">
        <v>14</v>
      </c>
      <c r="T3" s="10">
        <v>15</v>
      </c>
    </row>
    <row r="5" spans="1:22" s="181" customFormat="1" ht="21">
      <c r="A5" s="229" t="s">
        <v>240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</row>
    <row r="7" spans="1:22">
      <c r="A7" s="3" t="s">
        <v>241</v>
      </c>
    </row>
    <row r="9" spans="1:22">
      <c r="A9" s="3" t="s">
        <v>242</v>
      </c>
    </row>
    <row r="10" spans="1:22">
      <c r="A10" s="3" t="s">
        <v>243</v>
      </c>
    </row>
    <row r="12" spans="1:22" s="181" customFormat="1" ht="21">
      <c r="A12" s="229" t="s">
        <v>246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</row>
    <row r="14" spans="1:22">
      <c r="A14" s="3" t="s">
        <v>244</v>
      </c>
    </row>
    <row r="15" spans="1:22">
      <c r="A15" s="3" t="s">
        <v>245</v>
      </c>
    </row>
    <row r="17" spans="1:22" s="181" customFormat="1" ht="21">
      <c r="A17" s="229" t="s">
        <v>247</v>
      </c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</row>
    <row r="19" spans="1:22">
      <c r="A19" t="s">
        <v>426</v>
      </c>
    </row>
    <row r="21" spans="1:22" s="181" customFormat="1" ht="21">
      <c r="A21" s="229" t="s">
        <v>248</v>
      </c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</row>
    <row r="23" spans="1:22">
      <c r="A23" t="s">
        <v>427</v>
      </c>
    </row>
    <row r="25" spans="1:22" s="181" customFormat="1" ht="21">
      <c r="A25" s="229" t="s">
        <v>249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</row>
    <row r="27" spans="1:22">
      <c r="A27" t="s">
        <v>428</v>
      </c>
    </row>
    <row r="29" spans="1:22" s="181" customFormat="1" ht="21">
      <c r="A29" s="229" t="s">
        <v>250</v>
      </c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</row>
    <row r="31" spans="1:22" s="15" customFormat="1">
      <c r="A31" s="248" t="s">
        <v>251</v>
      </c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</row>
    <row r="33" spans="1:20" s="112" customFormat="1">
      <c r="A33" s="249" t="s">
        <v>252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</row>
    <row r="35" spans="1:20">
      <c r="A35" t="s">
        <v>429</v>
      </c>
    </row>
    <row r="37" spans="1:20" s="112" customFormat="1">
      <c r="A37" s="249" t="s">
        <v>353</v>
      </c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</row>
    <row r="39" spans="1:20">
      <c r="A39" s="34" t="s">
        <v>360</v>
      </c>
      <c r="B39" s="35" t="s">
        <v>359</v>
      </c>
      <c r="F39" s="227" t="s">
        <v>361</v>
      </c>
      <c r="G39" s="227"/>
      <c r="H39" s="227"/>
      <c r="I39" s="227"/>
      <c r="J39" s="227"/>
      <c r="K39" s="227"/>
      <c r="L39" s="227"/>
      <c r="M39" s="227"/>
      <c r="N39" s="227"/>
      <c r="O39" s="227"/>
    </row>
    <row r="40" spans="1:20">
      <c r="A40" s="36" t="s">
        <v>357</v>
      </c>
      <c r="B40" s="37">
        <v>1.67E-2</v>
      </c>
      <c r="F40" s="141">
        <v>0.59</v>
      </c>
      <c r="G40" s="141">
        <v>0.59</v>
      </c>
      <c r="H40" s="141">
        <v>0.59</v>
      </c>
      <c r="I40" s="141">
        <v>0.59</v>
      </c>
      <c r="J40" s="141">
        <v>0.59</v>
      </c>
      <c r="K40" s="141">
        <v>0.59</v>
      </c>
      <c r="L40" s="141">
        <v>0.59</v>
      </c>
      <c r="M40" s="141">
        <v>0.59</v>
      </c>
      <c r="N40" s="141">
        <v>0.59</v>
      </c>
      <c r="O40" s="141">
        <v>0.59</v>
      </c>
      <c r="P40" s="141">
        <v>0.59</v>
      </c>
      <c r="Q40" s="141">
        <v>0.59</v>
      </c>
      <c r="R40" s="141">
        <v>0.59</v>
      </c>
      <c r="S40" s="141">
        <v>0.59</v>
      </c>
      <c r="T40" s="141">
        <v>0.59</v>
      </c>
    </row>
    <row r="41" spans="1:20">
      <c r="A41" s="36" t="s">
        <v>344</v>
      </c>
      <c r="B41" s="37">
        <v>0.1</v>
      </c>
      <c r="F41" s="141">
        <v>24.98</v>
      </c>
      <c r="G41" s="141">
        <v>24.98</v>
      </c>
      <c r="H41" s="141">
        <v>24.98</v>
      </c>
      <c r="I41" s="141">
        <v>26.48</v>
      </c>
      <c r="J41" s="141">
        <v>26.78</v>
      </c>
      <c r="K41" s="141">
        <v>27.08</v>
      </c>
      <c r="L41" s="141">
        <v>27.38</v>
      </c>
      <c r="M41" s="141">
        <v>27.67</v>
      </c>
      <c r="N41" s="141">
        <v>27.98</v>
      </c>
      <c r="O41" s="141">
        <v>28.28</v>
      </c>
      <c r="P41" s="141">
        <v>28.58</v>
      </c>
      <c r="Q41" s="141">
        <v>28.88</v>
      </c>
      <c r="R41" s="141">
        <v>29.17</v>
      </c>
      <c r="S41" s="141">
        <v>29.48</v>
      </c>
      <c r="T41" s="141">
        <v>29.78</v>
      </c>
    </row>
    <row r="42" spans="1:20">
      <c r="A42" s="36" t="s">
        <v>358</v>
      </c>
      <c r="B42" s="37">
        <v>0.1</v>
      </c>
      <c r="F42" s="141">
        <v>0.95</v>
      </c>
      <c r="G42" s="141">
        <v>0.95</v>
      </c>
      <c r="H42" s="141">
        <v>0.95</v>
      </c>
      <c r="I42" s="141">
        <v>1.05</v>
      </c>
      <c r="J42" s="141">
        <v>1.07</v>
      </c>
      <c r="K42" s="141">
        <v>1.0900000000000001</v>
      </c>
      <c r="L42" s="141">
        <v>1.1100000000000001</v>
      </c>
      <c r="M42" s="141">
        <v>1.1299999999999999</v>
      </c>
      <c r="N42" s="141">
        <v>1.1499999999999999</v>
      </c>
      <c r="O42" s="141">
        <v>1.17</v>
      </c>
      <c r="P42" s="141">
        <v>1.19</v>
      </c>
      <c r="Q42" s="141">
        <v>1.21</v>
      </c>
      <c r="R42" s="141">
        <v>1.23</v>
      </c>
      <c r="S42" s="141">
        <v>1.25</v>
      </c>
      <c r="T42" s="141">
        <v>1.27</v>
      </c>
    </row>
    <row r="43" spans="1:20">
      <c r="A43" s="36" t="s">
        <v>354</v>
      </c>
      <c r="B43" s="37">
        <v>0.15</v>
      </c>
      <c r="F43" s="141">
        <v>2.2200000000000002</v>
      </c>
      <c r="G43" s="141">
        <v>2.2200000000000002</v>
      </c>
      <c r="H43" s="141">
        <v>2.2200000000000002</v>
      </c>
      <c r="I43" s="141">
        <v>2.52</v>
      </c>
      <c r="J43" s="141">
        <v>2.58</v>
      </c>
      <c r="K43" s="141">
        <v>2.64</v>
      </c>
      <c r="L43" s="141">
        <v>2.7</v>
      </c>
      <c r="M43" s="141">
        <v>2.76</v>
      </c>
      <c r="N43" s="141">
        <v>2.82</v>
      </c>
      <c r="O43" s="141">
        <v>2.88</v>
      </c>
      <c r="P43" s="141">
        <v>2.94</v>
      </c>
      <c r="Q43" s="141">
        <v>3</v>
      </c>
      <c r="R43" s="141">
        <v>3.06</v>
      </c>
      <c r="S43" s="141">
        <v>3.12</v>
      </c>
      <c r="T43" s="141">
        <v>3.18</v>
      </c>
    </row>
    <row r="44" spans="1:20">
      <c r="A44" s="36" t="s">
        <v>355</v>
      </c>
      <c r="B44" s="37">
        <v>0.1</v>
      </c>
      <c r="F44" s="141">
        <v>0</v>
      </c>
      <c r="G44" s="141">
        <v>0</v>
      </c>
      <c r="H44" s="141">
        <v>0</v>
      </c>
      <c r="I44" s="141">
        <v>0.1</v>
      </c>
      <c r="J44" s="141">
        <v>0.12</v>
      </c>
      <c r="K44" s="141">
        <v>0.14000000000000001</v>
      </c>
      <c r="L44" s="141">
        <v>0.16</v>
      </c>
      <c r="M44" s="141">
        <v>0.18</v>
      </c>
      <c r="N44" s="141">
        <v>0.2</v>
      </c>
      <c r="O44" s="141">
        <v>0.22</v>
      </c>
      <c r="P44" s="141">
        <v>0.24</v>
      </c>
      <c r="Q44" s="141">
        <v>0.26</v>
      </c>
      <c r="R44" s="141">
        <v>0.28000000000000003</v>
      </c>
      <c r="S44" s="141">
        <v>0.3</v>
      </c>
      <c r="T44" s="141">
        <v>0.32</v>
      </c>
    </row>
    <row r="45" spans="1:20">
      <c r="A45" s="36" t="s">
        <v>356</v>
      </c>
      <c r="B45" s="37">
        <v>0.2</v>
      </c>
      <c r="F45" s="141">
        <v>0</v>
      </c>
      <c r="G45" s="141">
        <v>0</v>
      </c>
      <c r="H45" s="141">
        <v>0</v>
      </c>
      <c r="I45" s="141">
        <v>0.1</v>
      </c>
      <c r="J45" s="141">
        <v>0.1</v>
      </c>
      <c r="K45" s="141">
        <v>0.1</v>
      </c>
      <c r="L45" s="141">
        <v>0.12</v>
      </c>
      <c r="M45" s="141">
        <v>0.12</v>
      </c>
      <c r="N45" s="141">
        <v>0.12</v>
      </c>
      <c r="O45" s="141">
        <v>0.14000000000000001</v>
      </c>
      <c r="P45" s="141">
        <v>0.14000000000000001</v>
      </c>
      <c r="Q45" s="141">
        <v>0.14000000000000001</v>
      </c>
      <c r="R45" s="141">
        <v>0.16</v>
      </c>
      <c r="S45" s="141">
        <v>0.16</v>
      </c>
      <c r="T45" s="141">
        <v>0.2</v>
      </c>
    </row>
    <row r="46" spans="1:20">
      <c r="A46" s="205" t="s">
        <v>887</v>
      </c>
      <c r="B46" s="206"/>
      <c r="F46" s="202">
        <f>SUM(F40:F45)</f>
        <v>28.74</v>
      </c>
      <c r="G46" s="202">
        <f t="shared" ref="G46:T46" si="0">SUM(G40:G45)</f>
        <v>28.74</v>
      </c>
      <c r="H46" s="202">
        <f t="shared" si="0"/>
        <v>28.74</v>
      </c>
      <c r="I46" s="202">
        <f t="shared" si="0"/>
        <v>30.840000000000003</v>
      </c>
      <c r="J46" s="202">
        <f t="shared" si="0"/>
        <v>31.240000000000006</v>
      </c>
      <c r="K46" s="202">
        <f t="shared" si="0"/>
        <v>31.64</v>
      </c>
      <c r="L46" s="202">
        <f t="shared" si="0"/>
        <v>32.059999999999995</v>
      </c>
      <c r="M46" s="202">
        <f t="shared" si="0"/>
        <v>32.449999999999996</v>
      </c>
      <c r="N46" s="202">
        <f t="shared" si="0"/>
        <v>32.86</v>
      </c>
      <c r="O46" s="202">
        <f t="shared" si="0"/>
        <v>33.28</v>
      </c>
      <c r="P46" s="202">
        <f t="shared" si="0"/>
        <v>33.68</v>
      </c>
      <c r="Q46" s="202">
        <f t="shared" si="0"/>
        <v>34.08</v>
      </c>
      <c r="R46" s="202">
        <f t="shared" si="0"/>
        <v>34.49</v>
      </c>
      <c r="S46" s="202">
        <f t="shared" si="0"/>
        <v>34.899999999999991</v>
      </c>
      <c r="T46" s="202">
        <f t="shared" si="0"/>
        <v>35.340000000000003</v>
      </c>
    </row>
    <row r="48" spans="1:20" s="15" customFormat="1">
      <c r="A48" s="248" t="s">
        <v>364</v>
      </c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</row>
    <row r="50" spans="1:22">
      <c r="A50" s="3" t="s">
        <v>362</v>
      </c>
      <c r="F50" s="141">
        <f xml:space="preserve"> ASSUMPTIONS!B58/3</f>
        <v>7.5</v>
      </c>
      <c r="G50" s="141">
        <f xml:space="preserve"> ASSUMPTIONS!B58/3</f>
        <v>7.5</v>
      </c>
      <c r="H50" s="141">
        <f xml:space="preserve"> ASSUMPTIONS!B58/3</f>
        <v>7.5</v>
      </c>
      <c r="I50" s="141">
        <f xml:space="preserve"> I51*REVENUE!Q14</f>
        <v>0</v>
      </c>
      <c r="J50" s="141">
        <f xml:space="preserve"> J51*REVENUE!R14</f>
        <v>0</v>
      </c>
      <c r="K50" s="141">
        <f xml:space="preserve"> (K51*REVENUE!S14) + SUM(ASSUMPTIONS!G52:G53)</f>
        <v>95</v>
      </c>
      <c r="L50" s="141">
        <f>L51*REVENUE!T14+SUM(ASSUMPTIONS!G55:G58)</f>
        <v>48</v>
      </c>
      <c r="M50" s="141">
        <f xml:space="preserve"> M51*REVENUE!U14 + SUM(ASSUMPTIONS!G54)</f>
        <v>15</v>
      </c>
      <c r="N50" s="141">
        <f xml:space="preserve"> N51*REVENUE!V14</f>
        <v>0</v>
      </c>
      <c r="O50" s="141">
        <f xml:space="preserve"> O51*REVENUE!W14</f>
        <v>0</v>
      </c>
      <c r="P50" s="141">
        <f xml:space="preserve"> P51*REVENUE!X14</f>
        <v>0</v>
      </c>
      <c r="Q50" s="141">
        <f xml:space="preserve"> Q51*REVENUE!Y14</f>
        <v>0</v>
      </c>
      <c r="R50" s="141">
        <f xml:space="preserve"> R51*REVENUE!Z14</f>
        <v>0</v>
      </c>
      <c r="S50" s="141">
        <f xml:space="preserve"> S51*REVENUE!AA14</f>
        <v>0</v>
      </c>
      <c r="T50" s="141">
        <f xml:space="preserve"> T51*REVENUE!AB14</f>
        <v>0</v>
      </c>
    </row>
    <row r="51" spans="1:22">
      <c r="A51" s="3" t="s">
        <v>363</v>
      </c>
      <c r="F51" s="150">
        <v>0</v>
      </c>
      <c r="G51" s="150">
        <v>0</v>
      </c>
      <c r="H51" s="150">
        <v>0</v>
      </c>
      <c r="I51" s="150">
        <v>0.04</v>
      </c>
      <c r="J51" s="150">
        <v>0.04</v>
      </c>
      <c r="K51" s="150">
        <v>0.04</v>
      </c>
      <c r="L51" s="150">
        <v>0.04</v>
      </c>
      <c r="M51" s="150">
        <v>0.04</v>
      </c>
      <c r="N51" s="150">
        <v>0.04</v>
      </c>
      <c r="O51" s="150">
        <v>0.04</v>
      </c>
      <c r="P51" s="150">
        <v>0.04</v>
      </c>
      <c r="Q51" s="150">
        <v>0.04</v>
      </c>
      <c r="R51" s="150">
        <v>0.04</v>
      </c>
      <c r="S51" s="150">
        <v>0.04</v>
      </c>
      <c r="T51" s="150">
        <v>0.04</v>
      </c>
    </row>
    <row r="53" spans="1:22" s="181" customFormat="1" ht="21">
      <c r="A53" s="229" t="s">
        <v>365</v>
      </c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</row>
    <row r="55" spans="1:22" s="15" customFormat="1">
      <c r="A55" s="248" t="s">
        <v>366</v>
      </c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</row>
    <row r="57" spans="1:22" s="112" customFormat="1">
      <c r="A57" s="249" t="s">
        <v>367</v>
      </c>
      <c r="B57" s="249"/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</row>
    <row r="59" spans="1:22">
      <c r="A59" s="3" t="s">
        <v>368</v>
      </c>
      <c r="F59" s="59"/>
      <c r="G59" s="59"/>
      <c r="H59" s="59"/>
      <c r="I59" s="59">
        <v>50</v>
      </c>
      <c r="J59" s="59">
        <v>50</v>
      </c>
      <c r="K59" s="59">
        <v>50</v>
      </c>
      <c r="L59" s="59">
        <v>50</v>
      </c>
      <c r="M59" s="59">
        <v>50</v>
      </c>
      <c r="N59" s="59">
        <v>50</v>
      </c>
      <c r="O59" s="59">
        <v>50</v>
      </c>
      <c r="P59" s="59">
        <v>50</v>
      </c>
      <c r="Q59" s="59">
        <v>50</v>
      </c>
      <c r="R59" s="59">
        <v>50</v>
      </c>
      <c r="S59" s="59">
        <v>50</v>
      </c>
      <c r="T59" s="59">
        <v>50</v>
      </c>
    </row>
    <row r="60" spans="1:22">
      <c r="A60" s="3" t="s">
        <v>691</v>
      </c>
      <c r="F60" s="150">
        <v>0.14000000000000001</v>
      </c>
      <c r="G60" s="150">
        <v>0.14000000000000001</v>
      </c>
      <c r="H60" s="150">
        <v>0.14000000000000001</v>
      </c>
      <c r="I60" s="150">
        <v>0.14000000000000001</v>
      </c>
      <c r="J60" s="150">
        <v>0.14000000000000001</v>
      </c>
      <c r="K60" s="150">
        <v>0.14000000000000001</v>
      </c>
      <c r="L60" s="150">
        <v>0.14000000000000001</v>
      </c>
      <c r="M60" s="150">
        <v>0.14000000000000001</v>
      </c>
      <c r="N60" s="150">
        <v>0.14000000000000001</v>
      </c>
      <c r="O60" s="150">
        <v>0.14000000000000001</v>
      </c>
      <c r="P60" s="150">
        <v>0.14000000000000001</v>
      </c>
      <c r="Q60" s="150">
        <v>0.14000000000000001</v>
      </c>
      <c r="R60" s="150">
        <v>0.14000000000000001</v>
      </c>
      <c r="S60" s="150">
        <v>0.14000000000000001</v>
      </c>
      <c r="T60" s="150">
        <v>0.14000000000000001</v>
      </c>
    </row>
    <row r="61" spans="1:22">
      <c r="A61" s="3" t="s">
        <v>170</v>
      </c>
      <c r="F61" s="59"/>
      <c r="G61" s="59"/>
      <c r="H61" s="59"/>
      <c r="I61" s="59">
        <v>1</v>
      </c>
      <c r="J61" s="59">
        <f>1.14</f>
        <v>1.1399999999999999</v>
      </c>
      <c r="K61" s="59">
        <f>1.2996</f>
        <v>1.2996000000000001</v>
      </c>
      <c r="L61" s="59">
        <f>1.4815</f>
        <v>1.4815</v>
      </c>
      <c r="M61" s="59">
        <f>1.689</f>
        <v>1.6890000000000001</v>
      </c>
      <c r="N61" s="59">
        <f>1.9254</f>
        <v>1.9254</v>
      </c>
      <c r="O61" s="59">
        <f>2.195</f>
        <v>2.1949999999999998</v>
      </c>
      <c r="P61" s="59">
        <f>2.5023</f>
        <v>2.5023</v>
      </c>
      <c r="Q61" s="59">
        <f>2.8526</f>
        <v>2.8525999999999998</v>
      </c>
      <c r="R61" s="59">
        <f>3.2519</f>
        <v>3.2519</v>
      </c>
      <c r="S61" s="59">
        <f>3.7072</f>
        <v>3.7071999999999998</v>
      </c>
      <c r="T61" s="59">
        <f>4.2262</f>
        <v>4.2262000000000004</v>
      </c>
    </row>
    <row r="62" spans="1:22">
      <c r="A62" s="3" t="s">
        <v>369</v>
      </c>
      <c r="F62" s="141">
        <v>0</v>
      </c>
      <c r="G62" s="141">
        <v>0</v>
      </c>
      <c r="H62" s="141">
        <v>0</v>
      </c>
      <c r="I62" s="141">
        <v>1.5</v>
      </c>
      <c r="J62" s="141">
        <f>I62*J61</f>
        <v>1.71</v>
      </c>
      <c r="K62" s="141">
        <f>I62*K61</f>
        <v>1.9494000000000002</v>
      </c>
      <c r="L62" s="141">
        <f>I62*L61</f>
        <v>2.2222499999999998</v>
      </c>
      <c r="M62" s="141">
        <f>I62*M61</f>
        <v>2.5335000000000001</v>
      </c>
      <c r="N62" s="141">
        <f>I62*N61</f>
        <v>2.8881000000000001</v>
      </c>
      <c r="O62" s="141">
        <f>I62*O61</f>
        <v>3.2924999999999995</v>
      </c>
      <c r="P62" s="141">
        <f>I62*P61</f>
        <v>3.75345</v>
      </c>
      <c r="Q62" s="141">
        <f>I62*Q61</f>
        <v>4.2789000000000001</v>
      </c>
      <c r="R62" s="141">
        <f>I62*R61</f>
        <v>4.8778500000000005</v>
      </c>
      <c r="S62" s="141">
        <f>I62*S61</f>
        <v>5.5607999999999995</v>
      </c>
      <c r="T62" s="141">
        <f>I62*T61</f>
        <v>6.3393000000000006</v>
      </c>
    </row>
    <row r="64" spans="1:22" s="112" customFormat="1">
      <c r="A64" s="249" t="s">
        <v>370</v>
      </c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</row>
    <row r="66" spans="1:22">
      <c r="A66" s="3" t="s">
        <v>371</v>
      </c>
      <c r="F66" s="59">
        <v>0</v>
      </c>
      <c r="G66" s="59">
        <v>0</v>
      </c>
      <c r="H66" s="59">
        <v>0</v>
      </c>
      <c r="I66" s="59">
        <v>32</v>
      </c>
      <c r="J66" s="59">
        <v>32</v>
      </c>
      <c r="K66" s="59">
        <v>32</v>
      </c>
      <c r="L66" s="59">
        <v>32</v>
      </c>
      <c r="M66" s="59">
        <v>32</v>
      </c>
      <c r="N66" s="59">
        <v>32</v>
      </c>
      <c r="O66" s="59">
        <v>32</v>
      </c>
      <c r="P66" s="59">
        <v>32</v>
      </c>
      <c r="Q66" s="59">
        <v>32</v>
      </c>
      <c r="R66" s="59">
        <v>32</v>
      </c>
      <c r="S66" s="59">
        <v>32</v>
      </c>
      <c r="T66" s="59">
        <v>32</v>
      </c>
    </row>
    <row r="67" spans="1:22">
      <c r="A67" s="3" t="s">
        <v>751</v>
      </c>
      <c r="F67" s="141">
        <f xml:space="preserve"> REVENUE!N14/365*32</f>
        <v>0</v>
      </c>
      <c r="G67" s="141">
        <f xml:space="preserve"> REVENUE!O14/365*32</f>
        <v>0</v>
      </c>
      <c r="H67" s="141">
        <f xml:space="preserve"> REVENUE!P14/365*32</f>
        <v>0</v>
      </c>
      <c r="I67" s="141">
        <f xml:space="preserve"> REVENUE!Q14/365*32</f>
        <v>0</v>
      </c>
      <c r="J67" s="141">
        <f xml:space="preserve"> REVENUE!R14/365*32</f>
        <v>0</v>
      </c>
      <c r="K67" s="141">
        <f xml:space="preserve"> REVENUE!S14/365*32</f>
        <v>0</v>
      </c>
      <c r="L67" s="141">
        <f xml:space="preserve"> REVENUE!T14/365*32</f>
        <v>0</v>
      </c>
      <c r="M67" s="141">
        <f xml:space="preserve"> REVENUE!U14/365*32</f>
        <v>0</v>
      </c>
      <c r="N67" s="141">
        <f xml:space="preserve"> REVENUE!V14/365*32</f>
        <v>0</v>
      </c>
      <c r="O67" s="141">
        <f xml:space="preserve"> REVENUE!W14/365*32</f>
        <v>0</v>
      </c>
      <c r="P67" s="141">
        <f xml:space="preserve"> REVENUE!X14/365*32</f>
        <v>0</v>
      </c>
      <c r="Q67" s="141">
        <f xml:space="preserve"> REVENUE!Y14/365*32</f>
        <v>0</v>
      </c>
      <c r="R67" s="141">
        <f xml:space="preserve"> REVENUE!Z14/365*32</f>
        <v>0</v>
      </c>
      <c r="S67" s="141">
        <f xml:space="preserve"> REVENUE!AA14/365*32</f>
        <v>0</v>
      </c>
      <c r="T67" s="141">
        <f xml:space="preserve"> REVENUE!AB14/365*32</f>
        <v>0</v>
      </c>
    </row>
    <row r="69" spans="1:22" s="15" customFormat="1">
      <c r="A69" s="248" t="s">
        <v>372</v>
      </c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</row>
    <row r="71" spans="1:22">
      <c r="A71" s="3" t="s">
        <v>373</v>
      </c>
    </row>
    <row r="72" spans="1:22">
      <c r="A72" s="3" t="s">
        <v>374</v>
      </c>
    </row>
    <row r="73" spans="1:22">
      <c r="A73" s="3" t="s">
        <v>375</v>
      </c>
    </row>
    <row r="75" spans="1:22" s="181" customFormat="1" ht="21">
      <c r="A75" s="229" t="s">
        <v>376</v>
      </c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</row>
    <row r="77" spans="1:22" s="15" customFormat="1">
      <c r="A77" s="248" t="s">
        <v>377</v>
      </c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</row>
    <row r="79" spans="1:22">
      <c r="A79" s="3" t="s">
        <v>378</v>
      </c>
      <c r="F79" s="59">
        <v>50</v>
      </c>
      <c r="G79" s="59">
        <v>50</v>
      </c>
      <c r="H79" s="59">
        <v>50</v>
      </c>
      <c r="I79" s="59">
        <v>50</v>
      </c>
      <c r="J79" s="59">
        <v>50</v>
      </c>
      <c r="K79" s="59">
        <v>50</v>
      </c>
      <c r="L79" s="59">
        <v>50</v>
      </c>
      <c r="M79" s="59">
        <v>50</v>
      </c>
      <c r="N79" s="59">
        <v>50</v>
      </c>
      <c r="O79" s="59">
        <v>50</v>
      </c>
      <c r="P79" s="59">
        <v>50</v>
      </c>
      <c r="Q79" s="59">
        <v>50</v>
      </c>
      <c r="R79" s="59">
        <v>50</v>
      </c>
      <c r="S79" s="59">
        <v>50</v>
      </c>
      <c r="T79" s="59">
        <v>50</v>
      </c>
    </row>
    <row r="80" spans="1:22">
      <c r="A80" s="3" t="s">
        <v>694</v>
      </c>
      <c r="F80" s="141">
        <v>0</v>
      </c>
      <c r="G80" s="141">
        <v>0</v>
      </c>
      <c r="H80" s="141">
        <v>0</v>
      </c>
      <c r="I80" s="141">
        <v>0</v>
      </c>
      <c r="J80" s="141" t="e">
        <f xml:space="preserve"> ('DIRECT EXPENSES(COGS)'!K14)*50/365</f>
        <v>#REF!</v>
      </c>
      <c r="K80" s="141" t="e">
        <f xml:space="preserve"> ('DIRECT EXPENSES(COGS)'!L14)*50/365</f>
        <v>#REF!</v>
      </c>
      <c r="L80" s="141" t="e">
        <f xml:space="preserve"> ('DIRECT EXPENSES(COGS)'!M14)*50/365</f>
        <v>#REF!</v>
      </c>
      <c r="M80" s="141" t="e">
        <f xml:space="preserve"> ('DIRECT EXPENSES(COGS)'!N14)*50/365</f>
        <v>#REF!</v>
      </c>
      <c r="N80" s="141" t="e">
        <f xml:space="preserve"> ('DIRECT EXPENSES(COGS)'!O14)*50/365</f>
        <v>#REF!</v>
      </c>
      <c r="O80" s="141" t="e">
        <f xml:space="preserve"> ('DIRECT EXPENSES(COGS)'!P14)*50/365</f>
        <v>#REF!</v>
      </c>
      <c r="P80" s="141" t="e">
        <f xml:space="preserve"> ('DIRECT EXPENSES(COGS)'!Q14)*50/365</f>
        <v>#REF!</v>
      </c>
      <c r="Q80" s="141" t="e">
        <f xml:space="preserve"> ('DIRECT EXPENSES(COGS)'!R14)*50/365</f>
        <v>#REF!</v>
      </c>
      <c r="R80" s="141" t="e">
        <f xml:space="preserve"> ('DIRECT EXPENSES(COGS)'!S14)*50/365</f>
        <v>#REF!</v>
      </c>
      <c r="S80" s="141" t="e">
        <f xml:space="preserve"> ('DIRECT EXPENSES(COGS)'!T14)*50/365</f>
        <v>#REF!</v>
      </c>
      <c r="T80" s="141" t="e">
        <f xml:space="preserve"> ('DIRECT EXPENSES(COGS)'!U14)*50/365</f>
        <v>#REF!</v>
      </c>
    </row>
    <row r="81" spans="1:20">
      <c r="A81" s="3" t="s">
        <v>693</v>
      </c>
      <c r="F81" s="141">
        <v>0</v>
      </c>
      <c r="G81" s="141">
        <v>0</v>
      </c>
      <c r="H81" s="141">
        <v>0</v>
      </c>
      <c r="I81" s="141" t="e">
        <f xml:space="preserve"> ('DIRECT EXPENSES(COGS)'!K14)*50/365</f>
        <v>#REF!</v>
      </c>
      <c r="J81" s="141" t="e">
        <f xml:space="preserve"> 'DIRECT EXPENSES(COGS)'!L14*50/365</f>
        <v>#REF!</v>
      </c>
      <c r="K81" s="141" t="e">
        <f xml:space="preserve"> 'DIRECT EXPENSES(COGS)'!M14*50/365</f>
        <v>#REF!</v>
      </c>
      <c r="L81" s="141" t="e">
        <f xml:space="preserve"> 'DIRECT EXPENSES(COGS)'!N14*50/365</f>
        <v>#REF!</v>
      </c>
      <c r="M81" s="141" t="e">
        <f xml:space="preserve"> 'DIRECT EXPENSES(COGS)'!O14*50/365</f>
        <v>#REF!</v>
      </c>
      <c r="N81" s="141" t="e">
        <f xml:space="preserve"> 'DIRECT EXPENSES(COGS)'!P14*50/365</f>
        <v>#REF!</v>
      </c>
      <c r="O81" s="141" t="e">
        <f xml:space="preserve"> 'DIRECT EXPENSES(COGS)'!Q14*50/365</f>
        <v>#REF!</v>
      </c>
      <c r="P81" s="141" t="e">
        <f xml:space="preserve"> 'DIRECT EXPENSES(COGS)'!R14*50/365</f>
        <v>#REF!</v>
      </c>
      <c r="Q81" s="141" t="e">
        <f xml:space="preserve"> 'DIRECT EXPENSES(COGS)'!S14*50/365</f>
        <v>#REF!</v>
      </c>
      <c r="R81" s="141" t="e">
        <f xml:space="preserve"> 'DIRECT EXPENSES(COGS)'!T14*50/365</f>
        <v>#REF!</v>
      </c>
      <c r="S81" s="141" t="e">
        <f xml:space="preserve"> 'DIRECT EXPENSES(COGS)'!U14*50/365</f>
        <v>#REF!</v>
      </c>
      <c r="T81" s="141" t="e">
        <f xml:space="preserve"> 'DIRECT EXPENSES(COGS)'!V14*50/365</f>
        <v>#REF!</v>
      </c>
    </row>
    <row r="82" spans="1:20">
      <c r="A82" s="3" t="s">
        <v>692</v>
      </c>
      <c r="F82" s="141">
        <v>0</v>
      </c>
      <c r="G82" s="141">
        <v>0</v>
      </c>
      <c r="H82" s="141">
        <v>0</v>
      </c>
      <c r="I82" s="141" t="e">
        <f xml:space="preserve"> SUM(I81, I80)/2</f>
        <v>#REF!</v>
      </c>
      <c r="J82" s="141" t="e">
        <f xml:space="preserve"> SUM(J80:J81)/2</f>
        <v>#REF!</v>
      </c>
      <c r="K82" s="141" t="e">
        <f t="shared" ref="K82:T82" si="1" xml:space="preserve"> SUM(K80:K81)/2</f>
        <v>#REF!</v>
      </c>
      <c r="L82" s="141" t="e">
        <f t="shared" si="1"/>
        <v>#REF!</v>
      </c>
      <c r="M82" s="141" t="e">
        <f t="shared" si="1"/>
        <v>#REF!</v>
      </c>
      <c r="N82" s="141" t="e">
        <f t="shared" si="1"/>
        <v>#REF!</v>
      </c>
      <c r="O82" s="141" t="e">
        <f t="shared" si="1"/>
        <v>#REF!</v>
      </c>
      <c r="P82" s="141" t="e">
        <f t="shared" si="1"/>
        <v>#REF!</v>
      </c>
      <c r="Q82" s="141" t="e">
        <f t="shared" si="1"/>
        <v>#REF!</v>
      </c>
      <c r="R82" s="141" t="e">
        <f t="shared" si="1"/>
        <v>#REF!</v>
      </c>
      <c r="S82" s="141" t="e">
        <f t="shared" si="1"/>
        <v>#REF!</v>
      </c>
      <c r="T82" s="141" t="e">
        <f t="shared" si="1"/>
        <v>#REF!</v>
      </c>
    </row>
    <row r="84" spans="1:20" s="15" customFormat="1">
      <c r="A84" s="248" t="s">
        <v>385</v>
      </c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</row>
    <row r="86" spans="1:20">
      <c r="A86" s="28" t="s">
        <v>695</v>
      </c>
      <c r="B86" s="28" t="s">
        <v>709</v>
      </c>
    </row>
    <row r="87" spans="1:20">
      <c r="A87" s="28" t="s">
        <v>696</v>
      </c>
      <c r="B87" s="28" t="s">
        <v>708</v>
      </c>
    </row>
    <row r="88" spans="1:20">
      <c r="A88" s="28" t="s">
        <v>697</v>
      </c>
      <c r="B88" s="7" t="s">
        <v>707</v>
      </c>
    </row>
    <row r="89" spans="1:20">
      <c r="A89" s="28" t="s">
        <v>698</v>
      </c>
      <c r="B89" s="7" t="s">
        <v>706</v>
      </c>
    </row>
    <row r="90" spans="1:20">
      <c r="A90" s="28" t="s">
        <v>699</v>
      </c>
      <c r="B90" s="28" t="s">
        <v>710</v>
      </c>
    </row>
    <row r="91" spans="1:20">
      <c r="A91" s="28" t="s">
        <v>700</v>
      </c>
      <c r="B91" s="28" t="s">
        <v>711</v>
      </c>
    </row>
    <row r="92" spans="1:20">
      <c r="A92" s="28" t="s">
        <v>701</v>
      </c>
      <c r="B92" s="28" t="s">
        <v>712</v>
      </c>
    </row>
    <row r="93" spans="1:20">
      <c r="A93" s="28" t="s">
        <v>702</v>
      </c>
      <c r="B93" s="7" t="s">
        <v>705</v>
      </c>
    </row>
    <row r="94" spans="1:20">
      <c r="A94" s="28" t="s">
        <v>703</v>
      </c>
      <c r="B94" s="28" t="s">
        <v>704</v>
      </c>
    </row>
    <row r="96" spans="1:20">
      <c r="A96" s="3" t="s">
        <v>713</v>
      </c>
      <c r="B96" s="104" t="s">
        <v>714</v>
      </c>
      <c r="F96" s="141" t="e">
        <f xml:space="preserve"> 0.1*'DIRECT EXPENSES(COGS)'!H14</f>
        <v>#REF!</v>
      </c>
      <c r="G96" s="141" t="e">
        <f xml:space="preserve"> 0.1*'DIRECT EXPENSES(COGS)'!I14</f>
        <v>#REF!</v>
      </c>
      <c r="H96" s="141" t="e">
        <f xml:space="preserve"> 0.1*'DIRECT EXPENSES(COGS)'!J14</f>
        <v>#REF!</v>
      </c>
      <c r="I96" s="141" t="e">
        <f xml:space="preserve"> 0.1*'DIRECT EXPENSES(COGS)'!K14</f>
        <v>#REF!</v>
      </c>
      <c r="J96" s="141" t="e">
        <f xml:space="preserve"> 0.1*'DIRECT EXPENSES(COGS)'!L14</f>
        <v>#REF!</v>
      </c>
      <c r="K96" s="141" t="e">
        <f xml:space="preserve"> 0.1*'DIRECT EXPENSES(COGS)'!M14</f>
        <v>#REF!</v>
      </c>
      <c r="L96" s="141" t="e">
        <f xml:space="preserve"> 0.1*'DIRECT EXPENSES(COGS)'!N14</f>
        <v>#REF!</v>
      </c>
      <c r="M96" s="141" t="e">
        <f xml:space="preserve"> 0.1*'DIRECT EXPENSES(COGS)'!O14</f>
        <v>#REF!</v>
      </c>
      <c r="N96" s="141" t="e">
        <f xml:space="preserve"> 0.1*'DIRECT EXPENSES(COGS)'!P14</f>
        <v>#REF!</v>
      </c>
      <c r="O96" s="141" t="e">
        <f xml:space="preserve"> 0.1*'DIRECT EXPENSES(COGS)'!Q14</f>
        <v>#REF!</v>
      </c>
      <c r="P96" s="141" t="e">
        <f xml:space="preserve"> 0.1*'DIRECT EXPENSES(COGS)'!R14</f>
        <v>#REF!</v>
      </c>
      <c r="Q96" s="141" t="e">
        <f xml:space="preserve"> 0.1*'DIRECT EXPENSES(COGS)'!S14</f>
        <v>#REF!</v>
      </c>
      <c r="R96" s="141" t="e">
        <f xml:space="preserve"> 0.1*'DIRECT EXPENSES(COGS)'!T14</f>
        <v>#REF!</v>
      </c>
      <c r="S96" s="141" t="e">
        <f xml:space="preserve"> 0.1*'DIRECT EXPENSES(COGS)'!U14</f>
        <v>#REF!</v>
      </c>
      <c r="T96" s="141" t="e">
        <f xml:space="preserve"> 0.1*'DIRECT EXPENSES(COGS)'!V14</f>
        <v>#REF!</v>
      </c>
    </row>
    <row r="98" spans="1:22" s="181" customFormat="1" ht="21">
      <c r="A98" s="229" t="s">
        <v>412</v>
      </c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</row>
    <row r="100" spans="1:22">
      <c r="A100" s="3" t="s">
        <v>413</v>
      </c>
      <c r="F100" s="150">
        <v>0.7</v>
      </c>
      <c r="G100" s="150">
        <v>0.7</v>
      </c>
      <c r="H100" s="150">
        <v>0.7</v>
      </c>
      <c r="I100" s="150">
        <v>0.7</v>
      </c>
      <c r="J100" s="150">
        <v>0.7</v>
      </c>
      <c r="K100" s="150">
        <v>0.7</v>
      </c>
      <c r="L100" s="150">
        <v>0.7</v>
      </c>
      <c r="M100" s="150">
        <v>0.7</v>
      </c>
      <c r="N100" s="150">
        <v>0.7</v>
      </c>
      <c r="O100" s="150">
        <v>0.7</v>
      </c>
      <c r="P100" s="150">
        <v>0.7</v>
      </c>
      <c r="Q100" s="150">
        <v>0.7</v>
      </c>
      <c r="R100" s="150">
        <v>0.7</v>
      </c>
      <c r="S100" s="150">
        <v>0.7</v>
      </c>
      <c r="T100" s="150">
        <v>0.7</v>
      </c>
    </row>
    <row r="101" spans="1:22">
      <c r="A101" s="3" t="s">
        <v>414</v>
      </c>
      <c r="F101" s="59">
        <v>14</v>
      </c>
      <c r="G101" s="59">
        <v>13</v>
      </c>
      <c r="H101" s="59">
        <v>12</v>
      </c>
      <c r="I101" s="59">
        <v>11</v>
      </c>
      <c r="J101" s="59">
        <v>10</v>
      </c>
      <c r="K101" s="59">
        <v>9</v>
      </c>
      <c r="L101" s="59">
        <v>8</v>
      </c>
      <c r="M101" s="59">
        <v>7</v>
      </c>
      <c r="N101" s="59">
        <v>6</v>
      </c>
      <c r="O101" s="59">
        <v>5</v>
      </c>
      <c r="P101" s="59">
        <v>4</v>
      </c>
      <c r="Q101" s="59">
        <v>3</v>
      </c>
      <c r="R101" s="59">
        <v>2</v>
      </c>
      <c r="S101" s="59">
        <v>1</v>
      </c>
      <c r="T101" s="59">
        <v>0</v>
      </c>
    </row>
    <row r="102" spans="1:22">
      <c r="A102" s="3" t="s">
        <v>415</v>
      </c>
      <c r="F102" s="141">
        <f>ASSUMPTIONS!F83</f>
        <v>180</v>
      </c>
      <c r="G102" s="141">
        <f>ASSUMPTIONS!F84</f>
        <v>180</v>
      </c>
      <c r="H102" s="141">
        <f>ASSUMPTIONS!F85</f>
        <v>180</v>
      </c>
      <c r="I102" s="141">
        <f>ASSUMPTIONS!F86</f>
        <v>171.58260328194828</v>
      </c>
      <c r="J102" s="141">
        <f>ASSUMPTIONS!F87</f>
        <v>162.3234668920914</v>
      </c>
      <c r="K102" s="141">
        <f>ASSUMPTIONS!F88</f>
        <v>152.13841686324884</v>
      </c>
      <c r="L102" s="141">
        <f>ASSUMPTIONS!F89</f>
        <v>140.934861831522</v>
      </c>
      <c r="M102" s="141">
        <f>ASSUMPTIONS!F90</f>
        <v>128.61095129662249</v>
      </c>
      <c r="N102" s="141">
        <f>ASSUMPTIONS!F91</f>
        <v>115.05464970823301</v>
      </c>
      <c r="O102" s="141">
        <f>ASSUMPTIONS!F92</f>
        <v>100.14271796100459</v>
      </c>
      <c r="P102" s="141">
        <f>ASSUMPTIONS!F93</f>
        <v>83.739593039053332</v>
      </c>
      <c r="Q102" s="141">
        <f>ASSUMPTIONS!F94</f>
        <v>65.69615562490695</v>
      </c>
      <c r="R102" s="141">
        <f>ASSUMPTIONS!F95</f>
        <v>45.848374469345927</v>
      </c>
      <c r="S102" s="141">
        <f>ASSUMPTIONS!F96</f>
        <v>24.0158151982288</v>
      </c>
      <c r="T102" s="141">
        <f>ASSUMPTIONS!F97</f>
        <v>-3.907985046680551E-14</v>
      </c>
    </row>
    <row r="103" spans="1:22">
      <c r="A103" s="3" t="s">
        <v>718</v>
      </c>
      <c r="F103" s="59">
        <v>3</v>
      </c>
      <c r="G103" s="59">
        <v>2</v>
      </c>
      <c r="H103" s="59">
        <v>1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</row>
    <row r="104" spans="1:22">
      <c r="A104" s="3" t="s">
        <v>396</v>
      </c>
      <c r="F104" s="150">
        <v>0.1</v>
      </c>
      <c r="G104" s="150">
        <v>0.1</v>
      </c>
      <c r="H104" s="150">
        <v>0.1</v>
      </c>
      <c r="I104" s="150">
        <v>0.1</v>
      </c>
      <c r="J104" s="150">
        <v>0.1</v>
      </c>
      <c r="K104" s="150">
        <v>0.1</v>
      </c>
      <c r="L104" s="150">
        <v>0.1</v>
      </c>
      <c r="M104" s="150">
        <v>0.1</v>
      </c>
      <c r="N104" s="150">
        <v>0.1</v>
      </c>
      <c r="O104" s="150">
        <v>0.1</v>
      </c>
      <c r="P104" s="150">
        <v>0.1</v>
      </c>
      <c r="Q104" s="150">
        <v>0.1</v>
      </c>
      <c r="R104" s="150">
        <v>0.1</v>
      </c>
      <c r="S104" s="150">
        <v>0.1</v>
      </c>
      <c r="T104" s="150">
        <v>0.1</v>
      </c>
    </row>
    <row r="105" spans="1:22">
      <c r="A105" s="3" t="s">
        <v>737</v>
      </c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7" spans="1:22" s="181" customFormat="1" ht="21">
      <c r="A107" s="229" t="s">
        <v>422</v>
      </c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</row>
    <row r="109" spans="1:22">
      <c r="A109" s="3" t="s">
        <v>423</v>
      </c>
      <c r="B109" s="2" t="s">
        <v>720</v>
      </c>
    </row>
    <row r="110" spans="1:22">
      <c r="A110" s="3" t="s">
        <v>424</v>
      </c>
      <c r="B110" s="2" t="s">
        <v>719</v>
      </c>
    </row>
    <row r="111" spans="1:22">
      <c r="A111" s="3" t="s">
        <v>425</v>
      </c>
      <c r="B111" s="2"/>
      <c r="F111" s="59">
        <v>0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  <c r="S111" s="59">
        <v>0</v>
      </c>
      <c r="T111" s="59">
        <v>0</v>
      </c>
    </row>
  </sheetData>
  <mergeCells count="21">
    <mergeCell ref="A107:V107"/>
    <mergeCell ref="A69:O69"/>
    <mergeCell ref="A77:O77"/>
    <mergeCell ref="A84:O84"/>
    <mergeCell ref="A75:V75"/>
    <mergeCell ref="A98:V98"/>
    <mergeCell ref="A48:O48"/>
    <mergeCell ref="A55:O55"/>
    <mergeCell ref="A57:O57"/>
    <mergeCell ref="A64:O64"/>
    <mergeCell ref="A53:V53"/>
    <mergeCell ref="A31:O31"/>
    <mergeCell ref="A33:O33"/>
    <mergeCell ref="A37:O37"/>
    <mergeCell ref="F39:O39"/>
    <mergeCell ref="A29:V29"/>
    <mergeCell ref="A5:V5"/>
    <mergeCell ref="A12:V12"/>
    <mergeCell ref="A17:V17"/>
    <mergeCell ref="A21:V21"/>
    <mergeCell ref="A25:V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345A-4D59-46A0-9CF5-A18A9E4FF5C7}">
  <dimension ref="A1:X90"/>
  <sheetViews>
    <sheetView showGridLines="0" topLeftCell="A67" zoomScale="70" zoomScaleNormal="100" workbookViewId="0">
      <selection activeCell="I73" sqref="I73:W73"/>
    </sheetView>
  </sheetViews>
  <sheetFormatPr defaultRowHeight="14.4"/>
  <cols>
    <col min="1" max="1" width="34" bestFit="1" customWidth="1"/>
    <col min="2" max="2" width="9.44140625" bestFit="1" customWidth="1"/>
    <col min="9" max="11" width="10.109375" bestFit="1" customWidth="1"/>
    <col min="12" max="12" width="10.44140625" bestFit="1" customWidth="1"/>
    <col min="13" max="17" width="10.109375" bestFit="1" customWidth="1"/>
    <col min="18" max="18" width="11.5546875" bestFit="1" customWidth="1"/>
    <col min="19" max="22" width="10.109375" bestFit="1" customWidth="1"/>
    <col min="23" max="23" width="10.88671875" bestFit="1" customWidth="1"/>
  </cols>
  <sheetData>
    <row r="1" spans="1:23">
      <c r="A1" s="5" t="s">
        <v>18</v>
      </c>
      <c r="I1" s="10" t="s">
        <v>19</v>
      </c>
      <c r="J1" s="10" t="s">
        <v>19</v>
      </c>
      <c r="K1" s="10" t="s">
        <v>19</v>
      </c>
      <c r="L1" s="10" t="s">
        <v>19</v>
      </c>
      <c r="M1" s="10" t="s">
        <v>19</v>
      </c>
      <c r="N1" s="10" t="s">
        <v>19</v>
      </c>
      <c r="O1" s="10" t="s">
        <v>19</v>
      </c>
      <c r="P1" s="10" t="s">
        <v>19</v>
      </c>
      <c r="Q1" s="10" t="s">
        <v>19</v>
      </c>
      <c r="R1" s="10" t="s">
        <v>19</v>
      </c>
      <c r="S1" s="10" t="s">
        <v>19</v>
      </c>
      <c r="T1" s="10" t="s">
        <v>19</v>
      </c>
      <c r="U1" s="10" t="s">
        <v>19</v>
      </c>
      <c r="V1" s="10" t="s">
        <v>19</v>
      </c>
      <c r="W1" s="10" t="s">
        <v>19</v>
      </c>
    </row>
    <row r="2" spans="1:23">
      <c r="A2" s="5" t="s">
        <v>23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20</v>
      </c>
      <c r="Q2" s="10" t="s">
        <v>21</v>
      </c>
      <c r="R2" s="10" t="s">
        <v>22</v>
      </c>
      <c r="S2" s="10" t="s">
        <v>417</v>
      </c>
      <c r="T2" s="10" t="s">
        <v>418</v>
      </c>
      <c r="U2" s="10" t="s">
        <v>419</v>
      </c>
      <c r="V2" s="10" t="s">
        <v>420</v>
      </c>
      <c r="W2" s="10" t="s">
        <v>421</v>
      </c>
    </row>
    <row r="3" spans="1:23">
      <c r="A3" s="5" t="s">
        <v>24</v>
      </c>
      <c r="I3" s="10">
        <v>1</v>
      </c>
      <c r="J3" s="10">
        <v>2</v>
      </c>
      <c r="K3" s="10">
        <v>3</v>
      </c>
      <c r="L3" s="10">
        <v>4</v>
      </c>
      <c r="M3" s="10">
        <v>5</v>
      </c>
      <c r="N3" s="10">
        <v>6</v>
      </c>
      <c r="O3" s="10">
        <v>7</v>
      </c>
      <c r="P3" s="10">
        <v>8</v>
      </c>
      <c r="Q3" s="10">
        <v>9</v>
      </c>
      <c r="R3" s="10">
        <v>10</v>
      </c>
      <c r="S3" s="10">
        <v>11</v>
      </c>
      <c r="T3" s="10">
        <v>12</v>
      </c>
      <c r="U3" s="10">
        <v>13</v>
      </c>
      <c r="V3" s="10">
        <v>14</v>
      </c>
      <c r="W3" s="10">
        <v>15</v>
      </c>
    </row>
    <row r="6" spans="1:23" s="110" customFormat="1" ht="23.4">
      <c r="A6" s="110" t="s">
        <v>721</v>
      </c>
    </row>
    <row r="8" spans="1:23" s="176" customFormat="1">
      <c r="A8" s="177" t="s">
        <v>723</v>
      </c>
      <c r="I8" s="254" t="e">
        <f>REVENUE!N13</f>
        <v>#REF!</v>
      </c>
      <c r="J8" s="254" t="e">
        <f>REVENUE!O13</f>
        <v>#REF!</v>
      </c>
      <c r="K8" s="254" t="e">
        <f>REVENUE!P13</f>
        <v>#REF!</v>
      </c>
      <c r="L8" s="254" t="e">
        <f>REVENUE!Q13</f>
        <v>#REF!</v>
      </c>
      <c r="M8" s="254" t="e">
        <f>REVENUE!R13</f>
        <v>#REF!</v>
      </c>
      <c r="N8" s="254" t="e">
        <f>REVENUE!S13</f>
        <v>#REF!</v>
      </c>
      <c r="O8" s="254" t="e">
        <f>REVENUE!T13</f>
        <v>#REF!</v>
      </c>
      <c r="P8" s="254" t="e">
        <f>REVENUE!U13</f>
        <v>#REF!</v>
      </c>
      <c r="Q8" s="254" t="e">
        <f>REVENUE!V13</f>
        <v>#REF!</v>
      </c>
      <c r="R8" s="254" t="e">
        <f>REVENUE!W13</f>
        <v>#REF!</v>
      </c>
      <c r="S8" s="254" t="e">
        <f>REVENUE!X13</f>
        <v>#REF!</v>
      </c>
      <c r="T8" s="254" t="e">
        <f>REVENUE!Y13</f>
        <v>#REF!</v>
      </c>
      <c r="U8" s="254" t="e">
        <f>REVENUE!Z13</f>
        <v>#REF!</v>
      </c>
      <c r="V8" s="254" t="e">
        <f>REVENUE!AA13</f>
        <v>#REF!</v>
      </c>
      <c r="W8" s="254" t="e">
        <f>REVENUE!AB13</f>
        <v>#REF!</v>
      </c>
    </row>
    <row r="9" spans="1:23" s="112" customFormat="1">
      <c r="A9" s="114" t="s">
        <v>722</v>
      </c>
      <c r="I9" s="255" t="str">
        <f>IFERROR((I8-H8)/I8*100,"NA")</f>
        <v>NA</v>
      </c>
      <c r="J9" s="255" t="str">
        <f t="shared" ref="J9:W9" si="0">IFERROR((J8-I8)/J8*100,"NA")</f>
        <v>NA</v>
      </c>
      <c r="K9" s="255" t="str">
        <f t="shared" si="0"/>
        <v>NA</v>
      </c>
      <c r="L9" s="255" t="str">
        <f t="shared" si="0"/>
        <v>NA</v>
      </c>
      <c r="M9" s="255" t="str">
        <f t="shared" si="0"/>
        <v>NA</v>
      </c>
      <c r="N9" s="255" t="str">
        <f t="shared" si="0"/>
        <v>NA</v>
      </c>
      <c r="O9" s="255" t="str">
        <f t="shared" si="0"/>
        <v>NA</v>
      </c>
      <c r="P9" s="255" t="str">
        <f t="shared" si="0"/>
        <v>NA</v>
      </c>
      <c r="Q9" s="255" t="str">
        <f t="shared" si="0"/>
        <v>NA</v>
      </c>
      <c r="R9" s="255" t="str">
        <f t="shared" si="0"/>
        <v>NA</v>
      </c>
      <c r="S9" s="255" t="str">
        <f t="shared" si="0"/>
        <v>NA</v>
      </c>
      <c r="T9" s="255" t="str">
        <f t="shared" si="0"/>
        <v>NA</v>
      </c>
      <c r="U9" s="255" t="str">
        <f t="shared" si="0"/>
        <v>NA</v>
      </c>
      <c r="V9" s="255" t="str">
        <f t="shared" si="0"/>
        <v>NA</v>
      </c>
      <c r="W9" s="255" t="str">
        <f t="shared" si="0"/>
        <v>NA</v>
      </c>
    </row>
    <row r="10" spans="1:23">
      <c r="A10" s="7" t="s">
        <v>169</v>
      </c>
      <c r="I10" s="256" t="e">
        <f>'DIRECT EXPENSES(COGS)'!H6</f>
        <v>#REF!</v>
      </c>
      <c r="J10" s="256" t="e">
        <f>'DIRECT EXPENSES(COGS)'!I6</f>
        <v>#REF!</v>
      </c>
      <c r="K10" s="256" t="e">
        <f>'DIRECT EXPENSES(COGS)'!J6</f>
        <v>#REF!</v>
      </c>
      <c r="L10" s="256" t="e">
        <f>'DIRECT EXPENSES(COGS)'!K6</f>
        <v>#REF!</v>
      </c>
      <c r="M10" s="256" t="e">
        <f>'DIRECT EXPENSES(COGS)'!L6</f>
        <v>#REF!</v>
      </c>
      <c r="N10" s="256" t="e">
        <f>'DIRECT EXPENSES(COGS)'!M6</f>
        <v>#REF!</v>
      </c>
      <c r="O10" s="256" t="e">
        <f>'DIRECT EXPENSES(COGS)'!N6</f>
        <v>#REF!</v>
      </c>
      <c r="P10" s="256" t="e">
        <f>'DIRECT EXPENSES(COGS)'!O6</f>
        <v>#REF!</v>
      </c>
      <c r="Q10" s="256" t="e">
        <f>'DIRECT EXPENSES(COGS)'!P6</f>
        <v>#REF!</v>
      </c>
      <c r="R10" s="256" t="e">
        <f>'DIRECT EXPENSES(COGS)'!Q6</f>
        <v>#REF!</v>
      </c>
      <c r="S10" s="256" t="e">
        <f>'DIRECT EXPENSES(COGS)'!R6</f>
        <v>#REF!</v>
      </c>
      <c r="T10" s="256" t="e">
        <f>'DIRECT EXPENSES(COGS)'!S6</f>
        <v>#REF!</v>
      </c>
      <c r="U10" s="256" t="e">
        <f>'DIRECT EXPENSES(COGS)'!T6</f>
        <v>#REF!</v>
      </c>
      <c r="V10" s="256" t="e">
        <f>'DIRECT EXPENSES(COGS)'!U6</f>
        <v>#REF!</v>
      </c>
      <c r="W10" s="256" t="e">
        <f>'DIRECT EXPENSES(COGS)'!V6</f>
        <v>#REF!</v>
      </c>
    </row>
    <row r="11" spans="1:23">
      <c r="A11" s="7" t="s">
        <v>171</v>
      </c>
      <c r="I11" s="256">
        <f>'DIRECT EXPENSES(COGS)'!H7</f>
        <v>0</v>
      </c>
      <c r="J11" s="256">
        <f>'DIRECT EXPENSES(COGS)'!I7</f>
        <v>0</v>
      </c>
      <c r="K11" s="256">
        <f>'DIRECT EXPENSES(COGS)'!J7</f>
        <v>0</v>
      </c>
      <c r="L11" s="256">
        <f>'DIRECT EXPENSES(COGS)'!K7</f>
        <v>20.982909548021077</v>
      </c>
      <c r="M11" s="256">
        <f>'DIRECT EXPENSES(COGS)'!L7</f>
        <v>26.85348009869255</v>
      </c>
      <c r="N11" s="256">
        <f>'DIRECT EXPENSES(COGS)'!M7</f>
        <v>51.056302779368885</v>
      </c>
      <c r="O11" s="256">
        <f>'DIRECT EXPENSES(COGS)'!N7</f>
        <v>73.53760876197255</v>
      </c>
      <c r="P11" s="256">
        <f>'DIRECT EXPENSES(COGS)'!O7</f>
        <v>97.571230074957043</v>
      </c>
      <c r="Q11" s="256">
        <f>'DIRECT EXPENSES(COGS)'!P7</f>
        <v>119.10003153273735</v>
      </c>
      <c r="R11" s="256">
        <f>'DIRECT EXPENSES(COGS)'!Q7</f>
        <v>150.41466017302085</v>
      </c>
      <c r="S11" s="256">
        <f>'DIRECT EXPENSES(COGS)'!R7</f>
        <v>179.96437523068701</v>
      </c>
      <c r="T11" s="256">
        <f>'DIRECT EXPENSES(COGS)'!S7</f>
        <v>213.86922145725998</v>
      </c>
      <c r="U11" s="256">
        <f>'DIRECT EXPENSES(COGS)'!T7</f>
        <v>244.20009403458221</v>
      </c>
      <c r="V11" s="256">
        <f>'DIRECT EXPENSES(COGS)'!U7</f>
        <v>278.31127595884044</v>
      </c>
      <c r="W11" s="256">
        <f>'DIRECT EXPENSES(COGS)'!V7</f>
        <v>316.79145745942816</v>
      </c>
    </row>
    <row r="12" spans="1:23">
      <c r="A12" s="7" t="s">
        <v>177</v>
      </c>
      <c r="I12" s="256">
        <f>'DIRECT EXPENSES(COGS)'!H8</f>
        <v>0</v>
      </c>
      <c r="J12" s="256">
        <f>'DIRECT EXPENSES(COGS)'!I8</f>
        <v>0</v>
      </c>
      <c r="K12" s="256">
        <f>'DIRECT EXPENSES(COGS)'!J8</f>
        <v>0</v>
      </c>
      <c r="L12" s="256">
        <f>'DIRECT EXPENSES(COGS)'!K8</f>
        <v>3.1760999999999998E-2</v>
      </c>
      <c r="M12" s="256">
        <f>'DIRECT EXPENSES(COGS)'!L8</f>
        <v>6.2890274999999982E-2</v>
      </c>
      <c r="N12" s="256">
        <f>'DIRECT EXPENSES(COGS)'!M8</f>
        <v>0.11506079970000002</v>
      </c>
      <c r="O12" s="256">
        <f>'DIRECT EXPENSES(COGS)'!N8</f>
        <v>0.195329112</v>
      </c>
      <c r="P12" s="256">
        <f>'DIRECT EXPENSES(COGS)'!O8</f>
        <v>0.285670344375</v>
      </c>
      <c r="Q12" s="256">
        <f>'DIRECT EXPENSES(COGS)'!P8</f>
        <v>0.40188989633000011</v>
      </c>
      <c r="R12" s="256">
        <f>'DIRECT EXPENSES(COGS)'!Q8</f>
        <v>0.54273183583500006</v>
      </c>
      <c r="S12" s="256">
        <f>'DIRECT EXPENSES(COGS)'!R8</f>
        <v>0.70990416560000003</v>
      </c>
      <c r="T12" s="256">
        <f>'DIRECT EXPENSES(COGS)'!S8</f>
        <v>0.91415633017499986</v>
      </c>
      <c r="U12" s="256">
        <f>'DIRECT EXPENSES(COGS)'!T8</f>
        <v>1.1486632859999999</v>
      </c>
      <c r="V12" s="256">
        <f>'DIRECT EXPENSES(COGS)'!U8</f>
        <v>1.3944563221499999</v>
      </c>
      <c r="W12" s="256">
        <f>'DIRECT EXPENSES(COGS)'!V8</f>
        <v>1.69210152</v>
      </c>
    </row>
    <row r="13" spans="1:23">
      <c r="A13" s="7" t="s">
        <v>178</v>
      </c>
      <c r="I13" s="256">
        <f>'DIRECT EXPENSES(COGS)'!H9</f>
        <v>0</v>
      </c>
      <c r="J13" s="256">
        <f>'DIRECT EXPENSES(COGS)'!I9</f>
        <v>0</v>
      </c>
      <c r="K13" s="256">
        <f>'DIRECT EXPENSES(COGS)'!J9</f>
        <v>0</v>
      </c>
      <c r="L13" s="256">
        <f>'DIRECT EXPENSES(COGS)'!K9</f>
        <v>0.10146212999999998</v>
      </c>
      <c r="M13" s="256">
        <f>'DIRECT EXPENSES(COGS)'!L9</f>
        <v>0.24006805514999999</v>
      </c>
      <c r="N13" s="256">
        <f>'DIRECT EXPENSES(COGS)'!M9</f>
        <v>0.55504770109599999</v>
      </c>
      <c r="O13" s="256">
        <f>'DIRECT EXPENSES(COGS)'!N9</f>
        <v>1.1550022847999999</v>
      </c>
      <c r="P13" s="256">
        <f>'DIRECT EXPENSES(COGS)'!O9</f>
        <v>2.4288166980000003</v>
      </c>
      <c r="Q13" s="256">
        <f>'DIRECT EXPENSES(COGS)'!P9</f>
        <v>4.1221656643999998</v>
      </c>
      <c r="R13" s="256">
        <f>'DIRECT EXPENSES(COGS)'!Q9</f>
        <v>6.7171640135985013</v>
      </c>
      <c r="S13" s="256">
        <f>'DIRECT EXPENSES(COGS)'!R9</f>
        <v>10.602585682415999</v>
      </c>
      <c r="T13" s="256">
        <f>'DIRECT EXPENSES(COGS)'!S9</f>
        <v>16.320948855119997</v>
      </c>
      <c r="U13" s="256">
        <f>'DIRECT EXPENSES(COGS)'!T9</f>
        <v>21.831993065400003</v>
      </c>
      <c r="V13" s="256">
        <f>'DIRECT EXPENSES(COGS)'!U9</f>
        <v>29.823459665999994</v>
      </c>
      <c r="W13" s="256">
        <f>'DIRECT EXPENSES(COGS)'!V9</f>
        <v>36.170152572959999</v>
      </c>
    </row>
    <row r="14" spans="1:23">
      <c r="A14" s="7" t="s">
        <v>179</v>
      </c>
      <c r="I14" s="256">
        <f>'DIRECT EXPENSES(COGS)'!H10</f>
        <v>0</v>
      </c>
      <c r="J14" s="256">
        <f>'DIRECT EXPENSES(COGS)'!I10</f>
        <v>0</v>
      </c>
      <c r="K14" s="256">
        <f>'DIRECT EXPENSES(COGS)'!J10</f>
        <v>0</v>
      </c>
      <c r="L14" s="256">
        <f>'DIRECT EXPENSES(COGS)'!K10</f>
        <v>2.9947499999999998E-2</v>
      </c>
      <c r="M14" s="256">
        <f>'DIRECT EXPENSES(COGS)'!L10</f>
        <v>3.2942249999999999E-2</v>
      </c>
      <c r="N14" s="256">
        <f>'DIRECT EXPENSES(COGS)'!M10</f>
        <v>3.6236489999999996E-2</v>
      </c>
      <c r="O14" s="256">
        <f>'DIRECT EXPENSES(COGS)'!N10</f>
        <v>3.9860100000000002E-2</v>
      </c>
      <c r="P14" s="256">
        <f>'DIRECT EXPENSES(COGS)'!O10</f>
        <v>4.3846139999999999E-2</v>
      </c>
      <c r="Q14" s="256">
        <f>'DIRECT EXPENSES(COGS)'!P10</f>
        <v>4.8230759999999998E-2</v>
      </c>
      <c r="R14" s="256">
        <f>'DIRECT EXPENSES(COGS)'!Q10</f>
        <v>5.3053830000000003E-2</v>
      </c>
      <c r="S14" s="256">
        <f>'DIRECT EXPENSES(COGS)'!R10</f>
        <v>5.8359149999999999E-2</v>
      </c>
      <c r="T14" s="256">
        <f>'DIRECT EXPENSES(COGS)'!S10</f>
        <v>6.4195139999999998E-2</v>
      </c>
      <c r="U14" s="256">
        <f>'DIRECT EXPENSES(COGS)'!T10</f>
        <v>7.0614629999999998E-2</v>
      </c>
      <c r="V14" s="256">
        <f>'DIRECT EXPENSES(COGS)'!U10</f>
        <v>7.7676120000000001E-2</v>
      </c>
      <c r="W14" s="256">
        <f>'DIRECT EXPENSES(COGS)'!V10</f>
        <v>8.5443749999999999E-2</v>
      </c>
    </row>
    <row r="15" spans="1:23">
      <c r="A15" s="7" t="s">
        <v>180</v>
      </c>
      <c r="I15" s="256">
        <f>'DIRECT EXPENSES(COGS)'!H11</f>
        <v>0</v>
      </c>
      <c r="J15" s="256">
        <f>'DIRECT EXPENSES(COGS)'!I11</f>
        <v>0</v>
      </c>
      <c r="K15" s="256">
        <f>'DIRECT EXPENSES(COGS)'!J11</f>
        <v>0</v>
      </c>
      <c r="L15" s="256">
        <f>'DIRECT EXPENSES(COGS)'!K11</f>
        <v>2.9947499999999998E-2</v>
      </c>
      <c r="M15" s="256">
        <f>'DIRECT EXPENSES(COGS)'!L11</f>
        <v>3.2942249999999999E-2</v>
      </c>
      <c r="N15" s="256">
        <f>'DIRECT EXPENSES(COGS)'!M11</f>
        <v>3.6236489999999996E-2</v>
      </c>
      <c r="O15" s="256">
        <f>'DIRECT EXPENSES(COGS)'!N11</f>
        <v>3.9860100000000002E-2</v>
      </c>
      <c r="P15" s="256">
        <f>'DIRECT EXPENSES(COGS)'!O11</f>
        <v>4.3846139999999999E-2</v>
      </c>
      <c r="Q15" s="256">
        <f>'DIRECT EXPENSES(COGS)'!P11</f>
        <v>4.8230759999999998E-2</v>
      </c>
      <c r="R15" s="256">
        <f>'DIRECT EXPENSES(COGS)'!Q11</f>
        <v>5.3053830000000003E-2</v>
      </c>
      <c r="S15" s="256">
        <f>'DIRECT EXPENSES(COGS)'!R11</f>
        <v>5.8359149999999999E-2</v>
      </c>
      <c r="T15" s="256">
        <f>'DIRECT EXPENSES(COGS)'!S11</f>
        <v>6.4195139999999998E-2</v>
      </c>
      <c r="U15" s="256">
        <f>'DIRECT EXPENSES(COGS)'!T11</f>
        <v>7.0614629999999998E-2</v>
      </c>
      <c r="V15" s="256">
        <f>'DIRECT EXPENSES(COGS)'!U11</f>
        <v>7.7676120000000001E-2</v>
      </c>
      <c r="W15" s="256">
        <f>'DIRECT EXPENSES(COGS)'!V11</f>
        <v>8.5443749999999999E-2</v>
      </c>
    </row>
    <row r="16" spans="1:23">
      <c r="A16" s="7" t="s">
        <v>181</v>
      </c>
      <c r="I16" s="256" t="e">
        <f>'DIRECT EXPENSES(COGS)'!H12</f>
        <v>#REF!</v>
      </c>
      <c r="J16" s="256" t="e">
        <f>'DIRECT EXPENSES(COGS)'!I12</f>
        <v>#REF!</v>
      </c>
      <c r="K16" s="256" t="e">
        <f>'DIRECT EXPENSES(COGS)'!J12</f>
        <v>#REF!</v>
      </c>
      <c r="L16" s="256" t="e">
        <f>'DIRECT EXPENSES(COGS)'!K12</f>
        <v>#REF!</v>
      </c>
      <c r="M16" s="256" t="e">
        <f>'DIRECT EXPENSES(COGS)'!L12</f>
        <v>#REF!</v>
      </c>
      <c r="N16" s="256" t="e">
        <f>'DIRECT EXPENSES(COGS)'!M12</f>
        <v>#REF!</v>
      </c>
      <c r="O16" s="256" t="e">
        <f>'DIRECT EXPENSES(COGS)'!N12</f>
        <v>#REF!</v>
      </c>
      <c r="P16" s="256" t="e">
        <f>'DIRECT EXPENSES(COGS)'!O12</f>
        <v>#REF!</v>
      </c>
      <c r="Q16" s="256" t="e">
        <f>'DIRECT EXPENSES(COGS)'!P12</f>
        <v>#REF!</v>
      </c>
      <c r="R16" s="256" t="e">
        <f>'DIRECT EXPENSES(COGS)'!Q12</f>
        <v>#REF!</v>
      </c>
      <c r="S16" s="256" t="e">
        <f>'DIRECT EXPENSES(COGS)'!R12</f>
        <v>#REF!</v>
      </c>
      <c r="T16" s="256" t="e">
        <f>'DIRECT EXPENSES(COGS)'!S12</f>
        <v>#REF!</v>
      </c>
      <c r="U16" s="256" t="e">
        <f>'DIRECT EXPENSES(COGS)'!T12</f>
        <v>#REF!</v>
      </c>
      <c r="V16" s="256" t="e">
        <f>'DIRECT EXPENSES(COGS)'!U12</f>
        <v>#REF!</v>
      </c>
      <c r="W16" s="256" t="e">
        <f>'DIRECT EXPENSES(COGS)'!V12</f>
        <v>#REF!</v>
      </c>
    </row>
    <row r="17" spans="1:24">
      <c r="A17" s="7" t="s">
        <v>182</v>
      </c>
      <c r="I17" s="256">
        <f>'DIRECT EXPENSES(COGS)'!H13</f>
        <v>0</v>
      </c>
      <c r="J17" s="256">
        <f>'DIRECT EXPENSES(COGS)'!I13</f>
        <v>0</v>
      </c>
      <c r="K17" s="256">
        <f>'DIRECT EXPENSES(COGS)'!J13</f>
        <v>0</v>
      </c>
      <c r="L17" s="256">
        <f>'DIRECT EXPENSES(COGS)'!K13</f>
        <v>8.0520493624999991E-3</v>
      </c>
      <c r="M17" s="256">
        <f>'DIRECT EXPENSES(COGS)'!L13</f>
        <v>8.8777322105000004E-3</v>
      </c>
      <c r="N17" s="256">
        <f>'DIRECT EXPENSES(COGS)'!M13</f>
        <v>9.7874806545000005E-3</v>
      </c>
      <c r="O17" s="256">
        <f>'DIRECT EXPENSES(COGS)'!N13</f>
        <v>1.07906207345E-2</v>
      </c>
      <c r="P17" s="256">
        <f>'DIRECT EXPENSES(COGS)'!O13</f>
        <v>1.18973840625E-2</v>
      </c>
      <c r="Q17" s="256">
        <f>'DIRECT EXPENSES(COGS)'!P13</f>
        <v>1.3115597710500001E-2</v>
      </c>
      <c r="R17" s="256">
        <f>'DIRECT EXPENSES(COGS)'!Q13</f>
        <v>1.4460567894500001E-2</v>
      </c>
      <c r="S17" s="256">
        <f>'DIRECT EXPENSES(COGS)'!R13</f>
        <v>1.5941937190499997E-2</v>
      </c>
      <c r="T17" s="256">
        <f>'DIRECT EXPENSES(COGS)'!S13</f>
        <v>1.7575692138000001E-2</v>
      </c>
      <c r="U17" s="256">
        <f>'DIRECT EXPENSES(COGS)'!T13</f>
        <v>1.9377406111999999E-2</v>
      </c>
      <c r="V17" s="256">
        <f>'DIRECT EXPENSES(COGS)'!U13</f>
        <v>2.1364021854499999E-2</v>
      </c>
      <c r="W17" s="256">
        <f>'DIRECT EXPENSES(COGS)'!V13</f>
        <v>2.3553947394499997E-2</v>
      </c>
    </row>
    <row r="18" spans="1:24" s="176" customFormat="1">
      <c r="A18" s="177" t="s">
        <v>724</v>
      </c>
      <c r="I18" s="254" t="e">
        <f>SUM(I10:I17)</f>
        <v>#REF!</v>
      </c>
      <c r="J18" s="254" t="e">
        <f t="shared" ref="J18:W18" si="1">SUM(J10:J17)</f>
        <v>#REF!</v>
      </c>
      <c r="K18" s="254" t="e">
        <f t="shared" si="1"/>
        <v>#REF!</v>
      </c>
      <c r="L18" s="254" t="e">
        <f t="shared" si="1"/>
        <v>#REF!</v>
      </c>
      <c r="M18" s="254" t="e">
        <f t="shared" si="1"/>
        <v>#REF!</v>
      </c>
      <c r="N18" s="254" t="e">
        <f t="shared" si="1"/>
        <v>#REF!</v>
      </c>
      <c r="O18" s="254" t="e">
        <f t="shared" si="1"/>
        <v>#REF!</v>
      </c>
      <c r="P18" s="254" t="e">
        <f t="shared" si="1"/>
        <v>#REF!</v>
      </c>
      <c r="Q18" s="254" t="e">
        <f t="shared" si="1"/>
        <v>#REF!</v>
      </c>
      <c r="R18" s="254" t="e">
        <f t="shared" si="1"/>
        <v>#REF!</v>
      </c>
      <c r="S18" s="254" t="e">
        <f t="shared" si="1"/>
        <v>#REF!</v>
      </c>
      <c r="T18" s="254" t="e">
        <f t="shared" si="1"/>
        <v>#REF!</v>
      </c>
      <c r="U18" s="254" t="e">
        <f t="shared" si="1"/>
        <v>#REF!</v>
      </c>
      <c r="V18" s="254" t="e">
        <f t="shared" si="1"/>
        <v>#REF!</v>
      </c>
      <c r="W18" s="254" t="e">
        <f t="shared" si="1"/>
        <v>#REF!</v>
      </c>
    </row>
    <row r="19" spans="1:24" s="112" customFormat="1">
      <c r="A19" s="114" t="s">
        <v>725</v>
      </c>
      <c r="I19" s="257" t="str">
        <f xml:space="preserve"> IFERROR(I18/I8, "NA")</f>
        <v>NA</v>
      </c>
      <c r="J19" s="257" t="str">
        <f t="shared" ref="J19:W19" si="2" xml:space="preserve"> IFERROR(J18/J8, "NA")</f>
        <v>NA</v>
      </c>
      <c r="K19" s="257" t="str">
        <f t="shared" si="2"/>
        <v>NA</v>
      </c>
      <c r="L19" s="257" t="str">
        <f t="shared" si="2"/>
        <v>NA</v>
      </c>
      <c r="M19" s="257" t="str">
        <f t="shared" si="2"/>
        <v>NA</v>
      </c>
      <c r="N19" s="257" t="str">
        <f t="shared" si="2"/>
        <v>NA</v>
      </c>
      <c r="O19" s="257" t="str">
        <f t="shared" si="2"/>
        <v>NA</v>
      </c>
      <c r="P19" s="257" t="str">
        <f t="shared" si="2"/>
        <v>NA</v>
      </c>
      <c r="Q19" s="257" t="str">
        <f t="shared" si="2"/>
        <v>NA</v>
      </c>
      <c r="R19" s="257" t="str">
        <f t="shared" si="2"/>
        <v>NA</v>
      </c>
      <c r="S19" s="257" t="str">
        <f t="shared" si="2"/>
        <v>NA</v>
      </c>
      <c r="T19" s="257" t="str">
        <f t="shared" si="2"/>
        <v>NA</v>
      </c>
      <c r="U19" s="257" t="str">
        <f t="shared" si="2"/>
        <v>NA</v>
      </c>
      <c r="V19" s="257" t="str">
        <f t="shared" si="2"/>
        <v>NA</v>
      </c>
      <c r="W19" s="257" t="str">
        <f t="shared" si="2"/>
        <v>NA</v>
      </c>
      <c r="X19" s="112" t="s">
        <v>895</v>
      </c>
    </row>
    <row r="20" spans="1:24" s="176" customFormat="1">
      <c r="A20" s="177" t="s">
        <v>726</v>
      </c>
      <c r="I20" s="254" t="e">
        <f xml:space="preserve"> I8-I18</f>
        <v>#REF!</v>
      </c>
      <c r="J20" s="254" t="e">
        <f t="shared" ref="J20:W20" si="3" xml:space="preserve"> J8-J18</f>
        <v>#REF!</v>
      </c>
      <c r="K20" s="254" t="e">
        <f t="shared" si="3"/>
        <v>#REF!</v>
      </c>
      <c r="L20" s="254" t="e">
        <f t="shared" si="3"/>
        <v>#REF!</v>
      </c>
      <c r="M20" s="254" t="e">
        <f t="shared" si="3"/>
        <v>#REF!</v>
      </c>
      <c r="N20" s="254" t="e">
        <f t="shared" si="3"/>
        <v>#REF!</v>
      </c>
      <c r="O20" s="254" t="e">
        <f t="shared" si="3"/>
        <v>#REF!</v>
      </c>
      <c r="P20" s="254" t="e">
        <f t="shared" si="3"/>
        <v>#REF!</v>
      </c>
      <c r="Q20" s="254" t="e">
        <f t="shared" si="3"/>
        <v>#REF!</v>
      </c>
      <c r="R20" s="254" t="e">
        <f t="shared" si="3"/>
        <v>#REF!</v>
      </c>
      <c r="S20" s="254" t="e">
        <f t="shared" si="3"/>
        <v>#REF!</v>
      </c>
      <c r="T20" s="254" t="e">
        <f t="shared" si="3"/>
        <v>#REF!</v>
      </c>
      <c r="U20" s="254" t="e">
        <f t="shared" si="3"/>
        <v>#REF!</v>
      </c>
      <c r="V20" s="254" t="e">
        <f t="shared" si="3"/>
        <v>#REF!</v>
      </c>
      <c r="W20" s="254" t="e">
        <f t="shared" si="3"/>
        <v>#REF!</v>
      </c>
    </row>
    <row r="21" spans="1:24" s="112" customFormat="1">
      <c r="A21" s="114" t="s">
        <v>727</v>
      </c>
      <c r="I21" s="257" t="str">
        <f xml:space="preserve"> IFERROR(I20/I8, "NA")</f>
        <v>NA</v>
      </c>
      <c r="J21" s="257" t="str">
        <f t="shared" ref="J21:W21" si="4" xml:space="preserve"> IFERROR(J20/J8, "NA")</f>
        <v>NA</v>
      </c>
      <c r="K21" s="257" t="str">
        <f t="shared" si="4"/>
        <v>NA</v>
      </c>
      <c r="L21" s="257" t="str">
        <f t="shared" si="4"/>
        <v>NA</v>
      </c>
      <c r="M21" s="257" t="str">
        <f t="shared" si="4"/>
        <v>NA</v>
      </c>
      <c r="N21" s="257" t="str">
        <f t="shared" si="4"/>
        <v>NA</v>
      </c>
      <c r="O21" s="257" t="str">
        <f t="shared" si="4"/>
        <v>NA</v>
      </c>
      <c r="P21" s="257" t="str">
        <f t="shared" si="4"/>
        <v>NA</v>
      </c>
      <c r="Q21" s="257" t="str">
        <f t="shared" si="4"/>
        <v>NA</v>
      </c>
      <c r="R21" s="257" t="str">
        <f t="shared" si="4"/>
        <v>NA</v>
      </c>
      <c r="S21" s="257" t="str">
        <f t="shared" si="4"/>
        <v>NA</v>
      </c>
      <c r="T21" s="257" t="str">
        <f t="shared" si="4"/>
        <v>NA</v>
      </c>
      <c r="U21" s="257" t="str">
        <f t="shared" si="4"/>
        <v>NA</v>
      </c>
      <c r="V21" s="257" t="str">
        <f t="shared" si="4"/>
        <v>NA</v>
      </c>
      <c r="W21" s="257" t="str">
        <f t="shared" si="4"/>
        <v>NA</v>
      </c>
    </row>
    <row r="22" spans="1:24">
      <c r="A22" s="7" t="s">
        <v>238</v>
      </c>
      <c r="I22" s="256">
        <f xml:space="preserve"> 'INDIRECT EXPENSES(OPEX)'!F6</f>
        <v>0</v>
      </c>
      <c r="J22" s="256">
        <f xml:space="preserve"> 'INDIRECT EXPENSES(OPEX)'!G6</f>
        <v>0</v>
      </c>
      <c r="K22" s="256">
        <f xml:space="preserve"> 'INDIRECT EXPENSES(OPEX)'!H6</f>
        <v>0</v>
      </c>
      <c r="L22" s="256">
        <f xml:space="preserve"> 'INDIRECT EXPENSES(OPEX)'!I6</f>
        <v>7.1968750000000004</v>
      </c>
      <c r="M22" s="256">
        <f xml:space="preserve"> 'INDIRECT EXPENSES(OPEX)'!J6</f>
        <v>7.69625</v>
      </c>
      <c r="N22" s="256">
        <f xml:space="preserve"> 'INDIRECT EXPENSES(OPEX)'!K6</f>
        <v>8.2291124999999994</v>
      </c>
      <c r="O22" s="256">
        <f xml:space="preserve"> 'INDIRECT EXPENSES(OPEX)'!L6</f>
        <v>8.8054500000000004</v>
      </c>
      <c r="P22" s="256">
        <f xml:space="preserve"> 'INDIRECT EXPENSES(OPEX)'!M6</f>
        <v>9.4217375000000008</v>
      </c>
      <c r="Q22" s="256">
        <f xml:space="preserve"> 'INDIRECT EXPENSES(OPEX)'!N6</f>
        <v>10.080912499999998</v>
      </c>
      <c r="R22" s="256">
        <f xml:space="preserve"> 'INDIRECT EXPENSES(OPEX)'!O6</f>
        <v>10.7865</v>
      </c>
      <c r="S22" s="256">
        <f xml:space="preserve"> 'INDIRECT EXPENSES(OPEX)'!P6</f>
        <v>11.541437499999999</v>
      </c>
      <c r="T22" s="256">
        <f xml:space="preserve"> 'INDIRECT EXPENSES(OPEX)'!Q6</f>
        <v>12.343375</v>
      </c>
      <c r="U22" s="256">
        <f xml:space="preserve"> 'INDIRECT EXPENSES(OPEX)'!R6</f>
        <v>13.195837500000001</v>
      </c>
      <c r="V22" s="256">
        <f xml:space="preserve"> 'INDIRECT EXPENSES(OPEX)'!S6</f>
        <v>14.1017625</v>
      </c>
      <c r="W22" s="256">
        <f xml:space="preserve"> 'INDIRECT EXPENSES(OPEX)'!T6</f>
        <v>15.065262500000001</v>
      </c>
    </row>
    <row r="23" spans="1:24">
      <c r="A23" s="7" t="s">
        <v>212</v>
      </c>
      <c r="I23" s="256">
        <f xml:space="preserve"> 'INDIRECT EXPENSES(OPEX)'!F7</f>
        <v>0</v>
      </c>
      <c r="J23" s="256">
        <f xml:space="preserve"> 'INDIRECT EXPENSES(OPEX)'!G7</f>
        <v>0</v>
      </c>
      <c r="K23" s="256">
        <f xml:space="preserve"> 'INDIRECT EXPENSES(OPEX)'!H7</f>
        <v>0</v>
      </c>
      <c r="L23" s="256">
        <f xml:space="preserve"> 'INDIRECT EXPENSES(OPEX)'!I7</f>
        <v>0.79625000000000012</v>
      </c>
      <c r="M23" s="256">
        <f xml:space="preserve"> 'INDIRECT EXPENSES(OPEX)'!J7</f>
        <v>0.85150000000000003</v>
      </c>
      <c r="N23" s="256">
        <f xml:space="preserve"> 'INDIRECT EXPENSES(OPEX)'!K7</f>
        <v>0.91045500000000001</v>
      </c>
      <c r="O23" s="256">
        <f xml:space="preserve"> 'INDIRECT EXPENSES(OPEX)'!L7</f>
        <v>0.97422000000000009</v>
      </c>
      <c r="P23" s="256">
        <f xml:space="preserve"> 'INDIRECT EXPENSES(OPEX)'!M7</f>
        <v>1.042405</v>
      </c>
      <c r="Q23" s="256">
        <f xml:space="preserve"> 'INDIRECT EXPENSES(OPEX)'!N7</f>
        <v>1.115335</v>
      </c>
      <c r="R23" s="256">
        <f xml:space="preserve"> 'INDIRECT EXPENSES(OPEX)'!O7</f>
        <v>1.1934</v>
      </c>
      <c r="S23" s="256">
        <f xml:space="preserve"> 'INDIRECT EXPENSES(OPEX)'!P7</f>
        <v>1.2769250000000001</v>
      </c>
      <c r="T23" s="256">
        <f xml:space="preserve"> 'INDIRECT EXPENSES(OPEX)'!Q7</f>
        <v>1.36565</v>
      </c>
      <c r="U23" s="256">
        <f xml:space="preserve"> 'INDIRECT EXPENSES(OPEX)'!R7</f>
        <v>1.459965</v>
      </c>
      <c r="V23" s="256">
        <f xml:space="preserve"> 'INDIRECT EXPENSES(OPEX)'!S7</f>
        <v>1.560195</v>
      </c>
      <c r="W23" s="256">
        <f xml:space="preserve"> 'INDIRECT EXPENSES(OPEX)'!T7</f>
        <v>1.666795</v>
      </c>
    </row>
    <row r="24" spans="1:24">
      <c r="A24" s="7" t="s">
        <v>218</v>
      </c>
      <c r="I24" s="256">
        <f xml:space="preserve"> 'INDIRECT EXPENSES(OPEX)'!F8</f>
        <v>0</v>
      </c>
      <c r="J24" s="256">
        <f xml:space="preserve"> 'INDIRECT EXPENSES(OPEX)'!G8</f>
        <v>0</v>
      </c>
      <c r="K24" s="256">
        <f xml:space="preserve"> 'INDIRECT EXPENSES(OPEX)'!H8</f>
        <v>0</v>
      </c>
      <c r="L24" s="256">
        <f xml:space="preserve"> 'INDIRECT EXPENSES(OPEX)'!I8</f>
        <v>10.289265</v>
      </c>
      <c r="M24" s="256">
        <f xml:space="preserve"> 'INDIRECT EXPENSES(OPEX)'!J8</f>
        <v>11.003214</v>
      </c>
      <c r="N24" s="256">
        <f xml:space="preserve"> 'INDIRECT EXPENSES(OPEX)'!K8</f>
        <v>11.76503958</v>
      </c>
      <c r="O24" s="256">
        <f xml:space="preserve"> 'INDIRECT EXPENSES(OPEX)'!L8</f>
        <v>12.589020719999999</v>
      </c>
      <c r="P24" s="256">
        <f xml:space="preserve"> 'INDIRECT EXPENSES(OPEX)'!M8</f>
        <v>13.470117779999999</v>
      </c>
      <c r="Q24" s="256">
        <f xml:space="preserve"> 'INDIRECT EXPENSES(OPEX)'!N8</f>
        <v>14.412530459999999</v>
      </c>
      <c r="R24" s="256">
        <f xml:space="preserve"> 'INDIRECT EXPENSES(OPEX)'!O8</f>
        <v>15.4212984</v>
      </c>
      <c r="S24" s="256">
        <f xml:space="preserve"> 'INDIRECT EXPENSES(OPEX)'!P8</f>
        <v>16.500621299999999</v>
      </c>
      <c r="T24" s="256">
        <f xml:space="preserve"> 'INDIRECT EXPENSES(OPEX)'!Q8</f>
        <v>17.6471394</v>
      </c>
      <c r="U24" s="256">
        <f xml:space="preserve"> 'INDIRECT EXPENSES(OPEX)'!R8</f>
        <v>18.865892340000002</v>
      </c>
      <c r="V24" s="256">
        <f xml:space="preserve"> 'INDIRECT EXPENSES(OPEX)'!S8</f>
        <v>20.161079819999998</v>
      </c>
      <c r="W24" s="256">
        <f xml:space="preserve"> 'INDIRECT EXPENSES(OPEX)'!T8</f>
        <v>21.53858142</v>
      </c>
    </row>
    <row r="25" spans="1:24">
      <c r="A25" s="7" t="s">
        <v>222</v>
      </c>
      <c r="I25" s="256">
        <f xml:space="preserve"> 'INDIRECT EXPENSES(OPEX)'!F9</f>
        <v>0</v>
      </c>
      <c r="J25" s="256">
        <f xml:space="preserve"> 'INDIRECT EXPENSES(OPEX)'!G9</f>
        <v>0</v>
      </c>
      <c r="K25" s="256">
        <f xml:space="preserve"> 'INDIRECT EXPENSES(OPEX)'!H9</f>
        <v>0</v>
      </c>
      <c r="L25" s="256">
        <f xml:space="preserve"> 'INDIRECT EXPENSES(OPEX)'!I9</f>
        <v>2.68275</v>
      </c>
      <c r="M25" s="256">
        <f xml:space="preserve"> 'INDIRECT EXPENSES(OPEX)'!J9</f>
        <v>2.8689</v>
      </c>
      <c r="N25" s="256">
        <f xml:space="preserve"> 'INDIRECT EXPENSES(OPEX)'!K9</f>
        <v>3.0675330000000001</v>
      </c>
      <c r="O25" s="256">
        <f xml:space="preserve"> 'INDIRECT EXPENSES(OPEX)'!L9</f>
        <v>3.2823720000000001</v>
      </c>
      <c r="P25" s="256">
        <f xml:space="preserve"> 'INDIRECT EXPENSES(OPEX)'!M9</f>
        <v>3.5121030000000002</v>
      </c>
      <c r="Q25" s="256">
        <f xml:space="preserve"> 'INDIRECT EXPENSES(OPEX)'!N9</f>
        <v>3.7578209999999999</v>
      </c>
      <c r="R25" s="256">
        <f xml:space="preserve"> 'INDIRECT EXPENSES(OPEX)'!O9</f>
        <v>4.0208400000000006</v>
      </c>
      <c r="S25" s="256">
        <f xml:space="preserve"> 'INDIRECT EXPENSES(OPEX)'!P9</f>
        <v>4.3022550000000006</v>
      </c>
      <c r="T25" s="256">
        <f xml:space="preserve"> 'INDIRECT EXPENSES(OPEX)'!Q9</f>
        <v>4.6011900000000008</v>
      </c>
      <c r="U25" s="256">
        <f xml:space="preserve"> 'INDIRECT EXPENSES(OPEX)'!R9</f>
        <v>4.9189590000000001</v>
      </c>
      <c r="V25" s="256">
        <f xml:space="preserve"> 'INDIRECT EXPENSES(OPEX)'!S9</f>
        <v>5.2566569999999997</v>
      </c>
      <c r="W25" s="256">
        <f xml:space="preserve"> 'INDIRECT EXPENSES(OPEX)'!T9</f>
        <v>5.6158169999999998</v>
      </c>
    </row>
    <row r="26" spans="1:24">
      <c r="A26" s="7" t="s">
        <v>225</v>
      </c>
      <c r="I26" s="256">
        <f xml:space="preserve"> 'INDIRECT EXPENSES(OPEX)'!F10</f>
        <v>0</v>
      </c>
      <c r="J26" s="256">
        <f xml:space="preserve"> 'INDIRECT EXPENSES(OPEX)'!G10</f>
        <v>0</v>
      </c>
      <c r="K26" s="256">
        <f xml:space="preserve"> 'INDIRECT EXPENSES(OPEX)'!H10</f>
        <v>0</v>
      </c>
      <c r="L26" s="256">
        <f xml:space="preserve"> 'INDIRECT EXPENSES(OPEX)'!I10</f>
        <v>1.4393750000000001</v>
      </c>
      <c r="M26" s="256">
        <f xml:space="preserve"> 'INDIRECT EXPENSES(OPEX)'!J10</f>
        <v>1.53925</v>
      </c>
      <c r="N26" s="256">
        <f xml:space="preserve"> 'INDIRECT EXPENSES(OPEX)'!K10</f>
        <v>1.6458225</v>
      </c>
      <c r="O26" s="256">
        <f xml:space="preserve"> 'INDIRECT EXPENSES(OPEX)'!L10</f>
        <v>1.7610899999999998</v>
      </c>
      <c r="P26" s="256">
        <f xml:space="preserve"> 'INDIRECT EXPENSES(OPEX)'!M10</f>
        <v>1.8843475000000001</v>
      </c>
      <c r="Q26" s="256">
        <f xml:space="preserve"> 'INDIRECT EXPENSES(OPEX)'!N10</f>
        <v>2.0161825000000002</v>
      </c>
      <c r="R26" s="256">
        <f xml:space="preserve"> 'INDIRECT EXPENSES(OPEX)'!O10</f>
        <v>2.1573000000000002</v>
      </c>
      <c r="S26" s="256">
        <f xml:space="preserve"> 'INDIRECT EXPENSES(OPEX)'!P10</f>
        <v>2.3082875</v>
      </c>
      <c r="T26" s="256">
        <f xml:space="preserve"> 'INDIRECT EXPENSES(OPEX)'!Q10</f>
        <v>2.4686750000000002</v>
      </c>
      <c r="U26" s="256">
        <f xml:space="preserve"> 'INDIRECT EXPENSES(OPEX)'!R10</f>
        <v>2.6391675000000006</v>
      </c>
      <c r="V26" s="256">
        <f xml:space="preserve"> 'INDIRECT EXPENSES(OPEX)'!S10</f>
        <v>2.8203525000000003</v>
      </c>
      <c r="W26" s="256">
        <f xml:space="preserve"> 'INDIRECT EXPENSES(OPEX)'!T10</f>
        <v>3.0130524999999997</v>
      </c>
    </row>
    <row r="27" spans="1:24">
      <c r="A27" s="7" t="s">
        <v>236</v>
      </c>
      <c r="I27" s="256">
        <f xml:space="preserve"> 'INDIRECT EXPENSES(OPEX)'!F11</f>
        <v>0</v>
      </c>
      <c r="J27" s="256">
        <f xml:space="preserve"> 'INDIRECT EXPENSES(OPEX)'!G11</f>
        <v>0</v>
      </c>
      <c r="K27" s="256">
        <f xml:space="preserve"> 'INDIRECT EXPENSES(OPEX)'!H11</f>
        <v>0</v>
      </c>
      <c r="L27" s="256">
        <f xml:space="preserve"> 'INDIRECT EXPENSES(OPEX)'!I11</f>
        <v>0.90650000000000019</v>
      </c>
      <c r="M27" s="256">
        <f xml:space="preserve"> 'INDIRECT EXPENSES(OPEX)'!J11</f>
        <v>0.96940000000000004</v>
      </c>
      <c r="N27" s="256">
        <f xml:space="preserve"> 'INDIRECT EXPENSES(OPEX)'!K11</f>
        <v>1.0365180000000001</v>
      </c>
      <c r="O27" s="256">
        <f xml:space="preserve"> 'INDIRECT EXPENSES(OPEX)'!L11</f>
        <v>1.1091120000000001</v>
      </c>
      <c r="P27" s="256">
        <f xml:space="preserve"> 'INDIRECT EXPENSES(OPEX)'!M11</f>
        <v>1.1867380000000001</v>
      </c>
      <c r="Q27" s="256">
        <f xml:space="preserve"> 'INDIRECT EXPENSES(OPEX)'!N11</f>
        <v>1.2697660000000002</v>
      </c>
      <c r="R27" s="256">
        <f xml:space="preserve"> 'INDIRECT EXPENSES(OPEX)'!O11</f>
        <v>1.3586400000000001</v>
      </c>
      <c r="S27" s="256">
        <f xml:space="preserve"> 'INDIRECT EXPENSES(OPEX)'!P11</f>
        <v>1.4537300000000002</v>
      </c>
      <c r="T27" s="256">
        <f xml:space="preserve"> 'INDIRECT EXPENSES(OPEX)'!Q11</f>
        <v>1.55474</v>
      </c>
      <c r="U27" s="256">
        <f xml:space="preserve"> 'INDIRECT EXPENSES(OPEX)'!R11</f>
        <v>1.6621140000000001</v>
      </c>
      <c r="V27" s="256">
        <f xml:space="preserve"> 'INDIRECT EXPENSES(OPEX)'!S11</f>
        <v>1.776222</v>
      </c>
      <c r="W27" s="256">
        <f xml:space="preserve"> 'INDIRECT EXPENSES(OPEX)'!T11</f>
        <v>1.8975819999999999</v>
      </c>
    </row>
    <row r="28" spans="1:24" s="176" customFormat="1">
      <c r="A28" s="177" t="s">
        <v>728</v>
      </c>
      <c r="I28" s="254">
        <f t="shared" ref="I28:W28" si="5">SUM(I22:I27)</f>
        <v>0</v>
      </c>
      <c r="J28" s="254">
        <f t="shared" si="5"/>
        <v>0</v>
      </c>
      <c r="K28" s="254">
        <f t="shared" si="5"/>
        <v>0</v>
      </c>
      <c r="L28" s="254">
        <f t="shared" si="5"/>
        <v>23.311014999999998</v>
      </c>
      <c r="M28" s="254">
        <f t="shared" si="5"/>
        <v>24.928514</v>
      </c>
      <c r="N28" s="254">
        <f t="shared" si="5"/>
        <v>26.654480580000001</v>
      </c>
      <c r="O28" s="254">
        <f t="shared" si="5"/>
        <v>28.521264719999998</v>
      </c>
      <c r="P28" s="254">
        <f t="shared" si="5"/>
        <v>30.517448780000002</v>
      </c>
      <c r="Q28" s="254">
        <f t="shared" si="5"/>
        <v>32.652547459999994</v>
      </c>
      <c r="R28" s="254">
        <f t="shared" si="5"/>
        <v>34.937978399999999</v>
      </c>
      <c r="S28" s="254">
        <f t="shared" si="5"/>
        <v>37.383256299999999</v>
      </c>
      <c r="T28" s="254">
        <f t="shared" si="5"/>
        <v>39.9807694</v>
      </c>
      <c r="U28" s="254">
        <f t="shared" si="5"/>
        <v>42.741935340000005</v>
      </c>
      <c r="V28" s="254">
        <f t="shared" si="5"/>
        <v>45.67626881999999</v>
      </c>
      <c r="W28" s="254">
        <f t="shared" si="5"/>
        <v>48.797090419999996</v>
      </c>
    </row>
    <row r="29" spans="1:24" s="112" customFormat="1">
      <c r="A29" s="114" t="s">
        <v>729</v>
      </c>
      <c r="I29" s="257" t="str">
        <f xml:space="preserve"> IFERROR(I28/I8, "NA")</f>
        <v>NA</v>
      </c>
      <c r="J29" s="257" t="str">
        <f t="shared" ref="J29:W29" si="6" xml:space="preserve"> IFERROR(J28/J8, "NA")</f>
        <v>NA</v>
      </c>
      <c r="K29" s="257" t="str">
        <f t="shared" si="6"/>
        <v>NA</v>
      </c>
      <c r="L29" s="257" t="str">
        <f t="shared" si="6"/>
        <v>NA</v>
      </c>
      <c r="M29" s="257" t="str">
        <f t="shared" si="6"/>
        <v>NA</v>
      </c>
      <c r="N29" s="257" t="str">
        <f t="shared" si="6"/>
        <v>NA</v>
      </c>
      <c r="O29" s="257" t="str">
        <f t="shared" si="6"/>
        <v>NA</v>
      </c>
      <c r="P29" s="257" t="str">
        <f t="shared" si="6"/>
        <v>NA</v>
      </c>
      <c r="Q29" s="257" t="str">
        <f t="shared" si="6"/>
        <v>NA</v>
      </c>
      <c r="R29" s="257" t="str">
        <f t="shared" si="6"/>
        <v>NA</v>
      </c>
      <c r="S29" s="257" t="str">
        <f t="shared" si="6"/>
        <v>NA</v>
      </c>
      <c r="T29" s="257" t="str">
        <f t="shared" si="6"/>
        <v>NA</v>
      </c>
      <c r="U29" s="257" t="str">
        <f t="shared" si="6"/>
        <v>NA</v>
      </c>
      <c r="V29" s="257" t="str">
        <f t="shared" si="6"/>
        <v>NA</v>
      </c>
      <c r="W29" s="257" t="str">
        <f t="shared" si="6"/>
        <v>NA</v>
      </c>
    </row>
    <row r="30" spans="1:24" s="176" customFormat="1">
      <c r="A30" s="177" t="s">
        <v>730</v>
      </c>
      <c r="I30" s="254" t="e">
        <f t="shared" ref="I30:W30" si="7" xml:space="preserve"> I20-I28</f>
        <v>#REF!</v>
      </c>
      <c r="J30" s="254" t="e">
        <f t="shared" si="7"/>
        <v>#REF!</v>
      </c>
      <c r="K30" s="254" t="e">
        <f t="shared" si="7"/>
        <v>#REF!</v>
      </c>
      <c r="L30" s="254" t="e">
        <f t="shared" si="7"/>
        <v>#REF!</v>
      </c>
      <c r="M30" s="254" t="e">
        <f t="shared" si="7"/>
        <v>#REF!</v>
      </c>
      <c r="N30" s="254" t="e">
        <f t="shared" si="7"/>
        <v>#REF!</v>
      </c>
      <c r="O30" s="254" t="e">
        <f t="shared" si="7"/>
        <v>#REF!</v>
      </c>
      <c r="P30" s="254" t="e">
        <f t="shared" si="7"/>
        <v>#REF!</v>
      </c>
      <c r="Q30" s="254" t="e">
        <f t="shared" si="7"/>
        <v>#REF!</v>
      </c>
      <c r="R30" s="254" t="e">
        <f t="shared" si="7"/>
        <v>#REF!</v>
      </c>
      <c r="S30" s="254" t="e">
        <f t="shared" si="7"/>
        <v>#REF!</v>
      </c>
      <c r="T30" s="254" t="e">
        <f t="shared" si="7"/>
        <v>#REF!</v>
      </c>
      <c r="U30" s="254" t="e">
        <f t="shared" si="7"/>
        <v>#REF!</v>
      </c>
      <c r="V30" s="254" t="e">
        <f t="shared" si="7"/>
        <v>#REF!</v>
      </c>
      <c r="W30" s="254" t="e">
        <f t="shared" si="7"/>
        <v>#REF!</v>
      </c>
    </row>
    <row r="31" spans="1:24" s="112" customFormat="1">
      <c r="A31" s="114" t="s">
        <v>731</v>
      </c>
      <c r="I31" s="257" t="str">
        <f xml:space="preserve"> IFERROR(I30/I8, "NA")</f>
        <v>NA</v>
      </c>
      <c r="J31" s="257" t="str">
        <f t="shared" ref="J31:W31" si="8" xml:space="preserve"> IFERROR(J30/J8, "NA")</f>
        <v>NA</v>
      </c>
      <c r="K31" s="257" t="str">
        <f t="shared" si="8"/>
        <v>NA</v>
      </c>
      <c r="L31" s="257" t="str">
        <f t="shared" si="8"/>
        <v>NA</v>
      </c>
      <c r="M31" s="257" t="str">
        <f t="shared" si="8"/>
        <v>NA</v>
      </c>
      <c r="N31" s="257" t="str">
        <f t="shared" si="8"/>
        <v>NA</v>
      </c>
      <c r="O31" s="257" t="str">
        <f t="shared" si="8"/>
        <v>NA</v>
      </c>
      <c r="P31" s="257" t="str">
        <f t="shared" si="8"/>
        <v>NA</v>
      </c>
      <c r="Q31" s="257" t="str">
        <f t="shared" si="8"/>
        <v>NA</v>
      </c>
      <c r="R31" s="257" t="str">
        <f t="shared" si="8"/>
        <v>NA</v>
      </c>
      <c r="S31" s="257" t="str">
        <f t="shared" si="8"/>
        <v>NA</v>
      </c>
      <c r="T31" s="257" t="str">
        <f t="shared" si="8"/>
        <v>NA</v>
      </c>
      <c r="U31" s="257" t="str">
        <f t="shared" si="8"/>
        <v>NA</v>
      </c>
      <c r="V31" s="257" t="str">
        <f t="shared" si="8"/>
        <v>NA</v>
      </c>
      <c r="W31" s="257" t="str">
        <f t="shared" si="8"/>
        <v>NA</v>
      </c>
    </row>
    <row r="32" spans="1:24">
      <c r="A32" s="7" t="s">
        <v>732</v>
      </c>
      <c r="I32" s="258">
        <v>0</v>
      </c>
      <c r="J32" s="258">
        <v>0</v>
      </c>
      <c r="K32" s="258">
        <v>0</v>
      </c>
      <c r="L32" s="258">
        <v>18.21</v>
      </c>
      <c r="M32" s="258">
        <v>18.21</v>
      </c>
      <c r="N32" s="258">
        <v>21.86</v>
      </c>
      <c r="O32" s="258">
        <v>25.5</v>
      </c>
      <c r="P32" s="258">
        <v>27.32</v>
      </c>
      <c r="Q32" s="258">
        <v>27.32</v>
      </c>
      <c r="R32" s="258">
        <v>27.32</v>
      </c>
      <c r="S32" s="258">
        <v>27.32</v>
      </c>
      <c r="T32" s="258">
        <v>27.32</v>
      </c>
      <c r="U32" s="258">
        <v>27.32</v>
      </c>
      <c r="V32" s="258">
        <v>27.32</v>
      </c>
      <c r="W32" s="258">
        <v>27.32</v>
      </c>
    </row>
    <row r="33" spans="1:23" s="176" customFormat="1">
      <c r="A33" s="177" t="s">
        <v>734</v>
      </c>
      <c r="I33" s="254" t="e">
        <f xml:space="preserve"> I30- I32</f>
        <v>#REF!</v>
      </c>
      <c r="J33" s="254" t="e">
        <f t="shared" ref="J33:W33" si="9" xml:space="preserve"> J30- J32</f>
        <v>#REF!</v>
      </c>
      <c r="K33" s="254" t="e">
        <f t="shared" si="9"/>
        <v>#REF!</v>
      </c>
      <c r="L33" s="254" t="e">
        <f t="shared" si="9"/>
        <v>#REF!</v>
      </c>
      <c r="M33" s="254" t="e">
        <f t="shared" si="9"/>
        <v>#REF!</v>
      </c>
      <c r="N33" s="254" t="e">
        <f t="shared" si="9"/>
        <v>#REF!</v>
      </c>
      <c r="O33" s="254" t="e">
        <f t="shared" si="9"/>
        <v>#REF!</v>
      </c>
      <c r="P33" s="254" t="e">
        <f t="shared" si="9"/>
        <v>#REF!</v>
      </c>
      <c r="Q33" s="254" t="e">
        <f t="shared" si="9"/>
        <v>#REF!</v>
      </c>
      <c r="R33" s="254" t="e">
        <f t="shared" si="9"/>
        <v>#REF!</v>
      </c>
      <c r="S33" s="254" t="e">
        <f t="shared" si="9"/>
        <v>#REF!</v>
      </c>
      <c r="T33" s="254" t="e">
        <f t="shared" si="9"/>
        <v>#REF!</v>
      </c>
      <c r="U33" s="254" t="e">
        <f t="shared" si="9"/>
        <v>#REF!</v>
      </c>
      <c r="V33" s="254" t="e">
        <f t="shared" si="9"/>
        <v>#REF!</v>
      </c>
      <c r="W33" s="254" t="e">
        <f t="shared" si="9"/>
        <v>#REF!</v>
      </c>
    </row>
    <row r="34" spans="1:23" s="112" customFormat="1">
      <c r="A34" s="114" t="s">
        <v>733</v>
      </c>
      <c r="I34" s="257" t="str">
        <f xml:space="preserve"> IFERROR(I33/I8, "NA")</f>
        <v>NA</v>
      </c>
      <c r="J34" s="257" t="str">
        <f t="shared" ref="J34:W34" si="10" xml:space="preserve"> IFERROR(J33/J8, "NA")</f>
        <v>NA</v>
      </c>
      <c r="K34" s="257" t="str">
        <f t="shared" si="10"/>
        <v>NA</v>
      </c>
      <c r="L34" s="257" t="str">
        <f t="shared" si="10"/>
        <v>NA</v>
      </c>
      <c r="M34" s="257" t="str">
        <f t="shared" si="10"/>
        <v>NA</v>
      </c>
      <c r="N34" s="257" t="str">
        <f t="shared" si="10"/>
        <v>NA</v>
      </c>
      <c r="O34" s="257" t="str">
        <f t="shared" si="10"/>
        <v>NA</v>
      </c>
      <c r="P34" s="257" t="str">
        <f t="shared" si="10"/>
        <v>NA</v>
      </c>
      <c r="Q34" s="257" t="str">
        <f t="shared" si="10"/>
        <v>NA</v>
      </c>
      <c r="R34" s="257" t="str">
        <f t="shared" si="10"/>
        <v>NA</v>
      </c>
      <c r="S34" s="257" t="str">
        <f t="shared" si="10"/>
        <v>NA</v>
      </c>
      <c r="T34" s="257" t="str">
        <f t="shared" si="10"/>
        <v>NA</v>
      </c>
      <c r="U34" s="257" t="str">
        <f t="shared" si="10"/>
        <v>NA</v>
      </c>
      <c r="V34" s="257" t="str">
        <f t="shared" si="10"/>
        <v>NA</v>
      </c>
      <c r="W34" s="257" t="str">
        <f t="shared" si="10"/>
        <v>NA</v>
      </c>
    </row>
    <row r="35" spans="1:23">
      <c r="A35" s="7" t="s">
        <v>735</v>
      </c>
      <c r="I35" s="256">
        <v>18</v>
      </c>
      <c r="J35" s="256">
        <v>18</v>
      </c>
      <c r="K35" s="256">
        <v>18</v>
      </c>
      <c r="L35" s="256">
        <v>18</v>
      </c>
      <c r="M35" s="256">
        <v>17.16</v>
      </c>
      <c r="N35" s="256">
        <v>16.23</v>
      </c>
      <c r="O35" s="256">
        <v>15.21</v>
      </c>
      <c r="P35" s="256">
        <v>14.09</v>
      </c>
      <c r="Q35" s="256">
        <v>12.86</v>
      </c>
      <c r="R35" s="256">
        <v>11.51</v>
      </c>
      <c r="S35" s="256">
        <v>10.01</v>
      </c>
      <c r="T35" s="256">
        <v>8.3699999999999992</v>
      </c>
      <c r="U35" s="256">
        <v>6.57</v>
      </c>
      <c r="V35" s="256">
        <v>4.58</v>
      </c>
      <c r="W35" s="256">
        <v>2.4</v>
      </c>
    </row>
    <row r="36" spans="1:23">
      <c r="A36" s="7" t="s">
        <v>736</v>
      </c>
      <c r="I36" s="256">
        <v>0</v>
      </c>
      <c r="J36" s="256">
        <v>0</v>
      </c>
      <c r="K36" s="256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6">
        <v>0</v>
      </c>
      <c r="R36" s="256">
        <v>0</v>
      </c>
      <c r="S36" s="256">
        <v>0</v>
      </c>
      <c r="T36" s="256">
        <v>0</v>
      </c>
      <c r="U36" s="256">
        <v>0</v>
      </c>
      <c r="V36" s="256">
        <v>0</v>
      </c>
      <c r="W36" s="256">
        <v>0</v>
      </c>
    </row>
    <row r="37" spans="1:23">
      <c r="A37" s="7" t="s">
        <v>738</v>
      </c>
      <c r="I37" s="256">
        <f t="shared" ref="I37:W37" si="11">SUM(I35:I36)</f>
        <v>18</v>
      </c>
      <c r="J37" s="256">
        <f t="shared" si="11"/>
        <v>18</v>
      </c>
      <c r="K37" s="256">
        <f t="shared" si="11"/>
        <v>18</v>
      </c>
      <c r="L37" s="256">
        <f t="shared" si="11"/>
        <v>18</v>
      </c>
      <c r="M37" s="256">
        <f t="shared" si="11"/>
        <v>17.16</v>
      </c>
      <c r="N37" s="256">
        <f t="shared" si="11"/>
        <v>16.23</v>
      </c>
      <c r="O37" s="256">
        <f t="shared" si="11"/>
        <v>15.21</v>
      </c>
      <c r="P37" s="256">
        <f t="shared" si="11"/>
        <v>14.09</v>
      </c>
      <c r="Q37" s="256">
        <f t="shared" si="11"/>
        <v>12.86</v>
      </c>
      <c r="R37" s="256">
        <f t="shared" si="11"/>
        <v>11.51</v>
      </c>
      <c r="S37" s="256">
        <f t="shared" si="11"/>
        <v>10.01</v>
      </c>
      <c r="T37" s="256">
        <f t="shared" si="11"/>
        <v>8.3699999999999992</v>
      </c>
      <c r="U37" s="256">
        <f t="shared" si="11"/>
        <v>6.57</v>
      </c>
      <c r="V37" s="256">
        <f t="shared" si="11"/>
        <v>4.58</v>
      </c>
      <c r="W37" s="256">
        <f t="shared" si="11"/>
        <v>2.4</v>
      </c>
    </row>
    <row r="38" spans="1:23" s="176" customFormat="1">
      <c r="A38" s="177" t="s">
        <v>739</v>
      </c>
      <c r="I38" s="254" t="e">
        <f t="shared" ref="I38:W38" si="12" xml:space="preserve"> I33-I37</f>
        <v>#REF!</v>
      </c>
      <c r="J38" s="254" t="e">
        <f t="shared" si="12"/>
        <v>#REF!</v>
      </c>
      <c r="K38" s="254" t="e">
        <f t="shared" si="12"/>
        <v>#REF!</v>
      </c>
      <c r="L38" s="254" t="e">
        <f t="shared" si="12"/>
        <v>#REF!</v>
      </c>
      <c r="M38" s="254" t="e">
        <f t="shared" si="12"/>
        <v>#REF!</v>
      </c>
      <c r="N38" s="254" t="e">
        <f t="shared" si="12"/>
        <v>#REF!</v>
      </c>
      <c r="O38" s="254" t="e">
        <f t="shared" si="12"/>
        <v>#REF!</v>
      </c>
      <c r="P38" s="254" t="e">
        <f t="shared" si="12"/>
        <v>#REF!</v>
      </c>
      <c r="Q38" s="254" t="e">
        <f t="shared" si="12"/>
        <v>#REF!</v>
      </c>
      <c r="R38" s="254" t="e">
        <f t="shared" si="12"/>
        <v>#REF!</v>
      </c>
      <c r="S38" s="254" t="e">
        <f t="shared" si="12"/>
        <v>#REF!</v>
      </c>
      <c r="T38" s="254" t="e">
        <f t="shared" si="12"/>
        <v>#REF!</v>
      </c>
      <c r="U38" s="254" t="e">
        <f t="shared" si="12"/>
        <v>#REF!</v>
      </c>
      <c r="V38" s="254" t="e">
        <f t="shared" si="12"/>
        <v>#REF!</v>
      </c>
      <c r="W38" s="254" t="e">
        <f t="shared" si="12"/>
        <v>#REF!</v>
      </c>
    </row>
    <row r="39" spans="1:23" s="112" customFormat="1">
      <c r="A39" s="114" t="s">
        <v>740</v>
      </c>
      <c r="I39" s="259" t="str">
        <f xml:space="preserve"> IFERROR(I38/I8, "NA")</f>
        <v>NA</v>
      </c>
      <c r="J39" s="259" t="str">
        <f t="shared" ref="J39:W39" si="13" xml:space="preserve"> IFERROR(J38/J8, "NA")</f>
        <v>NA</v>
      </c>
      <c r="K39" s="259" t="str">
        <f t="shared" si="13"/>
        <v>NA</v>
      </c>
      <c r="L39" s="259" t="str">
        <f t="shared" si="13"/>
        <v>NA</v>
      </c>
      <c r="M39" s="259" t="str">
        <f t="shared" si="13"/>
        <v>NA</v>
      </c>
      <c r="N39" s="259" t="str">
        <f t="shared" si="13"/>
        <v>NA</v>
      </c>
      <c r="O39" s="259" t="str">
        <f t="shared" si="13"/>
        <v>NA</v>
      </c>
      <c r="P39" s="259" t="str">
        <f t="shared" si="13"/>
        <v>NA</v>
      </c>
      <c r="Q39" s="259" t="str">
        <f t="shared" si="13"/>
        <v>NA</v>
      </c>
      <c r="R39" s="259" t="str">
        <f t="shared" si="13"/>
        <v>NA</v>
      </c>
      <c r="S39" s="259" t="str">
        <f t="shared" si="13"/>
        <v>NA</v>
      </c>
      <c r="T39" s="259" t="str">
        <f t="shared" si="13"/>
        <v>NA</v>
      </c>
      <c r="U39" s="259" t="str">
        <f t="shared" si="13"/>
        <v>NA</v>
      </c>
      <c r="V39" s="259" t="str">
        <f t="shared" si="13"/>
        <v>NA</v>
      </c>
      <c r="W39" s="259" t="str">
        <f t="shared" si="13"/>
        <v>NA</v>
      </c>
    </row>
    <row r="40" spans="1:23">
      <c r="A40" s="7" t="s">
        <v>744</v>
      </c>
      <c r="B40" s="117">
        <v>0.25</v>
      </c>
      <c r="I40" s="260">
        <v>0</v>
      </c>
      <c r="J40" s="260">
        <v>0</v>
      </c>
      <c r="K40" s="260">
        <v>0</v>
      </c>
      <c r="L40" s="260">
        <v>0</v>
      </c>
      <c r="M40" s="260">
        <v>0</v>
      </c>
      <c r="N40" s="260">
        <v>0</v>
      </c>
      <c r="O40" s="260">
        <v>0</v>
      </c>
      <c r="P40" s="260" t="e">
        <f>P38*B40</f>
        <v>#REF!</v>
      </c>
      <c r="Q40" s="260" t="e">
        <f>Q38*B40</f>
        <v>#REF!</v>
      </c>
      <c r="R40" s="260" t="e">
        <f>R38*B40</f>
        <v>#REF!</v>
      </c>
      <c r="S40" s="260" t="e">
        <f>S38*B40</f>
        <v>#REF!</v>
      </c>
      <c r="T40" s="260" t="e">
        <f>T38*B40</f>
        <v>#REF!</v>
      </c>
      <c r="U40" s="260" t="e">
        <f>U38*B40</f>
        <v>#REF!</v>
      </c>
      <c r="V40" s="260" t="e">
        <f>V38*B40</f>
        <v>#REF!</v>
      </c>
      <c r="W40" s="260" t="e">
        <f>W38*B40</f>
        <v>#REF!</v>
      </c>
    </row>
    <row r="41" spans="1:23" s="176" customFormat="1">
      <c r="A41" s="177" t="s">
        <v>741</v>
      </c>
      <c r="I41" s="254" t="e">
        <f xml:space="preserve"> I38-I40</f>
        <v>#REF!</v>
      </c>
      <c r="J41" s="254" t="e">
        <f t="shared" ref="J41:W41" si="14" xml:space="preserve"> J38-J40</f>
        <v>#REF!</v>
      </c>
      <c r="K41" s="254" t="e">
        <f t="shared" si="14"/>
        <v>#REF!</v>
      </c>
      <c r="L41" s="254" t="e">
        <f t="shared" si="14"/>
        <v>#REF!</v>
      </c>
      <c r="M41" s="254" t="e">
        <f t="shared" si="14"/>
        <v>#REF!</v>
      </c>
      <c r="N41" s="254" t="e">
        <f t="shared" si="14"/>
        <v>#REF!</v>
      </c>
      <c r="O41" s="254" t="e">
        <f t="shared" si="14"/>
        <v>#REF!</v>
      </c>
      <c r="P41" s="254" t="e">
        <f t="shared" si="14"/>
        <v>#REF!</v>
      </c>
      <c r="Q41" s="254" t="e">
        <f t="shared" si="14"/>
        <v>#REF!</v>
      </c>
      <c r="R41" s="254" t="e">
        <f t="shared" si="14"/>
        <v>#REF!</v>
      </c>
      <c r="S41" s="254" t="e">
        <f t="shared" si="14"/>
        <v>#REF!</v>
      </c>
      <c r="T41" s="254" t="e">
        <f t="shared" si="14"/>
        <v>#REF!</v>
      </c>
      <c r="U41" s="254" t="e">
        <f t="shared" si="14"/>
        <v>#REF!</v>
      </c>
      <c r="V41" s="254" t="e">
        <f t="shared" si="14"/>
        <v>#REF!</v>
      </c>
      <c r="W41" s="254" t="e">
        <f t="shared" si="14"/>
        <v>#REF!</v>
      </c>
    </row>
    <row r="42" spans="1:23" s="112" customFormat="1">
      <c r="A42" s="114" t="s">
        <v>763</v>
      </c>
      <c r="I42" s="257" t="str">
        <f xml:space="preserve"> IFERROR(I41/I8, "NA")</f>
        <v>NA</v>
      </c>
      <c r="J42" s="257" t="str">
        <f t="shared" ref="J42:W42" si="15" xml:space="preserve"> IFERROR(J41/J8, "NA")</f>
        <v>NA</v>
      </c>
      <c r="K42" s="257" t="str">
        <f t="shared" si="15"/>
        <v>NA</v>
      </c>
      <c r="L42" s="257" t="str">
        <f t="shared" si="15"/>
        <v>NA</v>
      </c>
      <c r="M42" s="257" t="str">
        <f t="shared" si="15"/>
        <v>NA</v>
      </c>
      <c r="N42" s="257" t="str">
        <f t="shared" si="15"/>
        <v>NA</v>
      </c>
      <c r="O42" s="257" t="str">
        <f t="shared" si="15"/>
        <v>NA</v>
      </c>
      <c r="P42" s="257" t="str">
        <f t="shared" si="15"/>
        <v>NA</v>
      </c>
      <c r="Q42" s="257" t="str">
        <f t="shared" si="15"/>
        <v>NA</v>
      </c>
      <c r="R42" s="257" t="str">
        <f t="shared" si="15"/>
        <v>NA</v>
      </c>
      <c r="S42" s="257" t="str">
        <f t="shared" si="15"/>
        <v>NA</v>
      </c>
      <c r="T42" s="257" t="str">
        <f t="shared" si="15"/>
        <v>NA</v>
      </c>
      <c r="U42" s="257" t="str">
        <f t="shared" si="15"/>
        <v>NA</v>
      </c>
      <c r="V42" s="257" t="str">
        <f t="shared" si="15"/>
        <v>NA</v>
      </c>
      <c r="W42" s="257" t="str">
        <f t="shared" si="15"/>
        <v>NA</v>
      </c>
    </row>
    <row r="43" spans="1:23">
      <c r="A43" s="7" t="s">
        <v>743</v>
      </c>
      <c r="I43" s="256">
        <v>0</v>
      </c>
      <c r="J43" s="256" t="e">
        <f xml:space="preserve"> I41 +H45</f>
        <v>#REF!</v>
      </c>
      <c r="K43" s="256" t="e">
        <f>J45</f>
        <v>#REF!</v>
      </c>
      <c r="L43" s="256" t="e">
        <f>K45</f>
        <v>#REF!</v>
      </c>
      <c r="M43" s="256" t="e">
        <f t="shared" ref="M43:W43" si="16">L45</f>
        <v>#REF!</v>
      </c>
      <c r="N43" s="256" t="e">
        <f t="shared" si="16"/>
        <v>#REF!</v>
      </c>
      <c r="O43" s="256" t="e">
        <f t="shared" si="16"/>
        <v>#REF!</v>
      </c>
      <c r="P43" s="256" t="e">
        <f t="shared" si="16"/>
        <v>#REF!</v>
      </c>
      <c r="Q43" s="256" t="e">
        <f t="shared" si="16"/>
        <v>#REF!</v>
      </c>
      <c r="R43" s="256" t="e">
        <f t="shared" si="16"/>
        <v>#REF!</v>
      </c>
      <c r="S43" s="256" t="e">
        <f t="shared" si="16"/>
        <v>#REF!</v>
      </c>
      <c r="T43" s="256" t="e">
        <f t="shared" si="16"/>
        <v>#REF!</v>
      </c>
      <c r="U43" s="256" t="e">
        <f t="shared" si="16"/>
        <v>#REF!</v>
      </c>
      <c r="V43" s="256" t="e">
        <f t="shared" si="16"/>
        <v>#REF!</v>
      </c>
      <c r="W43" s="256" t="e">
        <f t="shared" si="16"/>
        <v>#REF!</v>
      </c>
    </row>
    <row r="44" spans="1:23">
      <c r="A44" s="7" t="s">
        <v>745</v>
      </c>
      <c r="I44" s="256">
        <v>0</v>
      </c>
      <c r="J44" s="256">
        <v>0</v>
      </c>
      <c r="K44" s="256">
        <v>0</v>
      </c>
      <c r="L44" s="256">
        <v>0</v>
      </c>
      <c r="M44" s="256">
        <v>0</v>
      </c>
      <c r="N44" s="256">
        <v>0</v>
      </c>
      <c r="O44" s="256">
        <v>0</v>
      </c>
      <c r="P44" s="256">
        <v>0</v>
      </c>
      <c r="Q44" s="256">
        <v>0</v>
      </c>
      <c r="R44" s="256">
        <v>0</v>
      </c>
      <c r="S44" s="256">
        <v>0</v>
      </c>
      <c r="T44" s="256">
        <v>0</v>
      </c>
      <c r="U44" s="256">
        <v>0</v>
      </c>
      <c r="V44" s="256">
        <v>0</v>
      </c>
      <c r="W44" s="256">
        <v>0</v>
      </c>
    </row>
    <row r="45" spans="1:23" s="176" customFormat="1">
      <c r="A45" s="177" t="s">
        <v>742</v>
      </c>
      <c r="I45" s="254" t="e">
        <f xml:space="preserve"> I43+I41</f>
        <v>#REF!</v>
      </c>
      <c r="J45" s="254" t="e">
        <f xml:space="preserve"> J43+I41</f>
        <v>#REF!</v>
      </c>
      <c r="K45" s="254" t="e">
        <f xml:space="preserve"> K43+J41</f>
        <v>#REF!</v>
      </c>
      <c r="L45" s="254" t="e">
        <f xml:space="preserve"> L43+L41</f>
        <v>#REF!</v>
      </c>
      <c r="M45" s="254" t="e">
        <f t="shared" ref="M45:W45" si="17" xml:space="preserve"> M43+M41</f>
        <v>#REF!</v>
      </c>
      <c r="N45" s="254" t="e">
        <f t="shared" si="17"/>
        <v>#REF!</v>
      </c>
      <c r="O45" s="254" t="e">
        <f t="shared" si="17"/>
        <v>#REF!</v>
      </c>
      <c r="P45" s="254" t="e">
        <f t="shared" si="17"/>
        <v>#REF!</v>
      </c>
      <c r="Q45" s="254" t="e">
        <f t="shared" si="17"/>
        <v>#REF!</v>
      </c>
      <c r="R45" s="254" t="e">
        <f t="shared" si="17"/>
        <v>#REF!</v>
      </c>
      <c r="S45" s="254" t="e">
        <f t="shared" si="17"/>
        <v>#REF!</v>
      </c>
      <c r="T45" s="254" t="e">
        <f t="shared" si="17"/>
        <v>#REF!</v>
      </c>
      <c r="U45" s="254" t="e">
        <f t="shared" si="17"/>
        <v>#REF!</v>
      </c>
      <c r="V45" s="254" t="e">
        <f t="shared" si="17"/>
        <v>#REF!</v>
      </c>
      <c r="W45" s="254" t="e">
        <f t="shared" si="17"/>
        <v>#REF!</v>
      </c>
    </row>
    <row r="48" spans="1:23" s="110" customFormat="1" ht="23.4">
      <c r="A48" s="110" t="s">
        <v>746</v>
      </c>
    </row>
    <row r="49" spans="1:23">
      <c r="A49" s="7" t="s">
        <v>747</v>
      </c>
      <c r="I49" s="59">
        <v>205.2</v>
      </c>
      <c r="J49" s="59">
        <v>230.4</v>
      </c>
      <c r="K49" s="59">
        <v>255.59</v>
      </c>
      <c r="L49" s="59">
        <v>312.45999999999998</v>
      </c>
      <c r="M49" s="59">
        <v>379.65</v>
      </c>
      <c r="N49" s="59">
        <v>451.87</v>
      </c>
      <c r="O49" s="59">
        <v>532.04</v>
      </c>
      <c r="P49" s="59">
        <v>617.77</v>
      </c>
      <c r="Q49" s="59">
        <v>698.49</v>
      </c>
      <c r="R49" s="59">
        <v>789.38</v>
      </c>
      <c r="S49" s="59">
        <v>894.68</v>
      </c>
      <c r="T49" s="59">
        <v>1007.77</v>
      </c>
      <c r="U49" s="59">
        <v>1129.69</v>
      </c>
      <c r="V49" s="59">
        <v>1259.98</v>
      </c>
      <c r="W49" s="59">
        <v>1425.5</v>
      </c>
    </row>
    <row r="50" spans="1:23">
      <c r="A50" s="3" t="s">
        <v>748</v>
      </c>
      <c r="I50" s="143">
        <v>0</v>
      </c>
      <c r="J50" s="143">
        <v>0</v>
      </c>
      <c r="K50" s="143">
        <v>0</v>
      </c>
      <c r="L50" s="143">
        <v>20.12</v>
      </c>
      <c r="M50" s="143">
        <v>21.7</v>
      </c>
      <c r="N50" s="143">
        <v>38.26</v>
      </c>
      <c r="O50" s="143">
        <v>61.73</v>
      </c>
      <c r="P50" s="143">
        <v>93.97</v>
      </c>
      <c r="Q50" s="143">
        <v>137.30000000000001</v>
      </c>
      <c r="R50" s="143">
        <v>199.41</v>
      </c>
      <c r="S50" s="143">
        <v>281.67</v>
      </c>
      <c r="T50" s="143">
        <v>386.06</v>
      </c>
      <c r="U50" s="143">
        <v>520.37</v>
      </c>
      <c r="V50" s="143">
        <v>691.59</v>
      </c>
      <c r="W50" s="143">
        <v>908.66</v>
      </c>
    </row>
    <row r="51" spans="1:23">
      <c r="A51" s="3" t="s">
        <v>749</v>
      </c>
      <c r="I51" s="143">
        <v>15.12</v>
      </c>
      <c r="J51" s="143">
        <v>13.6</v>
      </c>
      <c r="K51" s="143">
        <v>13.72</v>
      </c>
      <c r="L51" s="143">
        <v>6.04</v>
      </c>
      <c r="M51" s="143">
        <v>6.51</v>
      </c>
      <c r="N51" s="143">
        <v>11.48</v>
      </c>
      <c r="O51" s="143">
        <v>18.52</v>
      </c>
      <c r="P51" s="143">
        <v>28.19</v>
      </c>
      <c r="Q51" s="143">
        <v>41.19</v>
      </c>
      <c r="R51" s="143">
        <v>59.82</v>
      </c>
      <c r="S51" s="143">
        <v>84.5</v>
      </c>
      <c r="T51" s="143">
        <v>115.82</v>
      </c>
      <c r="U51" s="143">
        <v>156.11000000000001</v>
      </c>
      <c r="V51" s="143">
        <v>207.48</v>
      </c>
      <c r="W51" s="143">
        <v>272.60000000000002</v>
      </c>
    </row>
    <row r="52" spans="1:23">
      <c r="A52" s="3" t="s">
        <v>751</v>
      </c>
      <c r="I52" s="143">
        <v>35.28</v>
      </c>
      <c r="J52" s="143">
        <v>31.76</v>
      </c>
      <c r="K52" s="143">
        <v>31.99</v>
      </c>
      <c r="L52" s="143">
        <v>14.08</v>
      </c>
      <c r="M52" s="143">
        <v>15.2</v>
      </c>
      <c r="N52" s="143">
        <v>26.78</v>
      </c>
      <c r="O52" s="143">
        <v>43.21</v>
      </c>
      <c r="P52" s="143">
        <v>65.77</v>
      </c>
      <c r="Q52" s="143">
        <v>96.11</v>
      </c>
      <c r="R52" s="143">
        <v>139.58000000000001</v>
      </c>
      <c r="S52" s="143">
        <v>197.16</v>
      </c>
      <c r="T52" s="143">
        <v>270.24</v>
      </c>
      <c r="U52" s="143">
        <v>364.26</v>
      </c>
      <c r="V52" s="143">
        <v>484.11</v>
      </c>
      <c r="W52" s="143">
        <v>636.07000000000005</v>
      </c>
    </row>
    <row r="53" spans="1:23" s="176" customFormat="1">
      <c r="A53" s="177" t="s">
        <v>750</v>
      </c>
      <c r="I53" s="178">
        <f>SUM(I50:I52)</f>
        <v>50.4</v>
      </c>
      <c r="J53" s="178">
        <f>SUM(J50:J52)</f>
        <v>45.36</v>
      </c>
      <c r="K53" s="178">
        <f t="shared" ref="K53:W53" si="18">SUM(K50:K52)</f>
        <v>45.71</v>
      </c>
      <c r="L53" s="178">
        <f t="shared" si="18"/>
        <v>40.24</v>
      </c>
      <c r="M53" s="178">
        <f t="shared" si="18"/>
        <v>43.41</v>
      </c>
      <c r="N53" s="178">
        <f t="shared" si="18"/>
        <v>76.52</v>
      </c>
      <c r="O53" s="178">
        <f t="shared" si="18"/>
        <v>123.46000000000001</v>
      </c>
      <c r="P53" s="178">
        <f t="shared" si="18"/>
        <v>187.93</v>
      </c>
      <c r="Q53" s="178">
        <f t="shared" si="18"/>
        <v>274.60000000000002</v>
      </c>
      <c r="R53" s="178">
        <f t="shared" si="18"/>
        <v>398.81000000000006</v>
      </c>
      <c r="S53" s="178">
        <f t="shared" si="18"/>
        <v>563.33000000000004</v>
      </c>
      <c r="T53" s="178">
        <f t="shared" si="18"/>
        <v>772.12</v>
      </c>
      <c r="U53" s="178">
        <f t="shared" si="18"/>
        <v>1040.74</v>
      </c>
      <c r="V53" s="178">
        <f t="shared" si="18"/>
        <v>1383.18</v>
      </c>
      <c r="W53" s="178">
        <f t="shared" si="18"/>
        <v>1817.33</v>
      </c>
    </row>
    <row r="54" spans="1:23" s="176" customFormat="1">
      <c r="A54" s="177" t="s">
        <v>752</v>
      </c>
      <c r="I54" s="178">
        <f>SUM(I49,I53)</f>
        <v>255.6</v>
      </c>
      <c r="J54" s="178">
        <f>SUM(J49,J53)</f>
        <v>275.76</v>
      </c>
      <c r="K54" s="178">
        <f>SUM(K49,K53)</f>
        <v>301.3</v>
      </c>
      <c r="L54" s="178">
        <f>SUM(L49,L53)</f>
        <v>352.7</v>
      </c>
      <c r="M54" s="178">
        <f>SUM(M49,M53)</f>
        <v>423.05999999999995</v>
      </c>
      <c r="N54" s="178">
        <f>SUM(N49,N53)</f>
        <v>528.39</v>
      </c>
      <c r="O54" s="178">
        <f>SUM(O49,O53)</f>
        <v>655.5</v>
      </c>
      <c r="P54" s="178">
        <f>SUM(P49,P53)</f>
        <v>805.7</v>
      </c>
      <c r="Q54" s="178">
        <f>SUM(Q49,Q53)</f>
        <v>973.09</v>
      </c>
      <c r="R54" s="178">
        <f>SUM(R49,R53)</f>
        <v>1188.19</v>
      </c>
      <c r="S54" s="178">
        <f>SUM(S49,S53)</f>
        <v>1458.01</v>
      </c>
      <c r="T54" s="178">
        <f>SUM(T49,T53)</f>
        <v>1779.8899999999999</v>
      </c>
      <c r="U54" s="178">
        <f>SUM(U49,U53)</f>
        <v>2170.4300000000003</v>
      </c>
      <c r="V54" s="178">
        <f>SUM(V49,V53)</f>
        <v>2643.16</v>
      </c>
      <c r="W54" s="178">
        <f>SUM(W49,W53)</f>
        <v>3242.83</v>
      </c>
    </row>
    <row r="55" spans="1:23" s="112" customFormat="1">
      <c r="A55" s="111" t="s">
        <v>753</v>
      </c>
      <c r="I55" s="116" t="e">
        <f xml:space="preserve"> I41/I54</f>
        <v>#REF!</v>
      </c>
      <c r="J55" s="116" t="e">
        <f xml:space="preserve"> J41/J54</f>
        <v>#REF!</v>
      </c>
      <c r="K55" s="116" t="e">
        <f xml:space="preserve"> K41/K54</f>
        <v>#REF!</v>
      </c>
      <c r="L55" s="116" t="e">
        <f xml:space="preserve"> L41/L54</f>
        <v>#REF!</v>
      </c>
      <c r="M55" s="116" t="e">
        <f xml:space="preserve"> M41/M54</f>
        <v>#REF!</v>
      </c>
      <c r="N55" s="116" t="e">
        <f xml:space="preserve"> N41/N54</f>
        <v>#REF!</v>
      </c>
      <c r="O55" s="116" t="e">
        <f xml:space="preserve"> O41/O54</f>
        <v>#REF!</v>
      </c>
      <c r="P55" s="116" t="e">
        <f xml:space="preserve"> P41/P54</f>
        <v>#REF!</v>
      </c>
      <c r="Q55" s="116" t="e">
        <f xml:space="preserve"> Q41/Q54</f>
        <v>#REF!</v>
      </c>
      <c r="R55" s="116" t="e">
        <f xml:space="preserve"> R41/R54</f>
        <v>#REF!</v>
      </c>
      <c r="S55" s="116" t="e">
        <f xml:space="preserve"> S41/S54</f>
        <v>#REF!</v>
      </c>
      <c r="T55" s="116" t="e">
        <f xml:space="preserve"> T41/T54</f>
        <v>#REF!</v>
      </c>
      <c r="U55" s="116" t="e">
        <f xml:space="preserve"> U41/U54</f>
        <v>#REF!</v>
      </c>
      <c r="V55" s="116" t="e">
        <f xml:space="preserve"> V41/V54</f>
        <v>#REF!</v>
      </c>
      <c r="W55" s="116" t="e">
        <f xml:space="preserve"> W41/W54</f>
        <v>#REF!</v>
      </c>
    </row>
    <row r="56" spans="1:23">
      <c r="A56" s="3" t="s">
        <v>755</v>
      </c>
      <c r="I56" s="172">
        <f>ASSUMPTIONS!C83</f>
        <v>-18</v>
      </c>
      <c r="J56" s="172">
        <f>ASSUMPTIONS!C84</f>
        <v>-18</v>
      </c>
      <c r="K56" s="172">
        <f>ASSUMPTIONS!C85</f>
        <v>-18</v>
      </c>
      <c r="L56" s="172">
        <f>ASSUMPTIONS!C86</f>
        <v>-26.41739671805172</v>
      </c>
      <c r="M56" s="172">
        <f>ASSUMPTIONS!C87</f>
        <v>-26.41739671805172</v>
      </c>
      <c r="N56" s="172">
        <f>ASSUMPTIONS!C88</f>
        <v>-26.41739671805172</v>
      </c>
      <c r="O56" s="172">
        <f>ASSUMPTIONS!C89</f>
        <v>-26.41739671805172</v>
      </c>
      <c r="P56" s="172">
        <f>ASSUMPTIONS!C90</f>
        <v>-26.41739671805172</v>
      </c>
      <c r="Q56" s="172">
        <f>ASSUMPTIONS!C91</f>
        <v>-26.41739671805172</v>
      </c>
      <c r="R56" s="172">
        <f>ASSUMPTIONS!C92</f>
        <v>-26.41739671805172</v>
      </c>
      <c r="S56" s="172">
        <f>ASSUMPTIONS!C93</f>
        <v>-26.41739671805172</v>
      </c>
      <c r="T56" s="172">
        <f>ASSUMPTIONS!C94</f>
        <v>-26.41739671805172</v>
      </c>
      <c r="U56" s="172">
        <f>ASSUMPTIONS!C95</f>
        <v>-26.41739671805172</v>
      </c>
      <c r="V56" s="172">
        <f>ASSUMPTIONS!C96</f>
        <v>-26.41739671805172</v>
      </c>
      <c r="W56" s="172">
        <f>ASSUMPTIONS!C97</f>
        <v>-26.41739671805172</v>
      </c>
    </row>
    <row r="57" spans="1:23">
      <c r="A57" s="3" t="s">
        <v>756</v>
      </c>
      <c r="I57" s="141">
        <f>ASSUMPTIONS!F83</f>
        <v>180</v>
      </c>
      <c r="J57" s="141">
        <f>ASSUMPTIONS!F84</f>
        <v>180</v>
      </c>
      <c r="K57" s="141">
        <f>ASSUMPTIONS!F85</f>
        <v>180</v>
      </c>
      <c r="L57" s="141">
        <f>ASSUMPTIONS!F86</f>
        <v>171.58260328194828</v>
      </c>
      <c r="M57" s="141">
        <f>ASSUMPTIONS!F87</f>
        <v>162.3234668920914</v>
      </c>
      <c r="N57" s="141">
        <f>ASSUMPTIONS!F88</f>
        <v>152.13841686324884</v>
      </c>
      <c r="O57" s="141">
        <f>ASSUMPTIONS!F89</f>
        <v>140.934861831522</v>
      </c>
      <c r="P57" s="141">
        <f>ASSUMPTIONS!F90</f>
        <v>128.61095129662249</v>
      </c>
      <c r="Q57" s="141">
        <f>ASSUMPTIONS!F91</f>
        <v>115.05464970823301</v>
      </c>
      <c r="R57" s="141">
        <f>ASSUMPTIONS!F92</f>
        <v>100.14271796100459</v>
      </c>
      <c r="S57" s="141">
        <f>ASSUMPTIONS!F93</f>
        <v>83.739593039053332</v>
      </c>
      <c r="T57" s="141">
        <f>ASSUMPTIONS!F94</f>
        <v>65.69615562490695</v>
      </c>
      <c r="U57" s="141">
        <f>ASSUMPTIONS!F95</f>
        <v>45.848374469345927</v>
      </c>
      <c r="V57" s="141">
        <f>ASSUMPTIONS!F96</f>
        <v>24.0158151982288</v>
      </c>
      <c r="W57" s="141">
        <f>ASSUMPTIONS!F97</f>
        <v>-3.907985046680551E-14</v>
      </c>
    </row>
    <row r="58" spans="1:23">
      <c r="A58" s="3" t="s">
        <v>754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</row>
    <row r="59" spans="1:23" s="176" customFormat="1">
      <c r="A59" s="177" t="s">
        <v>757</v>
      </c>
      <c r="I59" s="178">
        <f xml:space="preserve"> - I56+I58+I57</f>
        <v>198</v>
      </c>
      <c r="J59" s="178">
        <f t="shared" ref="J59:W59" si="19" xml:space="preserve"> - J56+J58+J57</f>
        <v>198</v>
      </c>
      <c r="K59" s="178">
        <f t="shared" si="19"/>
        <v>198</v>
      </c>
      <c r="L59" s="178">
        <f t="shared" si="19"/>
        <v>198</v>
      </c>
      <c r="M59" s="178">
        <f t="shared" si="19"/>
        <v>188.74086361014312</v>
      </c>
      <c r="N59" s="178">
        <f t="shared" si="19"/>
        <v>178.55581358130055</v>
      </c>
      <c r="O59" s="178">
        <f t="shared" si="19"/>
        <v>167.35225854957372</v>
      </c>
      <c r="P59" s="178">
        <f t="shared" si="19"/>
        <v>155.02834801467421</v>
      </c>
      <c r="Q59" s="178">
        <f t="shared" si="19"/>
        <v>141.47204642628475</v>
      </c>
      <c r="R59" s="178">
        <f t="shared" si="19"/>
        <v>126.56011467905631</v>
      </c>
      <c r="S59" s="178">
        <f t="shared" si="19"/>
        <v>110.15698975710505</v>
      </c>
      <c r="T59" s="178">
        <f t="shared" si="19"/>
        <v>92.11355234295867</v>
      </c>
      <c r="U59" s="178">
        <f t="shared" si="19"/>
        <v>72.265771187397647</v>
      </c>
      <c r="V59" s="178">
        <f t="shared" si="19"/>
        <v>50.43321191628052</v>
      </c>
      <c r="W59" s="178">
        <f t="shared" si="19"/>
        <v>26.41739671805168</v>
      </c>
    </row>
    <row r="60" spans="1:23">
      <c r="A60" s="3" t="s">
        <v>758</v>
      </c>
      <c r="I60" s="59">
        <v>0</v>
      </c>
      <c r="J60" s="59">
        <v>22.895999999999901</v>
      </c>
      <c r="K60" s="59">
        <v>49.02</v>
      </c>
      <c r="L60" s="59">
        <v>108.08595096000001</v>
      </c>
      <c r="M60" s="59">
        <v>175.71360971999999</v>
      </c>
      <c r="N60" s="59">
        <v>240.46483229999899</v>
      </c>
      <c r="O60" s="59">
        <v>296.90560410000001</v>
      </c>
      <c r="P60" s="59">
        <v>334.74375834</v>
      </c>
      <c r="Q60" s="59">
        <v>347.23151544000001</v>
      </c>
      <c r="R60" s="59">
        <v>340.02851393999998</v>
      </c>
      <c r="S60" s="59">
        <v>319.72930050000002</v>
      </c>
      <c r="T60" s="59">
        <v>280.70184366000001</v>
      </c>
      <c r="U60" s="59">
        <v>235.16243333999901</v>
      </c>
      <c r="V60" s="59">
        <v>179.36479709999901</v>
      </c>
      <c r="W60" s="59">
        <v>128.06494799999999</v>
      </c>
    </row>
    <row r="61" spans="1:23">
      <c r="A61" s="3" t="s">
        <v>759</v>
      </c>
      <c r="I61" s="59">
        <v>0</v>
      </c>
      <c r="J61" s="59">
        <v>15.263999999999999</v>
      </c>
      <c r="K61" s="59">
        <v>32.68</v>
      </c>
      <c r="L61" s="59">
        <v>72.057300639999994</v>
      </c>
      <c r="M61" s="59">
        <v>117.14240648000001</v>
      </c>
      <c r="N61" s="59">
        <v>160.30988819999999</v>
      </c>
      <c r="O61" s="59">
        <v>197.93706940000001</v>
      </c>
      <c r="P61" s="59">
        <v>223.16250556</v>
      </c>
      <c r="Q61" s="59">
        <v>231.48767695999999</v>
      </c>
      <c r="R61" s="59">
        <v>226.68567596</v>
      </c>
      <c r="S61" s="59">
        <v>213.15286699999999</v>
      </c>
      <c r="T61" s="59">
        <v>187.13456244</v>
      </c>
      <c r="U61" s="59">
        <v>156.77495556</v>
      </c>
      <c r="V61" s="59">
        <v>119.576531399999</v>
      </c>
      <c r="W61" s="59">
        <v>85.376632000000001</v>
      </c>
    </row>
    <row r="62" spans="1:23">
      <c r="A62" s="3" t="s">
        <v>760</v>
      </c>
      <c r="I62" s="151">
        <f xml:space="preserve"> I40</f>
        <v>0</v>
      </c>
      <c r="J62" s="151">
        <f xml:space="preserve"> J40</f>
        <v>0</v>
      </c>
      <c r="K62" s="151">
        <f xml:space="preserve"> K40</f>
        <v>0</v>
      </c>
      <c r="L62" s="151">
        <f xml:space="preserve"> L40</f>
        <v>0</v>
      </c>
      <c r="M62" s="151">
        <f xml:space="preserve"> M40</f>
        <v>0</v>
      </c>
      <c r="N62" s="151">
        <f xml:space="preserve"> N40</f>
        <v>0</v>
      </c>
      <c r="O62" s="151">
        <f xml:space="preserve"> O40</f>
        <v>0</v>
      </c>
      <c r="P62" s="151" t="e">
        <f xml:space="preserve"> P40</f>
        <v>#REF!</v>
      </c>
      <c r="Q62" s="151" t="e">
        <f xml:space="preserve"> Q40</f>
        <v>#REF!</v>
      </c>
      <c r="R62" s="151" t="e">
        <f xml:space="preserve"> R40</f>
        <v>#REF!</v>
      </c>
      <c r="S62" s="151" t="e">
        <f xml:space="preserve"> S40</f>
        <v>#REF!</v>
      </c>
      <c r="T62" s="151" t="e">
        <f xml:space="preserve"> T40</f>
        <v>#REF!</v>
      </c>
      <c r="U62" s="151" t="e">
        <f xml:space="preserve"> U40</f>
        <v>#REF!</v>
      </c>
      <c r="V62" s="151" t="e">
        <f xml:space="preserve"> V40</f>
        <v>#REF!</v>
      </c>
      <c r="W62" s="151" t="e">
        <f xml:space="preserve"> W40</f>
        <v>#REF!</v>
      </c>
    </row>
    <row r="63" spans="1:23" s="176" customFormat="1">
      <c r="A63" s="177" t="s">
        <v>761</v>
      </c>
      <c r="I63" s="178">
        <f>SUM(I60:I62)</f>
        <v>0</v>
      </c>
      <c r="J63" s="178">
        <f t="shared" ref="J63:W63" si="20">SUM(J60:J62)</f>
        <v>38.159999999999897</v>
      </c>
      <c r="K63" s="178">
        <f t="shared" si="20"/>
        <v>81.7</v>
      </c>
      <c r="L63" s="178">
        <f t="shared" si="20"/>
        <v>180.14325159999999</v>
      </c>
      <c r="M63" s="178">
        <f t="shared" si="20"/>
        <v>292.8560162</v>
      </c>
      <c r="N63" s="178">
        <f t="shared" si="20"/>
        <v>400.77472049999898</v>
      </c>
      <c r="O63" s="178">
        <f t="shared" si="20"/>
        <v>494.84267350000005</v>
      </c>
      <c r="P63" s="178" t="e">
        <f t="shared" si="20"/>
        <v>#REF!</v>
      </c>
      <c r="Q63" s="178" t="e">
        <f t="shared" si="20"/>
        <v>#REF!</v>
      </c>
      <c r="R63" s="178" t="e">
        <f t="shared" si="20"/>
        <v>#REF!</v>
      </c>
      <c r="S63" s="178" t="e">
        <f t="shared" si="20"/>
        <v>#REF!</v>
      </c>
      <c r="T63" s="178" t="e">
        <f t="shared" si="20"/>
        <v>#REF!</v>
      </c>
      <c r="U63" s="178" t="e">
        <f t="shared" si="20"/>
        <v>#REF!</v>
      </c>
      <c r="V63" s="178" t="e">
        <f t="shared" si="20"/>
        <v>#REF!</v>
      </c>
      <c r="W63" s="178" t="e">
        <f t="shared" si="20"/>
        <v>#REF!</v>
      </c>
    </row>
    <row r="64" spans="1:23" s="176" customFormat="1">
      <c r="A64" s="177" t="s">
        <v>762</v>
      </c>
      <c r="I64" s="178">
        <f>SUM(I59,I63)</f>
        <v>198</v>
      </c>
      <c r="J64" s="178">
        <f t="shared" ref="J64:W64" si="21">SUM(J59,J63)</f>
        <v>236.15999999999991</v>
      </c>
      <c r="K64" s="178">
        <f t="shared" si="21"/>
        <v>279.7</v>
      </c>
      <c r="L64" s="178">
        <f t="shared" si="21"/>
        <v>378.14325159999999</v>
      </c>
      <c r="M64" s="178">
        <f t="shared" si="21"/>
        <v>481.59687981014315</v>
      </c>
      <c r="N64" s="178">
        <f t="shared" si="21"/>
        <v>579.33053408129956</v>
      </c>
      <c r="O64" s="178">
        <f t="shared" si="21"/>
        <v>662.19493204957371</v>
      </c>
      <c r="P64" s="178" t="e">
        <f t="shared" si="21"/>
        <v>#REF!</v>
      </c>
      <c r="Q64" s="178" t="e">
        <f t="shared" si="21"/>
        <v>#REF!</v>
      </c>
      <c r="R64" s="178" t="e">
        <f t="shared" si="21"/>
        <v>#REF!</v>
      </c>
      <c r="S64" s="178" t="e">
        <f t="shared" si="21"/>
        <v>#REF!</v>
      </c>
      <c r="T64" s="178" t="e">
        <f t="shared" si="21"/>
        <v>#REF!</v>
      </c>
      <c r="U64" s="178" t="e">
        <f t="shared" si="21"/>
        <v>#REF!</v>
      </c>
      <c r="V64" s="178" t="e">
        <f t="shared" si="21"/>
        <v>#REF!</v>
      </c>
      <c r="W64" s="178" t="e">
        <f t="shared" si="21"/>
        <v>#REF!</v>
      </c>
    </row>
    <row r="65" spans="1:23">
      <c r="A65" s="3" t="s">
        <v>424</v>
      </c>
      <c r="I65" s="143">
        <v>75.599999999999994</v>
      </c>
      <c r="J65" s="143">
        <v>75.599999999999994</v>
      </c>
      <c r="K65" s="143">
        <v>75.599999999999994</v>
      </c>
      <c r="L65" s="143">
        <v>75.599999999999994</v>
      </c>
      <c r="M65" s="143">
        <v>75.599999999999994</v>
      </c>
      <c r="N65" s="143">
        <v>75.599999999999994</v>
      </c>
      <c r="O65" s="143">
        <v>75.599999999999994</v>
      </c>
      <c r="P65" s="143">
        <v>75.599999999999994</v>
      </c>
      <c r="Q65" s="143">
        <v>75.599999999999994</v>
      </c>
      <c r="R65" s="143">
        <v>75.599999999999994</v>
      </c>
      <c r="S65" s="143">
        <v>75.599999999999994</v>
      </c>
      <c r="T65" s="143">
        <v>75.599999999999994</v>
      </c>
      <c r="U65" s="143">
        <v>75.599999999999994</v>
      </c>
      <c r="V65" s="143">
        <v>75.599999999999994</v>
      </c>
      <c r="W65" s="143">
        <v>75.599999999999994</v>
      </c>
    </row>
    <row r="66" spans="1:23">
      <c r="A66" s="3" t="s">
        <v>764</v>
      </c>
      <c r="I66" s="141" t="e">
        <f>I45</f>
        <v>#REF!</v>
      </c>
      <c r="J66" s="141" t="e">
        <f>J45</f>
        <v>#REF!</v>
      </c>
      <c r="K66" s="141" t="e">
        <f>K45</f>
        <v>#REF!</v>
      </c>
      <c r="L66" s="141" t="e">
        <f>L45</f>
        <v>#REF!</v>
      </c>
      <c r="M66" s="141" t="e">
        <f>M45</f>
        <v>#REF!</v>
      </c>
      <c r="N66" s="141" t="e">
        <f>N45</f>
        <v>#REF!</v>
      </c>
      <c r="O66" s="141" t="e">
        <f>O45</f>
        <v>#REF!</v>
      </c>
      <c r="P66" s="141" t="e">
        <f>P45</f>
        <v>#REF!</v>
      </c>
      <c r="Q66" s="141" t="e">
        <f>Q45</f>
        <v>#REF!</v>
      </c>
      <c r="R66" s="141" t="e">
        <f>R45</f>
        <v>#REF!</v>
      </c>
      <c r="S66" s="141" t="e">
        <f>S45</f>
        <v>#REF!</v>
      </c>
      <c r="T66" s="141" t="e">
        <f>T45</f>
        <v>#REF!</v>
      </c>
      <c r="U66" s="141" t="e">
        <f>U45</f>
        <v>#REF!</v>
      </c>
      <c r="V66" s="141" t="e">
        <f>V45</f>
        <v>#REF!</v>
      </c>
      <c r="W66" s="141" t="e">
        <f>W45</f>
        <v>#REF!</v>
      </c>
    </row>
    <row r="67" spans="1:23" s="176" customFormat="1">
      <c r="A67" s="177" t="s">
        <v>765</v>
      </c>
      <c r="I67" s="178" t="e">
        <f>SUM(I65:I66)</f>
        <v>#REF!</v>
      </c>
      <c r="J67" s="178" t="e">
        <f t="shared" ref="J67:W67" si="22">SUM(J65:J66)</f>
        <v>#REF!</v>
      </c>
      <c r="K67" s="178" t="e">
        <f t="shared" si="22"/>
        <v>#REF!</v>
      </c>
      <c r="L67" s="178" t="e">
        <f t="shared" si="22"/>
        <v>#REF!</v>
      </c>
      <c r="M67" s="178" t="e">
        <f t="shared" si="22"/>
        <v>#REF!</v>
      </c>
      <c r="N67" s="178" t="e">
        <f t="shared" si="22"/>
        <v>#REF!</v>
      </c>
      <c r="O67" s="178" t="e">
        <f t="shared" si="22"/>
        <v>#REF!</v>
      </c>
      <c r="P67" s="178" t="e">
        <f t="shared" si="22"/>
        <v>#REF!</v>
      </c>
      <c r="Q67" s="178" t="e">
        <f t="shared" si="22"/>
        <v>#REF!</v>
      </c>
      <c r="R67" s="178" t="e">
        <f t="shared" si="22"/>
        <v>#REF!</v>
      </c>
      <c r="S67" s="178" t="e">
        <f t="shared" si="22"/>
        <v>#REF!</v>
      </c>
      <c r="T67" s="178" t="e">
        <f t="shared" si="22"/>
        <v>#REF!</v>
      </c>
      <c r="U67" s="178" t="e">
        <f t="shared" si="22"/>
        <v>#REF!</v>
      </c>
      <c r="V67" s="178" t="e">
        <f t="shared" si="22"/>
        <v>#REF!</v>
      </c>
      <c r="W67" s="178" t="e">
        <f t="shared" si="22"/>
        <v>#REF!</v>
      </c>
    </row>
    <row r="68" spans="1:23" s="176" customFormat="1">
      <c r="A68" s="177" t="s">
        <v>766</v>
      </c>
      <c r="I68" s="178" t="e">
        <f xml:space="preserve"> I67+I64</f>
        <v>#REF!</v>
      </c>
      <c r="J68" s="178" t="e">
        <f t="shared" ref="J68:W68" si="23" xml:space="preserve"> J67+J64</f>
        <v>#REF!</v>
      </c>
      <c r="K68" s="178" t="e">
        <f t="shared" si="23"/>
        <v>#REF!</v>
      </c>
      <c r="L68" s="178" t="e">
        <f t="shared" si="23"/>
        <v>#REF!</v>
      </c>
      <c r="M68" s="178" t="e">
        <f t="shared" si="23"/>
        <v>#REF!</v>
      </c>
      <c r="N68" s="178" t="e">
        <f t="shared" si="23"/>
        <v>#REF!</v>
      </c>
      <c r="O68" s="178" t="e">
        <f t="shared" si="23"/>
        <v>#REF!</v>
      </c>
      <c r="P68" s="178" t="e">
        <f t="shared" si="23"/>
        <v>#REF!</v>
      </c>
      <c r="Q68" s="178" t="e">
        <f t="shared" si="23"/>
        <v>#REF!</v>
      </c>
      <c r="R68" s="178" t="e">
        <f t="shared" si="23"/>
        <v>#REF!</v>
      </c>
      <c r="S68" s="178" t="e">
        <f t="shared" si="23"/>
        <v>#REF!</v>
      </c>
      <c r="T68" s="178" t="e">
        <f t="shared" si="23"/>
        <v>#REF!</v>
      </c>
      <c r="U68" s="178" t="e">
        <f t="shared" si="23"/>
        <v>#REF!</v>
      </c>
      <c r="V68" s="178" t="e">
        <f t="shared" si="23"/>
        <v>#REF!</v>
      </c>
      <c r="W68" s="178" t="e">
        <f t="shared" si="23"/>
        <v>#REF!</v>
      </c>
    </row>
    <row r="69" spans="1:23">
      <c r="A69" s="111" t="s">
        <v>767</v>
      </c>
      <c r="I69" s="204">
        <f xml:space="preserve"> I53/I64</f>
        <v>0.25454545454545452</v>
      </c>
      <c r="J69" s="204">
        <f t="shared" ref="J69:W69" si="24" xml:space="preserve"> J53/J64</f>
        <v>0.19207317073170738</v>
      </c>
      <c r="K69" s="204">
        <f t="shared" si="24"/>
        <v>0.16342509831962818</v>
      </c>
      <c r="L69" s="204">
        <f t="shared" si="24"/>
        <v>0.10641469821221584</v>
      </c>
      <c r="M69" s="204">
        <f t="shared" si="24"/>
        <v>9.0137627172985929E-2</v>
      </c>
      <c r="N69" s="204">
        <f t="shared" si="24"/>
        <v>0.13208349206268777</v>
      </c>
      <c r="O69" s="204">
        <f t="shared" si="24"/>
        <v>0.18644056912044965</v>
      </c>
      <c r="P69" s="204" t="e">
        <f t="shared" si="24"/>
        <v>#REF!</v>
      </c>
      <c r="Q69" s="204" t="e">
        <f t="shared" si="24"/>
        <v>#REF!</v>
      </c>
      <c r="R69" s="204" t="e">
        <f t="shared" si="24"/>
        <v>#REF!</v>
      </c>
      <c r="S69" s="204" t="e">
        <f t="shared" si="24"/>
        <v>#REF!</v>
      </c>
      <c r="T69" s="204" t="e">
        <f t="shared" si="24"/>
        <v>#REF!</v>
      </c>
      <c r="U69" s="204" t="e">
        <f t="shared" si="24"/>
        <v>#REF!</v>
      </c>
      <c r="V69" s="204" t="e">
        <f t="shared" si="24"/>
        <v>#REF!</v>
      </c>
      <c r="W69" s="204" t="e">
        <f t="shared" si="24"/>
        <v>#REF!</v>
      </c>
    </row>
    <row r="70" spans="1:23">
      <c r="A70" s="111" t="s">
        <v>768</v>
      </c>
      <c r="I70" s="204" t="str">
        <f xml:space="preserve"> IFERROR((I53- I51)/I63, "NA")</f>
        <v>NA</v>
      </c>
      <c r="J70" s="204">
        <f t="shared" ref="J70:W70" si="25" xml:space="preserve"> IFERROR((J53- J51)/J63, "NA")</f>
        <v>0.83228511530398541</v>
      </c>
      <c r="K70" s="204">
        <f t="shared" si="25"/>
        <v>0.39155446756425949</v>
      </c>
      <c r="L70" s="204">
        <f t="shared" si="25"/>
        <v>0.18984891022140296</v>
      </c>
      <c r="M70" s="204">
        <f t="shared" si="25"/>
        <v>0.1260004847392307</v>
      </c>
      <c r="N70" s="204">
        <f t="shared" si="25"/>
        <v>0.16228568488266254</v>
      </c>
      <c r="O70" s="204">
        <f t="shared" si="25"/>
        <v>0.21206740166074217</v>
      </c>
      <c r="P70" s="204" t="str">
        <f t="shared" si="25"/>
        <v>NA</v>
      </c>
      <c r="Q70" s="204" t="str">
        <f t="shared" si="25"/>
        <v>NA</v>
      </c>
      <c r="R70" s="204" t="str">
        <f t="shared" si="25"/>
        <v>NA</v>
      </c>
      <c r="S70" s="204" t="str">
        <f t="shared" si="25"/>
        <v>NA</v>
      </c>
      <c r="T70" s="204" t="str">
        <f t="shared" si="25"/>
        <v>NA</v>
      </c>
      <c r="U70" s="204" t="str">
        <f t="shared" si="25"/>
        <v>NA</v>
      </c>
      <c r="V70" s="204" t="str">
        <f t="shared" si="25"/>
        <v>NA</v>
      </c>
      <c r="W70" s="204" t="str">
        <f t="shared" si="25"/>
        <v>NA</v>
      </c>
    </row>
    <row r="71" spans="1:23">
      <c r="A71" s="111" t="s">
        <v>769</v>
      </c>
      <c r="I71" s="148" t="e">
        <f xml:space="preserve"> I41/I67</f>
        <v>#REF!</v>
      </c>
      <c r="J71" s="148" t="e">
        <f xml:space="preserve"> J41/J67</f>
        <v>#REF!</v>
      </c>
      <c r="K71" s="148" t="e">
        <f xml:space="preserve"> K41/K67</f>
        <v>#REF!</v>
      </c>
      <c r="L71" s="148" t="e">
        <f xml:space="preserve"> L41/L67</f>
        <v>#REF!</v>
      </c>
      <c r="M71" s="148" t="e">
        <f xml:space="preserve"> M41/M67</f>
        <v>#REF!</v>
      </c>
      <c r="N71" s="148" t="e">
        <f xml:space="preserve"> N41/N67</f>
        <v>#REF!</v>
      </c>
      <c r="O71" s="148" t="e">
        <f xml:space="preserve"> O41/O67</f>
        <v>#REF!</v>
      </c>
      <c r="P71" s="148" t="e">
        <f xml:space="preserve"> P41/P67</f>
        <v>#REF!</v>
      </c>
      <c r="Q71" s="148" t="e">
        <f xml:space="preserve"> Q41/Q67</f>
        <v>#REF!</v>
      </c>
      <c r="R71" s="148" t="e">
        <f xml:space="preserve"> R41/R67</f>
        <v>#REF!</v>
      </c>
      <c r="S71" s="148" t="e">
        <f xml:space="preserve"> S41/S67</f>
        <v>#REF!</v>
      </c>
      <c r="T71" s="148" t="e">
        <f xml:space="preserve"> T41/T67</f>
        <v>#REF!</v>
      </c>
      <c r="U71" s="148" t="e">
        <f xml:space="preserve"> U41/U67</f>
        <v>#REF!</v>
      </c>
      <c r="V71" s="148" t="e">
        <f xml:space="preserve"> V41/V67</f>
        <v>#REF!</v>
      </c>
      <c r="W71" s="148" t="e">
        <f xml:space="preserve"> W41/W67</f>
        <v>#REF!</v>
      </c>
    </row>
    <row r="74" spans="1:23" s="110" customFormat="1" ht="23.4">
      <c r="A74" s="110" t="s">
        <v>770</v>
      </c>
    </row>
    <row r="75" spans="1:23">
      <c r="A75" s="3" t="s">
        <v>771</v>
      </c>
      <c r="I75" s="141" t="e">
        <f xml:space="preserve"> I33</f>
        <v>#REF!</v>
      </c>
      <c r="J75" s="141" t="e">
        <f xml:space="preserve"> J33</f>
        <v>#REF!</v>
      </c>
      <c r="K75" s="141" t="e">
        <f xml:space="preserve"> K33</f>
        <v>#REF!</v>
      </c>
      <c r="L75" s="141" t="e">
        <f xml:space="preserve"> L33</f>
        <v>#REF!</v>
      </c>
      <c r="M75" s="141" t="e">
        <f xml:space="preserve"> M33</f>
        <v>#REF!</v>
      </c>
      <c r="N75" s="141" t="e">
        <f xml:space="preserve"> N33</f>
        <v>#REF!</v>
      </c>
      <c r="O75" s="141" t="e">
        <f xml:space="preserve"> O33</f>
        <v>#REF!</v>
      </c>
      <c r="P75" s="141" t="e">
        <f xml:space="preserve"> P33</f>
        <v>#REF!</v>
      </c>
      <c r="Q75" s="141" t="e">
        <f xml:space="preserve"> Q33</f>
        <v>#REF!</v>
      </c>
      <c r="R75" s="141" t="e">
        <f xml:space="preserve"> R33</f>
        <v>#REF!</v>
      </c>
      <c r="S75" s="141" t="e">
        <f xml:space="preserve"> S33</f>
        <v>#REF!</v>
      </c>
      <c r="T75" s="141" t="e">
        <f xml:space="preserve"> T33</f>
        <v>#REF!</v>
      </c>
      <c r="U75" s="141" t="e">
        <f xml:space="preserve"> U33</f>
        <v>#REF!</v>
      </c>
      <c r="V75" s="141" t="e">
        <f xml:space="preserve"> V33</f>
        <v>#REF!</v>
      </c>
      <c r="W75" s="141" t="e">
        <f xml:space="preserve"> W33</f>
        <v>#REF!</v>
      </c>
    </row>
    <row r="76" spans="1:23">
      <c r="A76" s="3" t="s">
        <v>772</v>
      </c>
      <c r="I76" s="188">
        <f xml:space="preserve"> I40</f>
        <v>0</v>
      </c>
      <c r="J76" s="188">
        <f xml:space="preserve"> J40</f>
        <v>0</v>
      </c>
      <c r="K76" s="188">
        <f xml:space="preserve"> K40</f>
        <v>0</v>
      </c>
      <c r="L76" s="188">
        <f xml:space="preserve"> L40</f>
        <v>0</v>
      </c>
      <c r="M76" s="188">
        <f xml:space="preserve"> M40</f>
        <v>0</v>
      </c>
      <c r="N76" s="188">
        <f xml:space="preserve"> N40</f>
        <v>0</v>
      </c>
      <c r="O76" s="188">
        <f xml:space="preserve"> O40</f>
        <v>0</v>
      </c>
      <c r="P76" s="188" t="e">
        <f xml:space="preserve"> P40</f>
        <v>#REF!</v>
      </c>
      <c r="Q76" s="188" t="e">
        <f xml:space="preserve"> Q40</f>
        <v>#REF!</v>
      </c>
      <c r="R76" s="188" t="e">
        <f xml:space="preserve"> R40</f>
        <v>#REF!</v>
      </c>
      <c r="S76" s="188" t="e">
        <f xml:space="preserve"> S40</f>
        <v>#REF!</v>
      </c>
      <c r="T76" s="188" t="e">
        <f xml:space="preserve"> T40</f>
        <v>#REF!</v>
      </c>
      <c r="U76" s="188" t="e">
        <f xml:space="preserve"> U40</f>
        <v>#REF!</v>
      </c>
      <c r="V76" s="188" t="e">
        <f xml:space="preserve"> V40</f>
        <v>#REF!</v>
      </c>
      <c r="W76" s="188" t="e">
        <f xml:space="preserve"> W40</f>
        <v>#REF!</v>
      </c>
    </row>
    <row r="77" spans="1:23">
      <c r="A77" s="3" t="s">
        <v>773</v>
      </c>
      <c r="I77" s="141">
        <f xml:space="preserve"> I32</f>
        <v>0</v>
      </c>
      <c r="J77" s="141">
        <f xml:space="preserve"> J32</f>
        <v>0</v>
      </c>
      <c r="K77" s="141">
        <f xml:space="preserve"> K32</f>
        <v>0</v>
      </c>
      <c r="L77" s="141">
        <f xml:space="preserve"> L32</f>
        <v>18.21</v>
      </c>
      <c r="M77" s="141">
        <f xml:space="preserve"> M32</f>
        <v>18.21</v>
      </c>
      <c r="N77" s="141">
        <f xml:space="preserve"> N32</f>
        <v>21.86</v>
      </c>
      <c r="O77" s="141">
        <f xml:space="preserve"> O32</f>
        <v>25.5</v>
      </c>
      <c r="P77" s="141">
        <f xml:space="preserve"> P32</f>
        <v>27.32</v>
      </c>
      <c r="Q77" s="141">
        <f xml:space="preserve"> Q32</f>
        <v>27.32</v>
      </c>
      <c r="R77" s="141">
        <f xml:space="preserve"> R32</f>
        <v>27.32</v>
      </c>
      <c r="S77" s="141">
        <f xml:space="preserve"> S32</f>
        <v>27.32</v>
      </c>
      <c r="T77" s="141">
        <f xml:space="preserve"> T32</f>
        <v>27.32</v>
      </c>
      <c r="U77" s="141">
        <f xml:space="preserve"> U32</f>
        <v>27.32</v>
      </c>
      <c r="V77" s="141">
        <f xml:space="preserve"> V32</f>
        <v>27.32</v>
      </c>
      <c r="W77" s="141">
        <f xml:space="preserve"> W32</f>
        <v>27.32</v>
      </c>
    </row>
    <row r="78" spans="1:23" s="176" customFormat="1">
      <c r="A78" s="177" t="s">
        <v>774</v>
      </c>
      <c r="I78" s="178" t="e">
        <f xml:space="preserve"> I75-I76+I77</f>
        <v>#REF!</v>
      </c>
      <c r="J78" s="178" t="e">
        <f t="shared" ref="J78:W78" si="26" xml:space="preserve"> J75-J76+J77</f>
        <v>#REF!</v>
      </c>
      <c r="K78" s="178" t="e">
        <f t="shared" si="26"/>
        <v>#REF!</v>
      </c>
      <c r="L78" s="178" t="e">
        <f t="shared" si="26"/>
        <v>#REF!</v>
      </c>
      <c r="M78" s="178" t="e">
        <f t="shared" si="26"/>
        <v>#REF!</v>
      </c>
      <c r="N78" s="178" t="e">
        <f t="shared" si="26"/>
        <v>#REF!</v>
      </c>
      <c r="O78" s="178" t="e">
        <f t="shared" si="26"/>
        <v>#REF!</v>
      </c>
      <c r="P78" s="178" t="e">
        <f t="shared" si="26"/>
        <v>#REF!</v>
      </c>
      <c r="Q78" s="178" t="e">
        <f t="shared" si="26"/>
        <v>#REF!</v>
      </c>
      <c r="R78" s="178" t="e">
        <f t="shared" si="26"/>
        <v>#REF!</v>
      </c>
      <c r="S78" s="178" t="e">
        <f t="shared" si="26"/>
        <v>#REF!</v>
      </c>
      <c r="T78" s="178" t="e">
        <f t="shared" si="26"/>
        <v>#REF!</v>
      </c>
      <c r="U78" s="178" t="e">
        <f t="shared" si="26"/>
        <v>#REF!</v>
      </c>
      <c r="V78" s="178" t="e">
        <f t="shared" si="26"/>
        <v>#REF!</v>
      </c>
      <c r="W78" s="178" t="e">
        <f t="shared" si="26"/>
        <v>#REF!</v>
      </c>
    </row>
    <row r="79" spans="1:23">
      <c r="A79" s="3" t="s">
        <v>775</v>
      </c>
      <c r="I79" s="141">
        <f xml:space="preserve"> I52</f>
        <v>35.28</v>
      </c>
      <c r="J79" s="141">
        <f xml:space="preserve"> J52- I52</f>
        <v>-3.5199999999999996</v>
      </c>
      <c r="K79" s="141">
        <f t="shared" ref="K79:W79" si="27" xml:space="preserve"> K52- J52</f>
        <v>0.22999999999999687</v>
      </c>
      <c r="L79" s="141">
        <f t="shared" si="27"/>
        <v>-17.909999999999997</v>
      </c>
      <c r="M79" s="141">
        <f t="shared" si="27"/>
        <v>1.1199999999999992</v>
      </c>
      <c r="N79" s="141">
        <f t="shared" si="27"/>
        <v>11.580000000000002</v>
      </c>
      <c r="O79" s="141">
        <f t="shared" si="27"/>
        <v>16.43</v>
      </c>
      <c r="P79" s="141">
        <f t="shared" si="27"/>
        <v>22.559999999999995</v>
      </c>
      <c r="Q79" s="141">
        <f t="shared" si="27"/>
        <v>30.340000000000003</v>
      </c>
      <c r="R79" s="141">
        <f t="shared" si="27"/>
        <v>43.470000000000013</v>
      </c>
      <c r="S79" s="141">
        <f t="shared" si="27"/>
        <v>57.579999999999984</v>
      </c>
      <c r="T79" s="141">
        <f t="shared" si="27"/>
        <v>73.080000000000013</v>
      </c>
      <c r="U79" s="141">
        <f t="shared" si="27"/>
        <v>94.019999999999982</v>
      </c>
      <c r="V79" s="141">
        <f t="shared" si="27"/>
        <v>119.85000000000002</v>
      </c>
      <c r="W79" s="141">
        <f t="shared" si="27"/>
        <v>151.96000000000004</v>
      </c>
    </row>
    <row r="80" spans="1:23">
      <c r="A80" s="3" t="s">
        <v>776</v>
      </c>
      <c r="I80" s="141">
        <f xml:space="preserve"> I51</f>
        <v>15.12</v>
      </c>
      <c r="J80" s="141">
        <f t="shared" ref="J80:W80" si="28" xml:space="preserve"> J51</f>
        <v>13.6</v>
      </c>
      <c r="K80" s="141">
        <f t="shared" si="28"/>
        <v>13.72</v>
      </c>
      <c r="L80" s="141">
        <f t="shared" si="28"/>
        <v>6.04</v>
      </c>
      <c r="M80" s="141">
        <f t="shared" si="28"/>
        <v>6.51</v>
      </c>
      <c r="N80" s="141">
        <f t="shared" si="28"/>
        <v>11.48</v>
      </c>
      <c r="O80" s="141">
        <f t="shared" si="28"/>
        <v>18.52</v>
      </c>
      <c r="P80" s="141">
        <f t="shared" si="28"/>
        <v>28.19</v>
      </c>
      <c r="Q80" s="141">
        <f t="shared" si="28"/>
        <v>41.19</v>
      </c>
      <c r="R80" s="141">
        <f t="shared" si="28"/>
        <v>59.82</v>
      </c>
      <c r="S80" s="141">
        <f t="shared" si="28"/>
        <v>84.5</v>
      </c>
      <c r="T80" s="141">
        <f t="shared" si="28"/>
        <v>115.82</v>
      </c>
      <c r="U80" s="141">
        <f t="shared" si="28"/>
        <v>156.11000000000001</v>
      </c>
      <c r="V80" s="141">
        <f t="shared" si="28"/>
        <v>207.48</v>
      </c>
      <c r="W80" s="141">
        <f t="shared" si="28"/>
        <v>272.60000000000002</v>
      </c>
    </row>
    <row r="81" spans="1:24">
      <c r="A81" s="3" t="s">
        <v>777</v>
      </c>
      <c r="I81" s="141">
        <f xml:space="preserve"> I60</f>
        <v>0</v>
      </c>
      <c r="J81" s="141">
        <f>J60-I60</f>
        <v>22.895999999999901</v>
      </c>
      <c r="K81" s="141">
        <f t="shared" ref="K81:W81" si="29">K60-J60</f>
        <v>26.124000000000102</v>
      </c>
      <c r="L81" s="141">
        <f t="shared" si="29"/>
        <v>59.065950960000002</v>
      </c>
      <c r="M81" s="141">
        <f t="shared" si="29"/>
        <v>67.627658759999989</v>
      </c>
      <c r="N81" s="141">
        <f t="shared" si="29"/>
        <v>64.751222579998995</v>
      </c>
      <c r="O81" s="141">
        <f t="shared" si="29"/>
        <v>56.440771800001016</v>
      </c>
      <c r="P81" s="141">
        <f t="shared" si="29"/>
        <v>37.838154239999994</v>
      </c>
      <c r="Q81" s="141">
        <f t="shared" si="29"/>
        <v>12.48775710000001</v>
      </c>
      <c r="R81" s="141">
        <f t="shared" si="29"/>
        <v>-7.2030015000000276</v>
      </c>
      <c r="S81" s="141">
        <f t="shared" si="29"/>
        <v>-20.29921343999996</v>
      </c>
      <c r="T81" s="141">
        <f t="shared" si="29"/>
        <v>-39.027456840000013</v>
      </c>
      <c r="U81" s="141">
        <f t="shared" si="29"/>
        <v>-45.539410320000997</v>
      </c>
      <c r="V81" s="141">
        <f t="shared" si="29"/>
        <v>-55.797636240000003</v>
      </c>
      <c r="W81" s="141">
        <f t="shared" si="29"/>
        <v>-51.299849099999022</v>
      </c>
    </row>
    <row r="82" spans="1:24" s="176" customFormat="1">
      <c r="A82" s="177" t="s">
        <v>778</v>
      </c>
      <c r="I82" s="178" t="e">
        <f xml:space="preserve"> I78- (SUM(I79:I81))</f>
        <v>#REF!</v>
      </c>
      <c r="J82" s="178" t="e">
        <f t="shared" ref="J82:W82" si="30" xml:space="preserve"> J78- (SUM(J79:J81))</f>
        <v>#REF!</v>
      </c>
      <c r="K82" s="178" t="e">
        <f t="shared" si="30"/>
        <v>#REF!</v>
      </c>
      <c r="L82" s="178" t="e">
        <f t="shared" si="30"/>
        <v>#REF!</v>
      </c>
      <c r="M82" s="178" t="e">
        <f t="shared" si="30"/>
        <v>#REF!</v>
      </c>
      <c r="N82" s="178" t="e">
        <f t="shared" si="30"/>
        <v>#REF!</v>
      </c>
      <c r="O82" s="178" t="e">
        <f t="shared" si="30"/>
        <v>#REF!</v>
      </c>
      <c r="P82" s="178" t="e">
        <f t="shared" si="30"/>
        <v>#REF!</v>
      </c>
      <c r="Q82" s="178" t="e">
        <f t="shared" si="30"/>
        <v>#REF!</v>
      </c>
      <c r="R82" s="178" t="e">
        <f t="shared" si="30"/>
        <v>#REF!</v>
      </c>
      <c r="S82" s="178" t="e">
        <f t="shared" si="30"/>
        <v>#REF!</v>
      </c>
      <c r="T82" s="178" t="e">
        <f t="shared" si="30"/>
        <v>#REF!</v>
      </c>
      <c r="U82" s="178" t="e">
        <f t="shared" si="30"/>
        <v>#REF!</v>
      </c>
      <c r="V82" s="178" t="e">
        <f t="shared" si="30"/>
        <v>#REF!</v>
      </c>
      <c r="W82" s="178" t="e">
        <f t="shared" si="30"/>
        <v>#REF!</v>
      </c>
    </row>
    <row r="83" spans="1:24">
      <c r="A83" s="3" t="s">
        <v>779</v>
      </c>
      <c r="I83" s="141">
        <f xml:space="preserve"> OTHER!F50</f>
        <v>7.5</v>
      </c>
      <c r="J83" s="141">
        <f xml:space="preserve"> OTHER!G50</f>
        <v>7.5</v>
      </c>
      <c r="K83" s="141">
        <f xml:space="preserve"> OTHER!H50</f>
        <v>7.5</v>
      </c>
      <c r="L83" s="141">
        <f xml:space="preserve"> OTHER!I50</f>
        <v>0</v>
      </c>
      <c r="M83" s="141">
        <f xml:space="preserve"> OTHER!J50</f>
        <v>0</v>
      </c>
      <c r="N83" s="141">
        <f xml:space="preserve"> OTHER!K50</f>
        <v>95</v>
      </c>
      <c r="O83" s="141">
        <f xml:space="preserve"> OTHER!L50</f>
        <v>48</v>
      </c>
      <c r="P83" s="141">
        <f xml:space="preserve"> OTHER!M50</f>
        <v>15</v>
      </c>
      <c r="Q83" s="141">
        <f xml:space="preserve"> OTHER!N50</f>
        <v>0</v>
      </c>
      <c r="R83" s="141">
        <f xml:space="preserve"> OTHER!O50</f>
        <v>0</v>
      </c>
      <c r="S83" s="141">
        <f xml:space="preserve"> OTHER!P50</f>
        <v>0</v>
      </c>
      <c r="T83" s="141">
        <f xml:space="preserve"> OTHER!Q50</f>
        <v>0</v>
      </c>
      <c r="U83" s="141">
        <f xml:space="preserve"> OTHER!R50</f>
        <v>0</v>
      </c>
      <c r="V83" s="141">
        <f xml:space="preserve"> OTHER!S50</f>
        <v>0</v>
      </c>
      <c r="W83" s="141">
        <f xml:space="preserve"> OTHER!T50</f>
        <v>0</v>
      </c>
    </row>
    <row r="84" spans="1:24" s="176" customFormat="1">
      <c r="A84" s="177" t="s">
        <v>780</v>
      </c>
      <c r="I84" s="178">
        <f xml:space="preserve"> I83</f>
        <v>7.5</v>
      </c>
      <c r="J84" s="178">
        <f t="shared" ref="J84:W84" si="31" xml:space="preserve"> J83</f>
        <v>7.5</v>
      </c>
      <c r="K84" s="178">
        <f t="shared" si="31"/>
        <v>7.5</v>
      </c>
      <c r="L84" s="178">
        <f t="shared" si="31"/>
        <v>0</v>
      </c>
      <c r="M84" s="178">
        <f t="shared" si="31"/>
        <v>0</v>
      </c>
      <c r="N84" s="178">
        <f t="shared" si="31"/>
        <v>95</v>
      </c>
      <c r="O84" s="178">
        <f t="shared" si="31"/>
        <v>48</v>
      </c>
      <c r="P84" s="178">
        <f t="shared" si="31"/>
        <v>15</v>
      </c>
      <c r="Q84" s="178">
        <f t="shared" si="31"/>
        <v>0</v>
      </c>
      <c r="R84" s="178">
        <f t="shared" si="31"/>
        <v>0</v>
      </c>
      <c r="S84" s="178">
        <f t="shared" si="31"/>
        <v>0</v>
      </c>
      <c r="T84" s="178">
        <f t="shared" si="31"/>
        <v>0</v>
      </c>
      <c r="U84" s="178">
        <f t="shared" si="31"/>
        <v>0</v>
      </c>
      <c r="V84" s="178">
        <f t="shared" si="31"/>
        <v>0</v>
      </c>
      <c r="W84" s="178">
        <f t="shared" si="31"/>
        <v>0</v>
      </c>
    </row>
    <row r="85" spans="1:24">
      <c r="A85" s="3" t="s">
        <v>781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</row>
    <row r="86" spans="1:24">
      <c r="A86" s="3" t="s">
        <v>782</v>
      </c>
      <c r="I86" s="141">
        <f t="shared" ref="I86:W86" si="32" xml:space="preserve"> I56</f>
        <v>-18</v>
      </c>
      <c r="J86" s="141">
        <f t="shared" si="32"/>
        <v>-18</v>
      </c>
      <c r="K86" s="141">
        <f t="shared" si="32"/>
        <v>-18</v>
      </c>
      <c r="L86" s="141">
        <f t="shared" si="32"/>
        <v>-26.41739671805172</v>
      </c>
      <c r="M86" s="141">
        <f t="shared" si="32"/>
        <v>-26.41739671805172</v>
      </c>
      <c r="N86" s="141">
        <f t="shared" si="32"/>
        <v>-26.41739671805172</v>
      </c>
      <c r="O86" s="141">
        <f t="shared" si="32"/>
        <v>-26.41739671805172</v>
      </c>
      <c r="P86" s="141">
        <f t="shared" si="32"/>
        <v>-26.41739671805172</v>
      </c>
      <c r="Q86" s="141">
        <f t="shared" si="32"/>
        <v>-26.41739671805172</v>
      </c>
      <c r="R86" s="141">
        <f t="shared" si="32"/>
        <v>-26.41739671805172</v>
      </c>
      <c r="S86" s="141">
        <f t="shared" si="32"/>
        <v>-26.41739671805172</v>
      </c>
      <c r="T86" s="141">
        <f t="shared" si="32"/>
        <v>-26.41739671805172</v>
      </c>
      <c r="U86" s="141">
        <f t="shared" si="32"/>
        <v>-26.41739671805172</v>
      </c>
      <c r="V86" s="141">
        <f t="shared" si="32"/>
        <v>-26.41739671805172</v>
      </c>
      <c r="W86" s="141">
        <f t="shared" si="32"/>
        <v>-26.41739671805172</v>
      </c>
      <c r="X86" s="96"/>
    </row>
    <row r="87" spans="1:24">
      <c r="A87" s="3" t="s">
        <v>783</v>
      </c>
      <c r="I87" s="59">
        <f>I58</f>
        <v>0</v>
      </c>
      <c r="J87" s="59">
        <f t="shared" ref="J87:W87" si="33">J58</f>
        <v>0</v>
      </c>
      <c r="K87" s="59">
        <f t="shared" si="33"/>
        <v>0</v>
      </c>
      <c r="L87" s="59">
        <f t="shared" si="33"/>
        <v>0</v>
      </c>
      <c r="M87" s="59">
        <f t="shared" si="33"/>
        <v>0</v>
      </c>
      <c r="N87" s="59">
        <f t="shared" si="33"/>
        <v>0</v>
      </c>
      <c r="O87" s="59">
        <f t="shared" si="33"/>
        <v>0</v>
      </c>
      <c r="P87" s="59">
        <f t="shared" si="33"/>
        <v>0</v>
      </c>
      <c r="Q87" s="59">
        <f t="shared" si="33"/>
        <v>0</v>
      </c>
      <c r="R87" s="59">
        <f t="shared" si="33"/>
        <v>0</v>
      </c>
      <c r="S87" s="59">
        <f t="shared" si="33"/>
        <v>0</v>
      </c>
      <c r="T87" s="59">
        <f t="shared" si="33"/>
        <v>0</v>
      </c>
      <c r="U87" s="59">
        <f t="shared" si="33"/>
        <v>0</v>
      </c>
      <c r="V87" s="59">
        <f t="shared" si="33"/>
        <v>0</v>
      </c>
      <c r="W87" s="59">
        <f t="shared" si="33"/>
        <v>0</v>
      </c>
    </row>
    <row r="88" spans="1:24">
      <c r="A88" s="3" t="s">
        <v>784</v>
      </c>
      <c r="I88" s="188">
        <f xml:space="preserve"> I37</f>
        <v>18</v>
      </c>
      <c r="J88" s="188">
        <f xml:space="preserve"> J37</f>
        <v>18</v>
      </c>
      <c r="K88" s="188">
        <f xml:space="preserve"> K37</f>
        <v>18</v>
      </c>
      <c r="L88" s="188">
        <f xml:space="preserve"> L37</f>
        <v>18</v>
      </c>
      <c r="M88" s="188">
        <f xml:space="preserve"> M37</f>
        <v>17.16</v>
      </c>
      <c r="N88" s="188">
        <f xml:space="preserve"> N37</f>
        <v>16.23</v>
      </c>
      <c r="O88" s="188">
        <f xml:space="preserve"> O37</f>
        <v>15.21</v>
      </c>
      <c r="P88" s="188">
        <f xml:space="preserve"> P37</f>
        <v>14.09</v>
      </c>
      <c r="Q88" s="188">
        <f xml:space="preserve"> Q37</f>
        <v>12.86</v>
      </c>
      <c r="R88" s="188">
        <f xml:space="preserve"> R37</f>
        <v>11.51</v>
      </c>
      <c r="S88" s="188">
        <f xml:space="preserve"> S37</f>
        <v>10.01</v>
      </c>
      <c r="T88" s="188">
        <f xml:space="preserve"> T37</f>
        <v>8.3699999999999992</v>
      </c>
      <c r="U88" s="188">
        <f xml:space="preserve"> U37</f>
        <v>6.57</v>
      </c>
      <c r="V88" s="188">
        <f xml:space="preserve"> V37</f>
        <v>4.58</v>
      </c>
      <c r="W88" s="188">
        <f xml:space="preserve"> W37</f>
        <v>2.4</v>
      </c>
    </row>
    <row r="89" spans="1:24" s="176" customFormat="1">
      <c r="A89" s="177" t="s">
        <v>785</v>
      </c>
      <c r="I89" s="178">
        <f xml:space="preserve"> SUM(I85:I87)-I88</f>
        <v>-36</v>
      </c>
      <c r="J89" s="178">
        <f t="shared" ref="J89:W89" si="34" xml:space="preserve"> SUM(J85:J87)-J88</f>
        <v>-36</v>
      </c>
      <c r="K89" s="178">
        <f t="shared" si="34"/>
        <v>-36</v>
      </c>
      <c r="L89" s="178">
        <f t="shared" si="34"/>
        <v>-44.41739671805172</v>
      </c>
      <c r="M89" s="178">
        <f t="shared" si="34"/>
        <v>-43.577396718051716</v>
      </c>
      <c r="N89" s="178">
        <f t="shared" si="34"/>
        <v>-42.647396718051723</v>
      </c>
      <c r="O89" s="178">
        <f t="shared" si="34"/>
        <v>-41.62739671805172</v>
      </c>
      <c r="P89" s="178">
        <f t="shared" si="34"/>
        <v>-40.507396718051723</v>
      </c>
      <c r="Q89" s="178">
        <f t="shared" si="34"/>
        <v>-39.277396718051719</v>
      </c>
      <c r="R89" s="178">
        <f t="shared" si="34"/>
        <v>-37.927396718051718</v>
      </c>
      <c r="S89" s="178">
        <f t="shared" si="34"/>
        <v>-36.427396718051718</v>
      </c>
      <c r="T89" s="178">
        <f t="shared" si="34"/>
        <v>-34.787396718051717</v>
      </c>
      <c r="U89" s="178">
        <f t="shared" si="34"/>
        <v>-32.98739671805172</v>
      </c>
      <c r="V89" s="178">
        <f t="shared" si="34"/>
        <v>-30.997396718051718</v>
      </c>
      <c r="W89" s="178">
        <f t="shared" si="34"/>
        <v>-28.817396718051718</v>
      </c>
    </row>
    <row r="90" spans="1:24">
      <c r="A90" s="3" t="s">
        <v>786</v>
      </c>
      <c r="I90" s="141" t="e">
        <f xml:space="preserve"> I78-I84+I89</f>
        <v>#REF!</v>
      </c>
      <c r="J90" s="141" t="e">
        <f t="shared" ref="J90:W90" si="35" xml:space="preserve"> J78-J84+J89</f>
        <v>#REF!</v>
      </c>
      <c r="K90" s="141" t="e">
        <f t="shared" si="35"/>
        <v>#REF!</v>
      </c>
      <c r="L90" s="141" t="e">
        <f t="shared" si="35"/>
        <v>#REF!</v>
      </c>
      <c r="M90" s="141" t="e">
        <f t="shared" si="35"/>
        <v>#REF!</v>
      </c>
      <c r="N90" s="141" t="e">
        <f t="shared" si="35"/>
        <v>#REF!</v>
      </c>
      <c r="O90" s="141" t="e">
        <f t="shared" si="35"/>
        <v>#REF!</v>
      </c>
      <c r="P90" s="141" t="e">
        <f t="shared" si="35"/>
        <v>#REF!</v>
      </c>
      <c r="Q90" s="141" t="e">
        <f t="shared" si="35"/>
        <v>#REF!</v>
      </c>
      <c r="R90" s="141" t="e">
        <f t="shared" si="35"/>
        <v>#REF!</v>
      </c>
      <c r="S90" s="141" t="e">
        <f t="shared" si="35"/>
        <v>#REF!</v>
      </c>
      <c r="T90" s="141" t="e">
        <f t="shared" si="35"/>
        <v>#REF!</v>
      </c>
      <c r="U90" s="141" t="e">
        <f t="shared" si="35"/>
        <v>#REF!</v>
      </c>
      <c r="V90" s="141" t="e">
        <f t="shared" si="35"/>
        <v>#REF!</v>
      </c>
      <c r="W90" s="141" t="e">
        <f t="shared" si="35"/>
        <v>#REF!</v>
      </c>
    </row>
  </sheetData>
  <pageMargins left="0.7" right="0.7" top="0.75" bottom="0.75" header="0.3" footer="0.3"/>
  <ignoredErrors>
    <ignoredError sqref="I53 J53:W5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EDCF-6122-4C0F-B390-C6B5FEC5D453}">
  <dimension ref="A1:W56"/>
  <sheetViews>
    <sheetView zoomScale="70" workbookViewId="0">
      <selection activeCell="G43" sqref="G43"/>
    </sheetView>
  </sheetViews>
  <sheetFormatPr defaultRowHeight="14.4"/>
  <cols>
    <col min="1" max="1" width="47.21875" bestFit="1" customWidth="1"/>
    <col min="2" max="2" width="20.33203125" bestFit="1" customWidth="1"/>
    <col min="9" max="17" width="10.109375" bestFit="1" customWidth="1"/>
    <col min="18" max="18" width="10.77734375" bestFit="1" customWidth="1"/>
    <col min="19" max="21" width="10.109375" bestFit="1" customWidth="1"/>
    <col min="22" max="23" width="12.109375" bestFit="1" customWidth="1"/>
  </cols>
  <sheetData>
    <row r="1" spans="1:23">
      <c r="A1" s="10" t="s">
        <v>18</v>
      </c>
      <c r="I1" s="10" t="s">
        <v>19</v>
      </c>
      <c r="J1" s="10" t="s">
        <v>19</v>
      </c>
      <c r="K1" s="10" t="s">
        <v>19</v>
      </c>
      <c r="L1" s="10" t="s">
        <v>19</v>
      </c>
      <c r="M1" s="10" t="s">
        <v>19</v>
      </c>
      <c r="N1" s="10" t="s">
        <v>19</v>
      </c>
      <c r="O1" s="10" t="s">
        <v>19</v>
      </c>
      <c r="P1" s="10" t="s">
        <v>19</v>
      </c>
      <c r="Q1" s="10" t="s">
        <v>19</v>
      </c>
      <c r="R1" s="10" t="s">
        <v>19</v>
      </c>
      <c r="S1" s="10" t="s">
        <v>19</v>
      </c>
      <c r="T1" s="10" t="s">
        <v>19</v>
      </c>
      <c r="U1" s="10" t="s">
        <v>19</v>
      </c>
      <c r="V1" s="10" t="s">
        <v>19</v>
      </c>
      <c r="W1" s="10" t="s">
        <v>19</v>
      </c>
    </row>
    <row r="2" spans="1:23">
      <c r="A2" s="10" t="s">
        <v>23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20</v>
      </c>
      <c r="Q2" s="10" t="s">
        <v>21</v>
      </c>
      <c r="R2" s="10" t="s">
        <v>22</v>
      </c>
      <c r="S2" s="10" t="s">
        <v>417</v>
      </c>
      <c r="T2" s="10" t="s">
        <v>418</v>
      </c>
      <c r="U2" s="10" t="s">
        <v>419</v>
      </c>
      <c r="V2" s="10" t="s">
        <v>420</v>
      </c>
      <c r="W2" s="10" t="s">
        <v>421</v>
      </c>
    </row>
    <row r="3" spans="1:23">
      <c r="A3" s="10" t="s">
        <v>24</v>
      </c>
      <c r="I3" s="10">
        <v>1</v>
      </c>
      <c r="J3" s="10">
        <v>2</v>
      </c>
      <c r="K3" s="10">
        <v>3</v>
      </c>
      <c r="L3" s="10">
        <v>4</v>
      </c>
      <c r="M3" s="10">
        <v>5</v>
      </c>
      <c r="N3" s="10">
        <v>6</v>
      </c>
      <c r="O3" s="10">
        <v>7</v>
      </c>
      <c r="P3" s="10">
        <v>8</v>
      </c>
      <c r="Q3" s="10">
        <v>9</v>
      </c>
      <c r="R3" s="10">
        <v>10</v>
      </c>
      <c r="S3" s="10">
        <v>11</v>
      </c>
      <c r="T3" s="10">
        <v>12</v>
      </c>
      <c r="U3" s="10">
        <v>13</v>
      </c>
      <c r="V3" s="10">
        <v>14</v>
      </c>
      <c r="W3" s="10">
        <v>15</v>
      </c>
    </row>
    <row r="5" spans="1:23" s="186" customFormat="1" ht="23.4">
      <c r="A5" s="186" t="s">
        <v>787</v>
      </c>
    </row>
    <row r="6" spans="1:23" s="176" customFormat="1">
      <c r="A6" s="177" t="s">
        <v>723</v>
      </c>
      <c r="I6" s="178" t="e">
        <f>'FINANCIAL STATEMENTS'!I8</f>
        <v>#REF!</v>
      </c>
      <c r="J6" s="178" t="e">
        <f>'FINANCIAL STATEMENTS'!J8</f>
        <v>#REF!</v>
      </c>
      <c r="K6" s="178" t="e">
        <f>'FINANCIAL STATEMENTS'!K8</f>
        <v>#REF!</v>
      </c>
      <c r="L6" s="178" t="e">
        <f>'FINANCIAL STATEMENTS'!L8</f>
        <v>#REF!</v>
      </c>
      <c r="M6" s="178" t="e">
        <f>'FINANCIAL STATEMENTS'!M8</f>
        <v>#REF!</v>
      </c>
      <c r="N6" s="178" t="e">
        <f>'FINANCIAL STATEMENTS'!N8</f>
        <v>#REF!</v>
      </c>
      <c r="O6" s="178" t="e">
        <f>'FINANCIAL STATEMENTS'!O8</f>
        <v>#REF!</v>
      </c>
      <c r="P6" s="178" t="e">
        <f>'FINANCIAL STATEMENTS'!P8</f>
        <v>#REF!</v>
      </c>
      <c r="Q6" s="178" t="e">
        <f>'FINANCIAL STATEMENTS'!Q8</f>
        <v>#REF!</v>
      </c>
      <c r="R6" s="178" t="e">
        <f>'FINANCIAL STATEMENTS'!R8</f>
        <v>#REF!</v>
      </c>
      <c r="S6" s="178" t="e">
        <f>'FINANCIAL STATEMENTS'!S8</f>
        <v>#REF!</v>
      </c>
      <c r="T6" s="178" t="e">
        <f>'FINANCIAL STATEMENTS'!T8</f>
        <v>#REF!</v>
      </c>
      <c r="U6" s="178" t="e">
        <f>'FINANCIAL STATEMENTS'!U8</f>
        <v>#REF!</v>
      </c>
      <c r="V6" s="178" t="e">
        <f>'FINANCIAL STATEMENTS'!V8</f>
        <v>#REF!</v>
      </c>
      <c r="W6" s="178" t="e">
        <f>'FINANCIAL STATEMENTS'!W8</f>
        <v>#REF!</v>
      </c>
    </row>
    <row r="7" spans="1:23" s="118" customFormat="1">
      <c r="A7" s="118" t="s">
        <v>788</v>
      </c>
      <c r="I7" s="175">
        <f xml:space="preserve"> 'FINANCIAL STATEMENTS'!I53-'FINANCIAL STATEMENTS'!I63</f>
        <v>50.4</v>
      </c>
      <c r="J7" s="175">
        <f xml:space="preserve"> 'FINANCIAL STATEMENTS'!J53-'FINANCIAL STATEMENTS'!J63</f>
        <v>7.2000000000001023</v>
      </c>
      <c r="K7" s="175">
        <f xml:space="preserve"> 'FINANCIAL STATEMENTS'!K53-'FINANCIAL STATEMENTS'!K63</f>
        <v>-35.99</v>
      </c>
      <c r="L7" s="175">
        <f xml:space="preserve"> 'FINANCIAL STATEMENTS'!L53-'FINANCIAL STATEMENTS'!L63</f>
        <v>-139.90325159999998</v>
      </c>
      <c r="M7" s="175">
        <f xml:space="preserve"> 'FINANCIAL STATEMENTS'!M53-'FINANCIAL STATEMENTS'!M63</f>
        <v>-249.4460162</v>
      </c>
      <c r="N7" s="175">
        <f xml:space="preserve"> 'FINANCIAL STATEMENTS'!N53-'FINANCIAL STATEMENTS'!N63</f>
        <v>-324.254720499999</v>
      </c>
      <c r="O7" s="175">
        <f xml:space="preserve"> 'FINANCIAL STATEMENTS'!O53-'FINANCIAL STATEMENTS'!O63</f>
        <v>-371.38267350000001</v>
      </c>
      <c r="P7" s="175" t="e">
        <f xml:space="preserve"> 'FINANCIAL STATEMENTS'!P53-'FINANCIAL STATEMENTS'!P63</f>
        <v>#REF!</v>
      </c>
      <c r="Q7" s="175" t="e">
        <f xml:space="preserve"> 'FINANCIAL STATEMENTS'!Q53-'FINANCIAL STATEMENTS'!Q63</f>
        <v>#REF!</v>
      </c>
      <c r="R7" s="175" t="e">
        <f xml:space="preserve"> 'FINANCIAL STATEMENTS'!R53-'FINANCIAL STATEMENTS'!R63</f>
        <v>#REF!</v>
      </c>
      <c r="S7" s="175" t="e">
        <f xml:space="preserve"> 'FINANCIAL STATEMENTS'!S53-'FINANCIAL STATEMENTS'!S63</f>
        <v>#REF!</v>
      </c>
      <c r="T7" s="175" t="e">
        <f xml:space="preserve"> 'FINANCIAL STATEMENTS'!T53-'FINANCIAL STATEMENTS'!T63</f>
        <v>#REF!</v>
      </c>
      <c r="U7" s="175" t="e">
        <f xml:space="preserve"> 'FINANCIAL STATEMENTS'!U53-'FINANCIAL STATEMENTS'!U63</f>
        <v>#REF!</v>
      </c>
      <c r="V7" s="175" t="e">
        <f xml:space="preserve"> 'FINANCIAL STATEMENTS'!V53-'FINANCIAL STATEMENTS'!V63</f>
        <v>#REF!</v>
      </c>
      <c r="W7" s="175" t="e">
        <f xml:space="preserve"> 'FINANCIAL STATEMENTS'!W53-'FINANCIAL STATEMENTS'!W63</f>
        <v>#REF!</v>
      </c>
    </row>
    <row r="8" spans="1:23" s="118" customFormat="1">
      <c r="A8" s="118" t="s">
        <v>795</v>
      </c>
      <c r="I8" s="175" t="e">
        <f xml:space="preserve"> 'FINANCIAL STATEMENTS'!I41</f>
        <v>#REF!</v>
      </c>
      <c r="J8" s="175" t="e">
        <f xml:space="preserve"> 'FINANCIAL STATEMENTS'!J41</f>
        <v>#REF!</v>
      </c>
      <c r="K8" s="175" t="e">
        <f xml:space="preserve"> 'FINANCIAL STATEMENTS'!K41</f>
        <v>#REF!</v>
      </c>
      <c r="L8" s="175" t="e">
        <f xml:space="preserve"> 'FINANCIAL STATEMENTS'!L41</f>
        <v>#REF!</v>
      </c>
      <c r="M8" s="175" t="e">
        <f xml:space="preserve"> 'FINANCIAL STATEMENTS'!M41</f>
        <v>#REF!</v>
      </c>
      <c r="N8" s="175" t="e">
        <f xml:space="preserve"> 'FINANCIAL STATEMENTS'!N41</f>
        <v>#REF!</v>
      </c>
      <c r="O8" s="175" t="e">
        <f xml:space="preserve"> 'FINANCIAL STATEMENTS'!O41</f>
        <v>#REF!</v>
      </c>
      <c r="P8" s="175" t="e">
        <f xml:space="preserve"> 'FINANCIAL STATEMENTS'!P41</f>
        <v>#REF!</v>
      </c>
      <c r="Q8" s="175" t="e">
        <f xml:space="preserve"> 'FINANCIAL STATEMENTS'!Q41</f>
        <v>#REF!</v>
      </c>
      <c r="R8" s="175" t="e">
        <f xml:space="preserve"> 'FINANCIAL STATEMENTS'!R41</f>
        <v>#REF!</v>
      </c>
      <c r="S8" s="175" t="e">
        <f xml:space="preserve"> 'FINANCIAL STATEMENTS'!S41</f>
        <v>#REF!</v>
      </c>
      <c r="T8" s="175" t="e">
        <f xml:space="preserve"> 'FINANCIAL STATEMENTS'!T41</f>
        <v>#REF!</v>
      </c>
      <c r="U8" s="175" t="e">
        <f xml:space="preserve"> 'FINANCIAL STATEMENTS'!U41</f>
        <v>#REF!</v>
      </c>
      <c r="V8" s="175" t="e">
        <f xml:space="preserve"> 'FINANCIAL STATEMENTS'!V41</f>
        <v>#REF!</v>
      </c>
      <c r="W8" s="175" t="e">
        <f xml:space="preserve"> 'FINANCIAL STATEMENTS'!W41</f>
        <v>#REF!</v>
      </c>
    </row>
    <row r="10" spans="1:23" s="176" customFormat="1">
      <c r="A10" s="177" t="s">
        <v>730</v>
      </c>
      <c r="I10" s="178" t="e">
        <f xml:space="preserve"> 'FINANCIAL STATEMENTS'!I30</f>
        <v>#REF!</v>
      </c>
      <c r="J10" s="178" t="e">
        <f xml:space="preserve"> 'FINANCIAL STATEMENTS'!J30</f>
        <v>#REF!</v>
      </c>
      <c r="K10" s="178" t="e">
        <f xml:space="preserve"> 'FINANCIAL STATEMENTS'!K30</f>
        <v>#REF!</v>
      </c>
      <c r="L10" s="178" t="e">
        <f xml:space="preserve"> 'FINANCIAL STATEMENTS'!L30</f>
        <v>#REF!</v>
      </c>
      <c r="M10" s="178" t="e">
        <f xml:space="preserve"> 'FINANCIAL STATEMENTS'!M30</f>
        <v>#REF!</v>
      </c>
      <c r="N10" s="178" t="e">
        <f xml:space="preserve"> 'FINANCIAL STATEMENTS'!N30</f>
        <v>#REF!</v>
      </c>
      <c r="O10" s="178" t="e">
        <f xml:space="preserve"> 'FINANCIAL STATEMENTS'!O30</f>
        <v>#REF!</v>
      </c>
      <c r="P10" s="178" t="e">
        <f xml:space="preserve"> 'FINANCIAL STATEMENTS'!P30</f>
        <v>#REF!</v>
      </c>
      <c r="Q10" s="178" t="e">
        <f xml:space="preserve"> 'FINANCIAL STATEMENTS'!Q30</f>
        <v>#REF!</v>
      </c>
      <c r="R10" s="178" t="e">
        <f xml:space="preserve"> 'FINANCIAL STATEMENTS'!R30</f>
        <v>#REF!</v>
      </c>
      <c r="S10" s="178" t="e">
        <f xml:space="preserve"> 'FINANCIAL STATEMENTS'!S30</f>
        <v>#REF!</v>
      </c>
      <c r="T10" s="178" t="e">
        <f xml:space="preserve"> 'FINANCIAL STATEMENTS'!T30</f>
        <v>#REF!</v>
      </c>
      <c r="U10" s="178" t="e">
        <f xml:space="preserve"> 'FINANCIAL STATEMENTS'!U30</f>
        <v>#REF!</v>
      </c>
      <c r="V10" s="178" t="e">
        <f xml:space="preserve"> 'FINANCIAL STATEMENTS'!V30</f>
        <v>#REF!</v>
      </c>
      <c r="W10" s="178" t="e">
        <f xml:space="preserve"> 'FINANCIAL STATEMENTS'!W30</f>
        <v>#REF!</v>
      </c>
    </row>
    <row r="11" spans="1:23" s="118" customFormat="1">
      <c r="A11" s="118" t="s">
        <v>731</v>
      </c>
      <c r="I11" s="119" t="str">
        <f xml:space="preserve"> IFERROR('FINANCIAL STATEMENTS'!I31, "n/a")</f>
        <v>NA</v>
      </c>
      <c r="J11" s="119" t="str">
        <f xml:space="preserve"> 'FINANCIAL STATEMENTS'!J31</f>
        <v>NA</v>
      </c>
      <c r="K11" s="119" t="str">
        <f xml:space="preserve"> 'FINANCIAL STATEMENTS'!K31</f>
        <v>NA</v>
      </c>
      <c r="L11" s="119" t="str">
        <f xml:space="preserve"> 'FINANCIAL STATEMENTS'!L31</f>
        <v>NA</v>
      </c>
      <c r="M11" s="119" t="str">
        <f xml:space="preserve"> 'FINANCIAL STATEMENTS'!M31</f>
        <v>NA</v>
      </c>
      <c r="N11" s="119" t="str">
        <f xml:space="preserve"> 'FINANCIAL STATEMENTS'!N31</f>
        <v>NA</v>
      </c>
      <c r="O11" s="119" t="str">
        <f xml:space="preserve"> 'FINANCIAL STATEMENTS'!O31</f>
        <v>NA</v>
      </c>
      <c r="P11" s="119" t="str">
        <f xml:space="preserve"> 'FINANCIAL STATEMENTS'!P31</f>
        <v>NA</v>
      </c>
      <c r="Q11" s="119" t="str">
        <f xml:space="preserve"> 'FINANCIAL STATEMENTS'!Q31</f>
        <v>NA</v>
      </c>
      <c r="R11" s="119" t="str">
        <f xml:space="preserve"> 'FINANCIAL STATEMENTS'!R31</f>
        <v>NA</v>
      </c>
      <c r="S11" s="119" t="str">
        <f xml:space="preserve"> 'FINANCIAL STATEMENTS'!S31</f>
        <v>NA</v>
      </c>
      <c r="T11" s="119" t="str">
        <f xml:space="preserve"> 'FINANCIAL STATEMENTS'!T31</f>
        <v>NA</v>
      </c>
      <c r="U11" s="119" t="str">
        <f xml:space="preserve"> 'FINANCIAL STATEMENTS'!U31</f>
        <v>NA</v>
      </c>
      <c r="V11" s="119" t="str">
        <f xml:space="preserve"> 'FINANCIAL STATEMENTS'!V31</f>
        <v>NA</v>
      </c>
      <c r="W11" s="119" t="str">
        <f xml:space="preserve"> 'FINANCIAL STATEMENTS'!W31</f>
        <v>NA</v>
      </c>
    </row>
    <row r="13" spans="1:23" s="176" customFormat="1">
      <c r="A13" s="177" t="s">
        <v>734</v>
      </c>
      <c r="I13" s="178" t="e">
        <f xml:space="preserve"> 'FINANCIAL STATEMENTS'!I33</f>
        <v>#REF!</v>
      </c>
      <c r="J13" s="178" t="e">
        <f xml:space="preserve"> 'FINANCIAL STATEMENTS'!J33</f>
        <v>#REF!</v>
      </c>
      <c r="K13" s="178" t="e">
        <f xml:space="preserve"> 'FINANCIAL STATEMENTS'!K33</f>
        <v>#REF!</v>
      </c>
      <c r="L13" s="178" t="e">
        <f xml:space="preserve"> 'FINANCIAL STATEMENTS'!L33</f>
        <v>#REF!</v>
      </c>
      <c r="M13" s="178" t="e">
        <f xml:space="preserve"> 'FINANCIAL STATEMENTS'!M33</f>
        <v>#REF!</v>
      </c>
      <c r="N13" s="178" t="e">
        <f xml:space="preserve"> 'FINANCIAL STATEMENTS'!N33</f>
        <v>#REF!</v>
      </c>
      <c r="O13" s="178" t="e">
        <f xml:space="preserve"> 'FINANCIAL STATEMENTS'!O33</f>
        <v>#REF!</v>
      </c>
      <c r="P13" s="178" t="e">
        <f xml:space="preserve"> 'FINANCIAL STATEMENTS'!P33</f>
        <v>#REF!</v>
      </c>
      <c r="Q13" s="178" t="e">
        <f xml:space="preserve"> 'FINANCIAL STATEMENTS'!Q33</f>
        <v>#REF!</v>
      </c>
      <c r="R13" s="178" t="e">
        <f xml:space="preserve"> 'FINANCIAL STATEMENTS'!R33</f>
        <v>#REF!</v>
      </c>
      <c r="S13" s="178" t="e">
        <f xml:space="preserve"> 'FINANCIAL STATEMENTS'!S33</f>
        <v>#REF!</v>
      </c>
      <c r="T13" s="178" t="e">
        <f xml:space="preserve"> 'FINANCIAL STATEMENTS'!T33</f>
        <v>#REF!</v>
      </c>
      <c r="U13" s="178" t="e">
        <f xml:space="preserve"> 'FINANCIAL STATEMENTS'!U33</f>
        <v>#REF!</v>
      </c>
      <c r="V13" s="178" t="e">
        <f xml:space="preserve"> 'FINANCIAL STATEMENTS'!V33</f>
        <v>#REF!</v>
      </c>
      <c r="W13" s="178" t="e">
        <f xml:space="preserve"> 'FINANCIAL STATEMENTS'!W33</f>
        <v>#REF!</v>
      </c>
    </row>
    <row r="14" spans="1:23" s="118" customFormat="1">
      <c r="A14" s="118" t="s">
        <v>733</v>
      </c>
      <c r="I14" s="119" t="str">
        <f xml:space="preserve"> 'FINANCIAL STATEMENTS'!I34</f>
        <v>NA</v>
      </c>
      <c r="J14" s="119" t="str">
        <f xml:space="preserve"> 'FINANCIAL STATEMENTS'!J34</f>
        <v>NA</v>
      </c>
      <c r="K14" s="119" t="str">
        <f xml:space="preserve"> 'FINANCIAL STATEMENTS'!K34</f>
        <v>NA</v>
      </c>
      <c r="L14" s="119" t="str">
        <f xml:space="preserve"> 'FINANCIAL STATEMENTS'!L34</f>
        <v>NA</v>
      </c>
      <c r="M14" s="119" t="str">
        <f xml:space="preserve"> 'FINANCIAL STATEMENTS'!M34</f>
        <v>NA</v>
      </c>
      <c r="N14" s="119" t="str">
        <f xml:space="preserve"> 'FINANCIAL STATEMENTS'!N34</f>
        <v>NA</v>
      </c>
      <c r="O14" s="119" t="str">
        <f xml:space="preserve"> 'FINANCIAL STATEMENTS'!O34</f>
        <v>NA</v>
      </c>
      <c r="P14" s="119" t="str">
        <f xml:space="preserve"> 'FINANCIAL STATEMENTS'!P34</f>
        <v>NA</v>
      </c>
      <c r="Q14" s="119" t="str">
        <f xml:space="preserve"> 'FINANCIAL STATEMENTS'!Q34</f>
        <v>NA</v>
      </c>
      <c r="R14" s="119" t="str">
        <f xml:space="preserve"> 'FINANCIAL STATEMENTS'!R34</f>
        <v>NA</v>
      </c>
      <c r="S14" s="119" t="str">
        <f xml:space="preserve"> 'FINANCIAL STATEMENTS'!S34</f>
        <v>NA</v>
      </c>
      <c r="T14" s="119" t="str">
        <f xml:space="preserve"> 'FINANCIAL STATEMENTS'!T34</f>
        <v>NA</v>
      </c>
      <c r="U14" s="119" t="str">
        <f xml:space="preserve"> 'FINANCIAL STATEMENTS'!U34</f>
        <v>NA</v>
      </c>
      <c r="V14" s="119" t="str">
        <f xml:space="preserve"> 'FINANCIAL STATEMENTS'!V34</f>
        <v>NA</v>
      </c>
      <c r="W14" s="119" t="str">
        <f xml:space="preserve"> 'FINANCIAL STATEMENTS'!W34</f>
        <v>NA</v>
      </c>
    </row>
    <row r="16" spans="1:23" s="176" customFormat="1">
      <c r="A16" s="177" t="s">
        <v>796</v>
      </c>
      <c r="I16" s="178" t="e">
        <f xml:space="preserve"> I13*(0.75)</f>
        <v>#REF!</v>
      </c>
      <c r="J16" s="178" t="e">
        <f t="shared" ref="J16:W16" si="0" xml:space="preserve"> J13*(0.75)</f>
        <v>#REF!</v>
      </c>
      <c r="K16" s="178" t="e">
        <f t="shared" si="0"/>
        <v>#REF!</v>
      </c>
      <c r="L16" s="178" t="e">
        <f t="shared" si="0"/>
        <v>#REF!</v>
      </c>
      <c r="M16" s="178" t="e">
        <f t="shared" si="0"/>
        <v>#REF!</v>
      </c>
      <c r="N16" s="178" t="e">
        <f t="shared" si="0"/>
        <v>#REF!</v>
      </c>
      <c r="O16" s="178" t="e">
        <f t="shared" si="0"/>
        <v>#REF!</v>
      </c>
      <c r="P16" s="178" t="e">
        <f t="shared" si="0"/>
        <v>#REF!</v>
      </c>
      <c r="Q16" s="178" t="e">
        <f t="shared" si="0"/>
        <v>#REF!</v>
      </c>
      <c r="R16" s="178" t="e">
        <f t="shared" si="0"/>
        <v>#REF!</v>
      </c>
      <c r="S16" s="178" t="e">
        <f t="shared" si="0"/>
        <v>#REF!</v>
      </c>
      <c r="T16" s="178" t="e">
        <f t="shared" si="0"/>
        <v>#REF!</v>
      </c>
      <c r="U16" s="178" t="e">
        <f t="shared" si="0"/>
        <v>#REF!</v>
      </c>
      <c r="V16" s="178" t="e">
        <f t="shared" si="0"/>
        <v>#REF!</v>
      </c>
      <c r="W16" s="178" t="e">
        <f t="shared" si="0"/>
        <v>#REF!</v>
      </c>
    </row>
    <row r="17" spans="1:23" s="118" customFormat="1">
      <c r="A17" s="118" t="s">
        <v>797</v>
      </c>
      <c r="I17" s="119" t="e">
        <f xml:space="preserve"> I16/I6</f>
        <v>#REF!</v>
      </c>
      <c r="J17" s="119" t="e">
        <f t="shared" ref="J17:W17" si="1" xml:space="preserve"> J16/J6</f>
        <v>#REF!</v>
      </c>
      <c r="K17" s="119" t="e">
        <f t="shared" si="1"/>
        <v>#REF!</v>
      </c>
      <c r="L17" s="119" t="e">
        <f t="shared" si="1"/>
        <v>#REF!</v>
      </c>
      <c r="M17" s="119" t="e">
        <f t="shared" si="1"/>
        <v>#REF!</v>
      </c>
      <c r="N17" s="119" t="e">
        <f t="shared" si="1"/>
        <v>#REF!</v>
      </c>
      <c r="O17" s="119" t="e">
        <f t="shared" si="1"/>
        <v>#REF!</v>
      </c>
      <c r="P17" s="119" t="e">
        <f t="shared" si="1"/>
        <v>#REF!</v>
      </c>
      <c r="Q17" s="119" t="e">
        <f t="shared" si="1"/>
        <v>#REF!</v>
      </c>
      <c r="R17" s="119" t="e">
        <f t="shared" si="1"/>
        <v>#REF!</v>
      </c>
      <c r="S17" s="119" t="e">
        <f t="shared" si="1"/>
        <v>#REF!</v>
      </c>
      <c r="T17" s="119" t="e">
        <f t="shared" si="1"/>
        <v>#REF!</v>
      </c>
      <c r="U17" s="119" t="e">
        <f t="shared" si="1"/>
        <v>#REF!</v>
      </c>
      <c r="V17" s="119" t="e">
        <f t="shared" si="1"/>
        <v>#REF!</v>
      </c>
      <c r="W17" s="119" t="e">
        <f t="shared" si="1"/>
        <v>#REF!</v>
      </c>
    </row>
    <row r="19" spans="1:23" s="176" customFormat="1">
      <c r="A19" s="177" t="s">
        <v>789</v>
      </c>
      <c r="I19" s="178">
        <f xml:space="preserve"> 'FINANCIAL STATEMENTS'!I32</f>
        <v>0</v>
      </c>
      <c r="J19" s="178">
        <f xml:space="preserve"> 'FINANCIAL STATEMENTS'!J32</f>
        <v>0</v>
      </c>
      <c r="K19" s="178">
        <f xml:space="preserve"> 'FINANCIAL STATEMENTS'!K32</f>
        <v>0</v>
      </c>
      <c r="L19" s="178">
        <f xml:space="preserve"> 'FINANCIAL STATEMENTS'!L32</f>
        <v>18.21</v>
      </c>
      <c r="M19" s="178">
        <f xml:space="preserve"> 'FINANCIAL STATEMENTS'!M32</f>
        <v>18.21</v>
      </c>
      <c r="N19" s="178">
        <f xml:space="preserve"> 'FINANCIAL STATEMENTS'!N32</f>
        <v>21.86</v>
      </c>
      <c r="O19" s="178">
        <f xml:space="preserve"> 'FINANCIAL STATEMENTS'!O32</f>
        <v>25.5</v>
      </c>
      <c r="P19" s="178">
        <f xml:space="preserve"> 'FINANCIAL STATEMENTS'!P32</f>
        <v>27.32</v>
      </c>
      <c r="Q19" s="178">
        <f xml:space="preserve"> 'FINANCIAL STATEMENTS'!Q32</f>
        <v>27.32</v>
      </c>
      <c r="R19" s="178">
        <f xml:space="preserve"> 'FINANCIAL STATEMENTS'!R32</f>
        <v>27.32</v>
      </c>
      <c r="S19" s="178">
        <f xml:space="preserve"> 'FINANCIAL STATEMENTS'!S32</f>
        <v>27.32</v>
      </c>
      <c r="T19" s="178">
        <f xml:space="preserve"> 'FINANCIAL STATEMENTS'!T32</f>
        <v>27.32</v>
      </c>
      <c r="U19" s="178">
        <f xml:space="preserve"> 'FINANCIAL STATEMENTS'!U32</f>
        <v>27.32</v>
      </c>
      <c r="V19" s="178">
        <f xml:space="preserve"> 'FINANCIAL STATEMENTS'!V32</f>
        <v>27.32</v>
      </c>
      <c r="W19" s="178">
        <f xml:space="preserve"> 'FINANCIAL STATEMENTS'!W32</f>
        <v>27.32</v>
      </c>
    </row>
    <row r="20" spans="1:23" s="118" customFormat="1">
      <c r="A20" s="118" t="s">
        <v>790</v>
      </c>
      <c r="I20" s="119" t="e">
        <f t="shared" ref="I20:W20" si="2" xml:space="preserve"> I19/I6</f>
        <v>#REF!</v>
      </c>
      <c r="J20" s="119" t="e">
        <f t="shared" si="2"/>
        <v>#REF!</v>
      </c>
      <c r="K20" s="119" t="e">
        <f t="shared" si="2"/>
        <v>#REF!</v>
      </c>
      <c r="L20" s="119" t="e">
        <f t="shared" si="2"/>
        <v>#REF!</v>
      </c>
      <c r="M20" s="119" t="e">
        <f t="shared" si="2"/>
        <v>#REF!</v>
      </c>
      <c r="N20" s="119" t="e">
        <f t="shared" si="2"/>
        <v>#REF!</v>
      </c>
      <c r="O20" s="119" t="e">
        <f t="shared" si="2"/>
        <v>#REF!</v>
      </c>
      <c r="P20" s="119" t="e">
        <f t="shared" si="2"/>
        <v>#REF!</v>
      </c>
      <c r="Q20" s="119" t="e">
        <f t="shared" si="2"/>
        <v>#REF!</v>
      </c>
      <c r="R20" s="119" t="e">
        <f t="shared" si="2"/>
        <v>#REF!</v>
      </c>
      <c r="S20" s="119" t="e">
        <f t="shared" si="2"/>
        <v>#REF!</v>
      </c>
      <c r="T20" s="119" t="e">
        <f t="shared" si="2"/>
        <v>#REF!</v>
      </c>
      <c r="U20" s="119" t="e">
        <f t="shared" si="2"/>
        <v>#REF!</v>
      </c>
      <c r="V20" s="119" t="e">
        <f t="shared" si="2"/>
        <v>#REF!</v>
      </c>
      <c r="W20" s="119" t="e">
        <f t="shared" si="2"/>
        <v>#REF!</v>
      </c>
    </row>
    <row r="22" spans="1:23" s="176" customFormat="1">
      <c r="A22" s="177" t="s">
        <v>791</v>
      </c>
      <c r="I22" s="178">
        <f xml:space="preserve"> OTHER!F50</f>
        <v>7.5</v>
      </c>
      <c r="J22" s="178">
        <f xml:space="preserve"> OTHER!G50</f>
        <v>7.5</v>
      </c>
      <c r="K22" s="178">
        <f xml:space="preserve"> OTHER!H50</f>
        <v>7.5</v>
      </c>
      <c r="L22" s="178">
        <f xml:space="preserve"> OTHER!I50</f>
        <v>0</v>
      </c>
      <c r="M22" s="178">
        <f xml:space="preserve"> OTHER!J50</f>
        <v>0</v>
      </c>
      <c r="N22" s="178">
        <f xml:space="preserve"> OTHER!K50</f>
        <v>95</v>
      </c>
      <c r="O22" s="178">
        <f xml:space="preserve"> OTHER!L50</f>
        <v>48</v>
      </c>
      <c r="P22" s="178">
        <f xml:space="preserve"> OTHER!M50</f>
        <v>15</v>
      </c>
      <c r="Q22" s="178">
        <f xml:space="preserve"> OTHER!N50</f>
        <v>0</v>
      </c>
      <c r="R22" s="178">
        <f xml:space="preserve"> OTHER!O50</f>
        <v>0</v>
      </c>
      <c r="S22" s="178">
        <f xml:space="preserve"> OTHER!P50</f>
        <v>0</v>
      </c>
      <c r="T22" s="178">
        <f xml:space="preserve"> OTHER!Q50</f>
        <v>0</v>
      </c>
      <c r="U22" s="178">
        <f xml:space="preserve"> OTHER!R50</f>
        <v>0</v>
      </c>
      <c r="V22" s="178">
        <f xml:space="preserve"> OTHER!S50</f>
        <v>0</v>
      </c>
      <c r="W22" s="178">
        <f xml:space="preserve"> OTHER!T50</f>
        <v>0</v>
      </c>
    </row>
    <row r="23" spans="1:23" s="118" customFormat="1">
      <c r="A23" s="118" t="s">
        <v>792</v>
      </c>
      <c r="I23" s="119" t="e">
        <f t="shared" ref="I23:W23" si="3" xml:space="preserve"> I22/I6</f>
        <v>#REF!</v>
      </c>
      <c r="J23" s="119" t="e">
        <f t="shared" si="3"/>
        <v>#REF!</v>
      </c>
      <c r="K23" s="119" t="e">
        <f t="shared" si="3"/>
        <v>#REF!</v>
      </c>
      <c r="L23" s="119" t="e">
        <f t="shared" si="3"/>
        <v>#REF!</v>
      </c>
      <c r="M23" s="119" t="e">
        <f t="shared" si="3"/>
        <v>#REF!</v>
      </c>
      <c r="N23" s="119" t="e">
        <f t="shared" si="3"/>
        <v>#REF!</v>
      </c>
      <c r="O23" s="119" t="e">
        <f t="shared" si="3"/>
        <v>#REF!</v>
      </c>
      <c r="P23" s="119" t="e">
        <f t="shared" si="3"/>
        <v>#REF!</v>
      </c>
      <c r="Q23" s="119" t="e">
        <f t="shared" si="3"/>
        <v>#REF!</v>
      </c>
      <c r="R23" s="119" t="e">
        <f t="shared" si="3"/>
        <v>#REF!</v>
      </c>
      <c r="S23" s="119" t="e">
        <f t="shared" si="3"/>
        <v>#REF!</v>
      </c>
      <c r="T23" s="119" t="e">
        <f t="shared" si="3"/>
        <v>#REF!</v>
      </c>
      <c r="U23" s="119" t="e">
        <f t="shared" si="3"/>
        <v>#REF!</v>
      </c>
      <c r="V23" s="119" t="e">
        <f t="shared" si="3"/>
        <v>#REF!</v>
      </c>
      <c r="W23" s="119" t="e">
        <f t="shared" si="3"/>
        <v>#REF!</v>
      </c>
    </row>
    <row r="25" spans="1:23" s="176" customFormat="1">
      <c r="A25" s="177" t="s">
        <v>793</v>
      </c>
      <c r="I25" s="178">
        <f xml:space="preserve"> I7-0</f>
        <v>50.4</v>
      </c>
      <c r="J25" s="178">
        <f t="shared" ref="J25:W25" si="4" xml:space="preserve"> J7-I7</f>
        <v>-43.199999999999896</v>
      </c>
      <c r="K25" s="178">
        <f t="shared" si="4"/>
        <v>-43.190000000000104</v>
      </c>
      <c r="L25" s="178">
        <f t="shared" si="4"/>
        <v>-103.91325159999997</v>
      </c>
      <c r="M25" s="178">
        <f t="shared" si="4"/>
        <v>-109.54276460000003</v>
      </c>
      <c r="N25" s="178">
        <f t="shared" si="4"/>
        <v>-74.808704299998993</v>
      </c>
      <c r="O25" s="178">
        <f t="shared" si="4"/>
        <v>-47.127953000001014</v>
      </c>
      <c r="P25" s="178" t="e">
        <f t="shared" si="4"/>
        <v>#REF!</v>
      </c>
      <c r="Q25" s="178" t="e">
        <f t="shared" si="4"/>
        <v>#REF!</v>
      </c>
      <c r="R25" s="178" t="e">
        <f t="shared" si="4"/>
        <v>#REF!</v>
      </c>
      <c r="S25" s="178" t="e">
        <f t="shared" si="4"/>
        <v>#REF!</v>
      </c>
      <c r="T25" s="178" t="e">
        <f t="shared" si="4"/>
        <v>#REF!</v>
      </c>
      <c r="U25" s="178" t="e">
        <f t="shared" si="4"/>
        <v>#REF!</v>
      </c>
      <c r="V25" s="178" t="e">
        <f t="shared" si="4"/>
        <v>#REF!</v>
      </c>
      <c r="W25" s="178" t="e">
        <f t="shared" si="4"/>
        <v>#REF!</v>
      </c>
    </row>
    <row r="26" spans="1:23" s="118" customFormat="1">
      <c r="A26" s="118" t="s">
        <v>794</v>
      </c>
      <c r="I26" s="119" t="e">
        <f t="shared" ref="I26:W26" si="5" xml:space="preserve"> I25/I6</f>
        <v>#REF!</v>
      </c>
      <c r="J26" s="119" t="e">
        <f t="shared" si="5"/>
        <v>#REF!</v>
      </c>
      <c r="K26" s="119" t="e">
        <f t="shared" si="5"/>
        <v>#REF!</v>
      </c>
      <c r="L26" s="119" t="e">
        <f t="shared" si="5"/>
        <v>#REF!</v>
      </c>
      <c r="M26" s="119" t="e">
        <f t="shared" si="5"/>
        <v>#REF!</v>
      </c>
      <c r="N26" s="119" t="e">
        <f t="shared" si="5"/>
        <v>#REF!</v>
      </c>
      <c r="O26" s="119" t="e">
        <f t="shared" si="5"/>
        <v>#REF!</v>
      </c>
      <c r="P26" s="119" t="e">
        <f t="shared" si="5"/>
        <v>#REF!</v>
      </c>
      <c r="Q26" s="119" t="e">
        <f t="shared" si="5"/>
        <v>#REF!</v>
      </c>
      <c r="R26" s="119" t="e">
        <f t="shared" si="5"/>
        <v>#REF!</v>
      </c>
      <c r="S26" s="119" t="e">
        <f t="shared" si="5"/>
        <v>#REF!</v>
      </c>
      <c r="T26" s="119" t="e">
        <f t="shared" si="5"/>
        <v>#REF!</v>
      </c>
      <c r="U26" s="119" t="e">
        <f t="shared" si="5"/>
        <v>#REF!</v>
      </c>
      <c r="V26" s="119" t="e">
        <f t="shared" si="5"/>
        <v>#REF!</v>
      </c>
      <c r="W26" s="119" t="e">
        <f t="shared" si="5"/>
        <v>#REF!</v>
      </c>
    </row>
    <row r="28" spans="1:23" s="176" customFormat="1">
      <c r="A28" s="177" t="s">
        <v>798</v>
      </c>
      <c r="I28" s="178" t="e">
        <f xml:space="preserve"> I16 +I19 -I22 +I25</f>
        <v>#REF!</v>
      </c>
      <c r="J28" s="178" t="e">
        <f t="shared" ref="J28:W28" si="6" xml:space="preserve"> J16 +J19 -J22 +J25</f>
        <v>#REF!</v>
      </c>
      <c r="K28" s="178" t="e">
        <f t="shared" si="6"/>
        <v>#REF!</v>
      </c>
      <c r="L28" s="178" t="e">
        <f t="shared" si="6"/>
        <v>#REF!</v>
      </c>
      <c r="M28" s="178" t="e">
        <f t="shared" si="6"/>
        <v>#REF!</v>
      </c>
      <c r="N28" s="178" t="e">
        <f t="shared" si="6"/>
        <v>#REF!</v>
      </c>
      <c r="O28" s="178" t="e">
        <f t="shared" si="6"/>
        <v>#REF!</v>
      </c>
      <c r="P28" s="178" t="e">
        <f t="shared" si="6"/>
        <v>#REF!</v>
      </c>
      <c r="Q28" s="178" t="e">
        <f t="shared" si="6"/>
        <v>#REF!</v>
      </c>
      <c r="R28" s="178" t="e">
        <f t="shared" si="6"/>
        <v>#REF!</v>
      </c>
      <c r="S28" s="178" t="e">
        <f t="shared" si="6"/>
        <v>#REF!</v>
      </c>
      <c r="T28" s="178" t="e">
        <f t="shared" si="6"/>
        <v>#REF!</v>
      </c>
      <c r="U28" s="178" t="e">
        <f t="shared" si="6"/>
        <v>#REF!</v>
      </c>
      <c r="V28" s="178" t="e">
        <f t="shared" si="6"/>
        <v>#REF!</v>
      </c>
      <c r="W28" s="178" t="e">
        <f t="shared" si="6"/>
        <v>#REF!</v>
      </c>
    </row>
    <row r="30" spans="1:23">
      <c r="A30" s="55" t="s">
        <v>799</v>
      </c>
      <c r="B30" s="120">
        <f xml:space="preserve"> WACC!F22</f>
        <v>0.12284999999999999</v>
      </c>
    </row>
    <row r="31" spans="1:23">
      <c r="A31" s="55" t="s">
        <v>800</v>
      </c>
      <c r="B31" s="121">
        <v>0.02</v>
      </c>
    </row>
    <row r="32" spans="1:23">
      <c r="A32" s="55" t="s">
        <v>801</v>
      </c>
      <c r="B32" s="136" t="e">
        <f xml:space="preserve"> W28*(1+B31)</f>
        <v>#REF!</v>
      </c>
    </row>
    <row r="33" spans="1:23">
      <c r="A33" s="55" t="s">
        <v>802</v>
      </c>
      <c r="B33" s="136" t="e">
        <f xml:space="preserve"> B32/(B30-B31)</f>
        <v>#REF!</v>
      </c>
    </row>
    <row r="34" spans="1:23">
      <c r="A34" s="124" t="s">
        <v>815</v>
      </c>
      <c r="B34" s="137" t="e">
        <f xml:space="preserve"> B33/ (1 + B30) ^ W3</f>
        <v>#REF!</v>
      </c>
    </row>
    <row r="35" spans="1:23" s="24" customFormat="1">
      <c r="A35" s="24" t="s">
        <v>803</v>
      </c>
      <c r="I35" s="123" t="e">
        <f xml:space="preserve"> I28/ (1+B30)^I3</f>
        <v>#REF!</v>
      </c>
      <c r="J35" s="123" t="e">
        <f xml:space="preserve"> J28/ (1+B30)^J3</f>
        <v>#REF!</v>
      </c>
      <c r="K35" s="123" t="e">
        <f xml:space="preserve"> K28/ (1+B30)^K3</f>
        <v>#REF!</v>
      </c>
      <c r="L35" s="123" t="e">
        <f xml:space="preserve"> L28/ (1+B30)^L3</f>
        <v>#REF!</v>
      </c>
      <c r="M35" s="123" t="e">
        <f xml:space="preserve"> M28/ (1+B30)^M3</f>
        <v>#REF!</v>
      </c>
      <c r="N35" s="123" t="e">
        <f xml:space="preserve"> N28/ (1+B30)^N3</f>
        <v>#REF!</v>
      </c>
      <c r="O35" s="123" t="e">
        <f xml:space="preserve"> O28/ (1+B30)^O3</f>
        <v>#REF!</v>
      </c>
      <c r="P35" s="123" t="e">
        <f xml:space="preserve"> P28/ (1+B30)^P3</f>
        <v>#REF!</v>
      </c>
      <c r="Q35" s="123" t="e">
        <f xml:space="preserve"> Q28/ (1+B30)^Q3</f>
        <v>#REF!</v>
      </c>
      <c r="R35" s="123" t="e">
        <f xml:space="preserve"> R28/ (1+B30)^R3</f>
        <v>#REF!</v>
      </c>
      <c r="S35" s="123" t="e">
        <f xml:space="preserve"> S28/ (1+B30)^S3</f>
        <v>#REF!</v>
      </c>
      <c r="T35" s="123" t="e">
        <f xml:space="preserve"> T28/ (1+B30)^T3</f>
        <v>#REF!</v>
      </c>
      <c r="U35" s="123" t="e">
        <f xml:space="preserve"> U28/ (1+B30)^U3</f>
        <v>#REF!</v>
      </c>
      <c r="V35" s="123" t="e">
        <f xml:space="preserve"> V28/ (1+B30)^V3</f>
        <v>#REF!</v>
      </c>
      <c r="W35" s="123" t="e">
        <f xml:space="preserve"> W28/ (1+B30)^W3</f>
        <v>#REF!</v>
      </c>
    </row>
    <row r="37" spans="1:23">
      <c r="A37" s="55" t="s">
        <v>804</v>
      </c>
      <c r="B37" s="122" t="e">
        <f>SUM(I35:W35) + B34</f>
        <v>#REF!</v>
      </c>
    </row>
    <row r="38" spans="1:23">
      <c r="A38" s="55" t="s">
        <v>805</v>
      </c>
      <c r="B38" s="122" t="e">
        <f xml:space="preserve"> B37 + 'FINANCIAL STATEMENTS'!W50 - ASSUMPTIONS!C66</f>
        <v>#REF!</v>
      </c>
    </row>
    <row r="40" spans="1:23" s="186" customFormat="1" ht="23.4">
      <c r="A40" s="186" t="s">
        <v>806</v>
      </c>
    </row>
    <row r="41" spans="1:23" s="15" customFormat="1">
      <c r="A41" s="15" t="s">
        <v>807</v>
      </c>
    </row>
    <row r="42" spans="1:23">
      <c r="A42" s="3" t="s">
        <v>808</v>
      </c>
      <c r="I42" s="261" t="e">
        <f xml:space="preserve"> I8</f>
        <v>#REF!</v>
      </c>
      <c r="J42" s="261" t="e">
        <f t="shared" ref="J42:W42" si="7" xml:space="preserve"> J8</f>
        <v>#REF!</v>
      </c>
      <c r="K42" s="261" t="e">
        <f t="shared" si="7"/>
        <v>#REF!</v>
      </c>
      <c r="L42" s="261" t="e">
        <f t="shared" si="7"/>
        <v>#REF!</v>
      </c>
      <c r="M42" s="261" t="e">
        <f t="shared" si="7"/>
        <v>#REF!</v>
      </c>
      <c r="N42" s="261" t="e">
        <f t="shared" si="7"/>
        <v>#REF!</v>
      </c>
      <c r="O42" s="261" t="e">
        <f t="shared" si="7"/>
        <v>#REF!</v>
      </c>
      <c r="P42" s="261" t="e">
        <f t="shared" si="7"/>
        <v>#REF!</v>
      </c>
      <c r="Q42" s="261" t="e">
        <f t="shared" si="7"/>
        <v>#REF!</v>
      </c>
      <c r="R42" s="261" t="e">
        <f t="shared" si="7"/>
        <v>#REF!</v>
      </c>
      <c r="S42" s="261" t="e">
        <f t="shared" si="7"/>
        <v>#REF!</v>
      </c>
      <c r="T42" s="261" t="e">
        <f t="shared" si="7"/>
        <v>#REF!</v>
      </c>
      <c r="U42" s="261" t="e">
        <f t="shared" si="7"/>
        <v>#REF!</v>
      </c>
      <c r="V42" s="261" t="e">
        <f t="shared" si="7"/>
        <v>#REF!</v>
      </c>
      <c r="W42" s="261" t="e">
        <f t="shared" si="7"/>
        <v>#REF!</v>
      </c>
    </row>
    <row r="43" spans="1:23">
      <c r="A43" s="3" t="s">
        <v>809</v>
      </c>
      <c r="I43" s="261" t="e">
        <f xml:space="preserve"> 'FINANCIAL STATEMENTS'!I67</f>
        <v>#REF!</v>
      </c>
      <c r="J43" s="261" t="e">
        <f xml:space="preserve"> 'FINANCIAL STATEMENTS'!J67</f>
        <v>#REF!</v>
      </c>
      <c r="K43" s="261" t="e">
        <f xml:space="preserve"> 'FINANCIAL STATEMENTS'!K67</f>
        <v>#REF!</v>
      </c>
      <c r="L43" s="261" t="e">
        <f xml:space="preserve"> 'FINANCIAL STATEMENTS'!L67</f>
        <v>#REF!</v>
      </c>
      <c r="M43" s="261" t="e">
        <f xml:space="preserve"> 'FINANCIAL STATEMENTS'!M67</f>
        <v>#REF!</v>
      </c>
      <c r="N43" s="261" t="e">
        <f xml:space="preserve"> 'FINANCIAL STATEMENTS'!N67</f>
        <v>#REF!</v>
      </c>
      <c r="O43" s="261" t="e">
        <f xml:space="preserve"> 'FINANCIAL STATEMENTS'!O67</f>
        <v>#REF!</v>
      </c>
      <c r="P43" s="261" t="e">
        <f xml:space="preserve"> 'FINANCIAL STATEMENTS'!P67</f>
        <v>#REF!</v>
      </c>
      <c r="Q43" s="261" t="e">
        <f xml:space="preserve"> 'FINANCIAL STATEMENTS'!Q67</f>
        <v>#REF!</v>
      </c>
      <c r="R43" s="261" t="e">
        <f xml:space="preserve"> 'FINANCIAL STATEMENTS'!R67</f>
        <v>#REF!</v>
      </c>
      <c r="S43" s="261" t="e">
        <f xml:space="preserve"> 'FINANCIAL STATEMENTS'!S67</f>
        <v>#REF!</v>
      </c>
      <c r="T43" s="261" t="e">
        <f xml:space="preserve"> 'FINANCIAL STATEMENTS'!T67</f>
        <v>#REF!</v>
      </c>
      <c r="U43" s="261" t="e">
        <f xml:space="preserve"> 'FINANCIAL STATEMENTS'!U67</f>
        <v>#REF!</v>
      </c>
      <c r="V43" s="261" t="e">
        <f xml:space="preserve"> 'FINANCIAL STATEMENTS'!V67</f>
        <v>#REF!</v>
      </c>
      <c r="W43" s="261" t="e">
        <f xml:space="preserve"> 'FINANCIAL STATEMENTS'!W67</f>
        <v>#REF!</v>
      </c>
    </row>
    <row r="44" spans="1:23">
      <c r="A44" s="3" t="s">
        <v>810</v>
      </c>
      <c r="I44" s="12" t="e">
        <f xml:space="preserve"> I42/I43</f>
        <v>#REF!</v>
      </c>
      <c r="J44" s="12" t="e">
        <f t="shared" ref="J44:W44" si="8" xml:space="preserve"> J42/J43</f>
        <v>#REF!</v>
      </c>
      <c r="K44" s="12" t="e">
        <f t="shared" si="8"/>
        <v>#REF!</v>
      </c>
      <c r="L44" s="12" t="e">
        <f t="shared" si="8"/>
        <v>#REF!</v>
      </c>
      <c r="M44" s="12" t="e">
        <f t="shared" si="8"/>
        <v>#REF!</v>
      </c>
      <c r="N44" s="12" t="e">
        <f t="shared" si="8"/>
        <v>#REF!</v>
      </c>
      <c r="O44" s="12" t="e">
        <f t="shared" si="8"/>
        <v>#REF!</v>
      </c>
      <c r="P44" s="12" t="e">
        <f t="shared" si="8"/>
        <v>#REF!</v>
      </c>
      <c r="Q44" s="12" t="e">
        <f t="shared" si="8"/>
        <v>#REF!</v>
      </c>
      <c r="R44" s="126" t="e">
        <f t="shared" si="8"/>
        <v>#REF!</v>
      </c>
      <c r="S44" s="12" t="e">
        <f t="shared" si="8"/>
        <v>#REF!</v>
      </c>
      <c r="T44" s="12" t="e">
        <f t="shared" si="8"/>
        <v>#REF!</v>
      </c>
      <c r="U44" s="12" t="e">
        <f t="shared" si="8"/>
        <v>#REF!</v>
      </c>
      <c r="V44" s="12" t="e">
        <f t="shared" si="8"/>
        <v>#REF!</v>
      </c>
      <c r="W44" s="12" t="e">
        <f t="shared" si="8"/>
        <v>#REF!</v>
      </c>
    </row>
    <row r="46" spans="1:23" s="15" customFormat="1">
      <c r="A46" s="15" t="s">
        <v>811</v>
      </c>
    </row>
    <row r="47" spans="1:23" s="176" customFormat="1">
      <c r="A47" s="177" t="s">
        <v>803</v>
      </c>
      <c r="I47" s="178" t="e">
        <f>I35</f>
        <v>#REF!</v>
      </c>
      <c r="J47" s="178" t="e">
        <f t="shared" ref="J47:W47" si="9">J35</f>
        <v>#REF!</v>
      </c>
      <c r="K47" s="178" t="e">
        <f t="shared" si="9"/>
        <v>#REF!</v>
      </c>
      <c r="L47" s="178" t="e">
        <f t="shared" si="9"/>
        <v>#REF!</v>
      </c>
      <c r="M47" s="178" t="e">
        <f t="shared" si="9"/>
        <v>#REF!</v>
      </c>
      <c r="N47" s="178" t="e">
        <f t="shared" si="9"/>
        <v>#REF!</v>
      </c>
      <c r="O47" s="178" t="e">
        <f t="shared" si="9"/>
        <v>#REF!</v>
      </c>
      <c r="P47" s="178" t="e">
        <f t="shared" si="9"/>
        <v>#REF!</v>
      </c>
      <c r="Q47" s="178" t="e">
        <f t="shared" si="9"/>
        <v>#REF!</v>
      </c>
      <c r="R47" s="178" t="e">
        <f t="shared" si="9"/>
        <v>#REF!</v>
      </c>
      <c r="S47" s="178" t="e">
        <f t="shared" si="9"/>
        <v>#REF!</v>
      </c>
      <c r="T47" s="178" t="e">
        <f t="shared" si="9"/>
        <v>#REF!</v>
      </c>
      <c r="U47" s="178" t="e">
        <f t="shared" si="9"/>
        <v>#REF!</v>
      </c>
      <c r="V47" s="178" t="e">
        <f t="shared" si="9"/>
        <v>#REF!</v>
      </c>
      <c r="W47" s="178" t="e">
        <f t="shared" si="9"/>
        <v>#REF!</v>
      </c>
    </row>
    <row r="48" spans="1:23" s="176" customFormat="1">
      <c r="A48" s="177" t="s">
        <v>816</v>
      </c>
      <c r="I48" s="178" t="e">
        <f>I47</f>
        <v>#REF!</v>
      </c>
      <c r="J48" s="178" t="e">
        <f t="shared" ref="J48:V48" si="10">J47</f>
        <v>#REF!</v>
      </c>
      <c r="K48" s="178" t="e">
        <f t="shared" si="10"/>
        <v>#REF!</v>
      </c>
      <c r="L48" s="178" t="e">
        <f t="shared" si="10"/>
        <v>#REF!</v>
      </c>
      <c r="M48" s="178" t="e">
        <f t="shared" si="10"/>
        <v>#REF!</v>
      </c>
      <c r="N48" s="178" t="e">
        <f t="shared" si="10"/>
        <v>#REF!</v>
      </c>
      <c r="O48" s="178" t="e">
        <f t="shared" si="10"/>
        <v>#REF!</v>
      </c>
      <c r="P48" s="178" t="e">
        <f t="shared" si="10"/>
        <v>#REF!</v>
      </c>
      <c r="Q48" s="178" t="e">
        <f t="shared" si="10"/>
        <v>#REF!</v>
      </c>
      <c r="R48" s="178" t="e">
        <f t="shared" si="10"/>
        <v>#REF!</v>
      </c>
      <c r="S48" s="178" t="e">
        <f t="shared" si="10"/>
        <v>#REF!</v>
      </c>
      <c r="T48" s="178" t="e">
        <f t="shared" si="10"/>
        <v>#REF!</v>
      </c>
      <c r="U48" s="178" t="e">
        <f t="shared" si="10"/>
        <v>#REF!</v>
      </c>
      <c r="V48" s="178" t="e">
        <f t="shared" si="10"/>
        <v>#REF!</v>
      </c>
      <c r="W48" s="178" t="e">
        <f>W47 + B34</f>
        <v>#REF!</v>
      </c>
    </row>
    <row r="49" spans="1:23">
      <c r="A49" s="55" t="s">
        <v>812</v>
      </c>
      <c r="B49" s="122" t="e">
        <f>SUM(I35:W35)</f>
        <v>#REF!</v>
      </c>
    </row>
    <row r="50" spans="1:23">
      <c r="A50" s="55" t="s">
        <v>813</v>
      </c>
      <c r="B50" s="121" t="e">
        <f xml:space="preserve"> IRR(I48:W48)</f>
        <v>#VALUE!</v>
      </c>
    </row>
    <row r="51" spans="1:23">
      <c r="A51" s="7" t="s">
        <v>814</v>
      </c>
      <c r="B51" s="125" t="e">
        <f>(B49)/ASSUMPTIONS!C66</f>
        <v>#REF!</v>
      </c>
    </row>
    <row r="53" spans="1:23" s="15" customFormat="1">
      <c r="A53" s="15" t="s">
        <v>817</v>
      </c>
    </row>
    <row r="54" spans="1:23">
      <c r="A54" s="7" t="s">
        <v>818</v>
      </c>
      <c r="B54" s="7"/>
      <c r="I54" s="2">
        <f xml:space="preserve">  'FINANCIAL STATEMENTS'!I50</f>
        <v>0</v>
      </c>
      <c r="J54" s="2">
        <f xml:space="preserve"> I54+ 'FINANCIAL STATEMENTS'!J50</f>
        <v>0</v>
      </c>
      <c r="K54" s="2">
        <f xml:space="preserve"> J54+ 'FINANCIAL STATEMENTS'!K50</f>
        <v>0</v>
      </c>
      <c r="L54" s="2">
        <f xml:space="preserve"> K54+ 'FINANCIAL STATEMENTS'!L50</f>
        <v>20.12</v>
      </c>
      <c r="M54" s="2">
        <f xml:space="preserve"> L54+ 'FINANCIAL STATEMENTS'!M50</f>
        <v>41.82</v>
      </c>
      <c r="N54" s="2">
        <f xml:space="preserve"> M54+ 'FINANCIAL STATEMENTS'!N50</f>
        <v>80.08</v>
      </c>
      <c r="O54" s="2">
        <f xml:space="preserve"> N54+ 'FINANCIAL STATEMENTS'!O50</f>
        <v>141.81</v>
      </c>
      <c r="P54" s="2">
        <f xml:space="preserve"> O54+ 'FINANCIAL STATEMENTS'!P50</f>
        <v>235.78</v>
      </c>
      <c r="Q54" s="2">
        <f xml:space="preserve"> P54+ 'FINANCIAL STATEMENTS'!Q50</f>
        <v>373.08000000000004</v>
      </c>
      <c r="R54" s="2">
        <f xml:space="preserve"> Q54+ 'FINANCIAL STATEMENTS'!R50</f>
        <v>572.49</v>
      </c>
      <c r="S54" s="2">
        <f xml:space="preserve"> R54+ 'FINANCIAL STATEMENTS'!S50</f>
        <v>854.16000000000008</v>
      </c>
      <c r="T54" s="2">
        <f xml:space="preserve"> S54+ 'FINANCIAL STATEMENTS'!T50</f>
        <v>1240.22</v>
      </c>
      <c r="U54" s="2">
        <f xml:space="preserve"> T54+ 'FINANCIAL STATEMENTS'!U50</f>
        <v>1760.5900000000001</v>
      </c>
      <c r="V54" s="2">
        <f xml:space="preserve"> U54+ 'FINANCIAL STATEMENTS'!V50</f>
        <v>2452.1800000000003</v>
      </c>
      <c r="W54" s="2">
        <f xml:space="preserve"> V54+ 'FINANCIAL STATEMENTS'!W50</f>
        <v>3360.84</v>
      </c>
    </row>
    <row r="55" spans="1:23">
      <c r="A55" s="7" t="s">
        <v>819</v>
      </c>
      <c r="B55" s="7">
        <f xml:space="preserve"> ASSUMPTIONS!B58</f>
        <v>22.5</v>
      </c>
    </row>
    <row r="56" spans="1:23">
      <c r="A56" s="7" t="s">
        <v>817</v>
      </c>
      <c r="B56" s="127" t="s">
        <v>820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1EF-75AD-4329-A762-8B4B0609E670}">
  <dimension ref="A1:U99"/>
  <sheetViews>
    <sheetView topLeftCell="A71" zoomScale="70" zoomScaleNormal="100" workbookViewId="0">
      <selection activeCell="J108" sqref="J108"/>
    </sheetView>
  </sheetViews>
  <sheetFormatPr defaultRowHeight="14.4"/>
  <cols>
    <col min="1" max="1" width="32.5546875" bestFit="1" customWidth="1"/>
    <col min="2" max="2" width="10.44140625" bestFit="1" customWidth="1"/>
    <col min="6" max="6" width="10" bestFit="1" customWidth="1"/>
    <col min="7" max="7" width="13.5546875" customWidth="1"/>
    <col min="8" max="8" width="16.44140625" customWidth="1"/>
    <col min="9" max="9" width="14.33203125" customWidth="1"/>
    <col min="10" max="21" width="13.109375" bestFit="1" customWidth="1"/>
  </cols>
  <sheetData>
    <row r="1" spans="1:21">
      <c r="G1" s="10" t="s">
        <v>19</v>
      </c>
      <c r="H1" s="10" t="s">
        <v>19</v>
      </c>
      <c r="I1" s="10" t="s">
        <v>19</v>
      </c>
      <c r="J1" s="10" t="s">
        <v>19</v>
      </c>
      <c r="K1" s="10" t="s">
        <v>19</v>
      </c>
      <c r="L1" s="10" t="s">
        <v>19</v>
      </c>
      <c r="M1" s="10" t="s">
        <v>19</v>
      </c>
      <c r="N1" s="10" t="s">
        <v>19</v>
      </c>
      <c r="O1" s="10" t="s">
        <v>19</v>
      </c>
      <c r="P1" s="10" t="s">
        <v>19</v>
      </c>
      <c r="Q1" s="10" t="s">
        <v>19</v>
      </c>
      <c r="R1" s="10" t="s">
        <v>19</v>
      </c>
      <c r="S1" s="10" t="s">
        <v>19</v>
      </c>
      <c r="T1" s="10" t="s">
        <v>19</v>
      </c>
      <c r="U1" s="10" t="s">
        <v>19</v>
      </c>
    </row>
    <row r="2" spans="1:21">
      <c r="A2" t="s">
        <v>822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20</v>
      </c>
      <c r="O2" s="10" t="s">
        <v>21</v>
      </c>
      <c r="P2" s="10" t="s">
        <v>22</v>
      </c>
      <c r="Q2" s="10" t="s">
        <v>417</v>
      </c>
      <c r="R2" s="10" t="s">
        <v>418</v>
      </c>
      <c r="S2" s="10" t="s">
        <v>419</v>
      </c>
      <c r="T2" s="10" t="s">
        <v>420</v>
      </c>
      <c r="U2" s="10" t="s">
        <v>421</v>
      </c>
    </row>
    <row r="3" spans="1:21">
      <c r="G3" s="10">
        <v>1</v>
      </c>
      <c r="H3" s="10">
        <v>2</v>
      </c>
      <c r="I3" s="10">
        <v>3</v>
      </c>
      <c r="J3" s="10">
        <v>4</v>
      </c>
      <c r="K3" s="10">
        <v>5</v>
      </c>
      <c r="L3" s="10">
        <v>6</v>
      </c>
      <c r="M3" s="10">
        <v>7</v>
      </c>
      <c r="N3" s="10">
        <v>8</v>
      </c>
      <c r="O3" s="10">
        <v>9</v>
      </c>
      <c r="P3" s="10">
        <v>10</v>
      </c>
      <c r="Q3" s="10">
        <v>11</v>
      </c>
      <c r="R3" s="10">
        <v>12</v>
      </c>
      <c r="S3" s="10">
        <v>13</v>
      </c>
      <c r="T3" s="10">
        <v>14</v>
      </c>
      <c r="U3" s="10">
        <v>15</v>
      </c>
    </row>
    <row r="4" spans="1:21" s="132" customFormat="1" ht="25.8">
      <c r="A4" s="132" t="s">
        <v>857</v>
      </c>
    </row>
    <row r="5" spans="1:21" s="131" customFormat="1" ht="18">
      <c r="A5" s="131" t="s">
        <v>821</v>
      </c>
    </row>
    <row r="6" spans="1:21" s="7" customFormat="1">
      <c r="A6" s="7" t="s">
        <v>823</v>
      </c>
      <c r="G6" s="11" t="e">
        <f xml:space="preserve"> FCFF!I6</f>
        <v>#REF!</v>
      </c>
      <c r="H6" s="11" t="e">
        <f xml:space="preserve"> FCFF!J6</f>
        <v>#REF!</v>
      </c>
      <c r="I6" s="11" t="e">
        <f xml:space="preserve"> FCFF!K6</f>
        <v>#REF!</v>
      </c>
      <c r="J6" s="11" t="e">
        <f xml:space="preserve"> FCFF!L6</f>
        <v>#REF!</v>
      </c>
      <c r="K6" s="11" t="e">
        <f xml:space="preserve"> FCFF!M6</f>
        <v>#REF!</v>
      </c>
      <c r="L6" s="11" t="e">
        <f xml:space="preserve"> FCFF!N6</f>
        <v>#REF!</v>
      </c>
      <c r="M6" s="11" t="e">
        <f xml:space="preserve"> FCFF!O6</f>
        <v>#REF!</v>
      </c>
      <c r="N6" s="11" t="e">
        <f xml:space="preserve"> FCFF!P6</f>
        <v>#REF!</v>
      </c>
      <c r="O6" s="11" t="e">
        <f xml:space="preserve"> FCFF!Q6</f>
        <v>#REF!</v>
      </c>
      <c r="P6" s="11" t="e">
        <f xml:space="preserve"> FCFF!R6</f>
        <v>#REF!</v>
      </c>
      <c r="Q6" s="11" t="e">
        <f xml:space="preserve"> FCFF!S6</f>
        <v>#REF!</v>
      </c>
      <c r="R6" s="11" t="e">
        <f xml:space="preserve"> FCFF!T6</f>
        <v>#REF!</v>
      </c>
      <c r="S6" s="11" t="e">
        <f xml:space="preserve"> FCFF!U6</f>
        <v>#REF!</v>
      </c>
      <c r="T6" s="11" t="e">
        <f xml:space="preserve"> FCFF!V6</f>
        <v>#REF!</v>
      </c>
      <c r="U6" s="11" t="e">
        <f xml:space="preserve"> FCFF!W6</f>
        <v>#REF!</v>
      </c>
    </row>
    <row r="7" spans="1:21" s="7" customFormat="1">
      <c r="A7" s="7" t="s">
        <v>724</v>
      </c>
      <c r="G7" s="11" t="e">
        <f xml:space="preserve"> 'FINANCIAL STATEMENTS'!I18</f>
        <v>#REF!</v>
      </c>
      <c r="H7" s="11" t="e">
        <f xml:space="preserve"> 'FINANCIAL STATEMENTS'!J18</f>
        <v>#REF!</v>
      </c>
      <c r="I7" s="11" t="e">
        <f xml:space="preserve"> 'FINANCIAL STATEMENTS'!K18</f>
        <v>#REF!</v>
      </c>
      <c r="J7" s="11" t="e">
        <f xml:space="preserve"> 'FINANCIAL STATEMENTS'!L18</f>
        <v>#REF!</v>
      </c>
      <c r="K7" s="11" t="e">
        <f xml:space="preserve"> 'FINANCIAL STATEMENTS'!M18</f>
        <v>#REF!</v>
      </c>
      <c r="L7" s="11" t="e">
        <f xml:space="preserve"> 'FINANCIAL STATEMENTS'!N18</f>
        <v>#REF!</v>
      </c>
      <c r="M7" s="11" t="e">
        <f xml:space="preserve"> 'FINANCIAL STATEMENTS'!O18</f>
        <v>#REF!</v>
      </c>
      <c r="N7" s="11" t="e">
        <f xml:space="preserve"> 'FINANCIAL STATEMENTS'!P18</f>
        <v>#REF!</v>
      </c>
      <c r="O7" s="11" t="e">
        <f xml:space="preserve"> 'FINANCIAL STATEMENTS'!Q18</f>
        <v>#REF!</v>
      </c>
      <c r="P7" s="11" t="e">
        <f xml:space="preserve"> 'FINANCIAL STATEMENTS'!R18</f>
        <v>#REF!</v>
      </c>
      <c r="Q7" s="11" t="e">
        <f xml:space="preserve"> 'FINANCIAL STATEMENTS'!S18</f>
        <v>#REF!</v>
      </c>
      <c r="R7" s="11" t="e">
        <f xml:space="preserve"> 'FINANCIAL STATEMENTS'!T18</f>
        <v>#REF!</v>
      </c>
      <c r="S7" s="11" t="e">
        <f xml:space="preserve"> 'FINANCIAL STATEMENTS'!U18</f>
        <v>#REF!</v>
      </c>
      <c r="T7" s="11" t="e">
        <f xml:space="preserve"> 'FINANCIAL STATEMENTS'!V18</f>
        <v>#REF!</v>
      </c>
      <c r="U7" s="11" t="e">
        <f xml:space="preserve"> 'FINANCIAL STATEMENTS'!W18</f>
        <v>#REF!</v>
      </c>
    </row>
    <row r="8" spans="1:21" s="7" customFormat="1">
      <c r="A8" s="7" t="s">
        <v>824</v>
      </c>
      <c r="G8" s="11" t="e">
        <f xml:space="preserve"> G6-G7</f>
        <v>#REF!</v>
      </c>
      <c r="H8" s="11" t="e">
        <f t="shared" ref="H8:U8" si="0" xml:space="preserve"> H6-H7</f>
        <v>#REF!</v>
      </c>
      <c r="I8" s="11" t="e">
        <f t="shared" si="0"/>
        <v>#REF!</v>
      </c>
      <c r="J8" s="11" t="e">
        <f t="shared" si="0"/>
        <v>#REF!</v>
      </c>
      <c r="K8" s="11" t="e">
        <f t="shared" si="0"/>
        <v>#REF!</v>
      </c>
      <c r="L8" s="11" t="e">
        <f t="shared" si="0"/>
        <v>#REF!</v>
      </c>
      <c r="M8" s="11" t="e">
        <f t="shared" si="0"/>
        <v>#REF!</v>
      </c>
      <c r="N8" s="11" t="e">
        <f t="shared" si="0"/>
        <v>#REF!</v>
      </c>
      <c r="O8" s="11" t="e">
        <f t="shared" si="0"/>
        <v>#REF!</v>
      </c>
      <c r="P8" s="11" t="e">
        <f t="shared" si="0"/>
        <v>#REF!</v>
      </c>
      <c r="Q8" s="11" t="e">
        <f t="shared" si="0"/>
        <v>#REF!</v>
      </c>
      <c r="R8" s="11" t="e">
        <f t="shared" si="0"/>
        <v>#REF!</v>
      </c>
      <c r="S8" s="11" t="e">
        <f t="shared" si="0"/>
        <v>#REF!</v>
      </c>
      <c r="T8" s="11" t="e">
        <f t="shared" si="0"/>
        <v>#REF!</v>
      </c>
      <c r="U8" s="11" t="e">
        <f t="shared" si="0"/>
        <v>#REF!</v>
      </c>
    </row>
    <row r="9" spans="1:21" s="7" customFormat="1">
      <c r="A9" s="7" t="s">
        <v>854</v>
      </c>
      <c r="G9" s="11">
        <f xml:space="preserve"> 'FINANCIAL STATEMENTS'!I28</f>
        <v>0</v>
      </c>
      <c r="H9" s="11">
        <f xml:space="preserve"> 'FINANCIAL STATEMENTS'!J28</f>
        <v>0</v>
      </c>
      <c r="I9" s="11">
        <f xml:space="preserve"> 'FINANCIAL STATEMENTS'!K28</f>
        <v>0</v>
      </c>
      <c r="J9" s="11">
        <f xml:space="preserve"> 'FINANCIAL STATEMENTS'!L28</f>
        <v>23.311014999999998</v>
      </c>
      <c r="K9" s="11">
        <f xml:space="preserve"> 'FINANCIAL STATEMENTS'!M28</f>
        <v>24.928514</v>
      </c>
      <c r="L9" s="11">
        <f xml:space="preserve"> 'FINANCIAL STATEMENTS'!N28</f>
        <v>26.654480580000001</v>
      </c>
      <c r="M9" s="11">
        <f xml:space="preserve"> 'FINANCIAL STATEMENTS'!O28</f>
        <v>28.521264719999998</v>
      </c>
      <c r="N9" s="11">
        <f xml:space="preserve"> 'FINANCIAL STATEMENTS'!P28</f>
        <v>30.517448780000002</v>
      </c>
      <c r="O9" s="11">
        <f xml:space="preserve"> 'FINANCIAL STATEMENTS'!Q28</f>
        <v>32.652547459999994</v>
      </c>
      <c r="P9" s="11">
        <f xml:space="preserve"> 'FINANCIAL STATEMENTS'!R28</f>
        <v>34.937978399999999</v>
      </c>
      <c r="Q9" s="11">
        <f xml:space="preserve"> 'FINANCIAL STATEMENTS'!S28</f>
        <v>37.383256299999999</v>
      </c>
      <c r="R9" s="11">
        <f xml:space="preserve"> 'FINANCIAL STATEMENTS'!T28</f>
        <v>39.9807694</v>
      </c>
      <c r="S9" s="11">
        <f xml:space="preserve"> 'FINANCIAL STATEMENTS'!U28</f>
        <v>42.741935340000005</v>
      </c>
      <c r="T9" s="11">
        <f xml:space="preserve"> 'FINANCIAL STATEMENTS'!V28</f>
        <v>45.67626881999999</v>
      </c>
      <c r="U9" s="11">
        <f xml:space="preserve"> 'FINANCIAL STATEMENTS'!W28</f>
        <v>48.797090419999996</v>
      </c>
    </row>
    <row r="10" spans="1:21" s="7" customFormat="1">
      <c r="A10" s="7" t="s">
        <v>730</v>
      </c>
      <c r="G10" s="11" t="e">
        <f xml:space="preserve"> FCFF!I10</f>
        <v>#REF!</v>
      </c>
      <c r="H10" s="11" t="e">
        <f xml:space="preserve"> FCFF!J10</f>
        <v>#REF!</v>
      </c>
      <c r="I10" s="11" t="e">
        <f xml:space="preserve"> FCFF!K10</f>
        <v>#REF!</v>
      </c>
      <c r="J10" s="11" t="e">
        <f xml:space="preserve"> FCFF!L10</f>
        <v>#REF!</v>
      </c>
      <c r="K10" s="11" t="e">
        <f xml:space="preserve"> FCFF!M10</f>
        <v>#REF!</v>
      </c>
      <c r="L10" s="11" t="e">
        <f xml:space="preserve"> FCFF!N10</f>
        <v>#REF!</v>
      </c>
      <c r="M10" s="11" t="e">
        <f xml:space="preserve"> FCFF!O10</f>
        <v>#REF!</v>
      </c>
      <c r="N10" s="11" t="e">
        <f xml:space="preserve"> FCFF!P10</f>
        <v>#REF!</v>
      </c>
      <c r="O10" s="11" t="e">
        <f xml:space="preserve"> FCFF!Q10</f>
        <v>#REF!</v>
      </c>
      <c r="P10" s="11" t="e">
        <f xml:space="preserve"> FCFF!R10</f>
        <v>#REF!</v>
      </c>
      <c r="Q10" s="11" t="e">
        <f xml:space="preserve"> FCFF!S10</f>
        <v>#REF!</v>
      </c>
      <c r="R10" s="11" t="e">
        <f xml:space="preserve"> FCFF!T10</f>
        <v>#REF!</v>
      </c>
      <c r="S10" s="11" t="e">
        <f xml:space="preserve"> FCFF!U10</f>
        <v>#REF!</v>
      </c>
      <c r="T10" s="11" t="e">
        <f xml:space="preserve"> FCFF!V10</f>
        <v>#REF!</v>
      </c>
      <c r="U10" s="11" t="e">
        <f xml:space="preserve"> FCFF!W10</f>
        <v>#REF!</v>
      </c>
    </row>
    <row r="11" spans="1:21" s="7" customFormat="1">
      <c r="A11" s="7" t="s">
        <v>825</v>
      </c>
      <c r="G11" s="11">
        <f xml:space="preserve"> FCFF!I19</f>
        <v>0</v>
      </c>
      <c r="H11" s="11">
        <f xml:space="preserve"> FCFF!J19</f>
        <v>0</v>
      </c>
      <c r="I11" s="11">
        <f xml:space="preserve"> FCFF!K19</f>
        <v>0</v>
      </c>
      <c r="J11" s="11">
        <f xml:space="preserve"> FCFF!L19</f>
        <v>18.21</v>
      </c>
      <c r="K11" s="11">
        <f xml:space="preserve"> FCFF!M19</f>
        <v>18.21</v>
      </c>
      <c r="L11" s="11">
        <f xml:space="preserve"> FCFF!N19</f>
        <v>21.86</v>
      </c>
      <c r="M11" s="11">
        <f xml:space="preserve"> FCFF!O19</f>
        <v>25.5</v>
      </c>
      <c r="N11" s="11">
        <f xml:space="preserve"> FCFF!P19</f>
        <v>27.32</v>
      </c>
      <c r="O11" s="11">
        <f xml:space="preserve"> FCFF!Q19</f>
        <v>27.32</v>
      </c>
      <c r="P11" s="11">
        <f xml:space="preserve"> FCFF!R19</f>
        <v>27.32</v>
      </c>
      <c r="Q11" s="11">
        <f xml:space="preserve"> FCFF!S19</f>
        <v>27.32</v>
      </c>
      <c r="R11" s="11">
        <f xml:space="preserve"> FCFF!T19</f>
        <v>27.32</v>
      </c>
      <c r="S11" s="11">
        <f xml:space="preserve"> FCFF!U19</f>
        <v>27.32</v>
      </c>
      <c r="T11" s="11">
        <f xml:space="preserve"> FCFF!V19</f>
        <v>27.32</v>
      </c>
      <c r="U11" s="11">
        <f xml:space="preserve"> FCFF!W19</f>
        <v>27.32</v>
      </c>
    </row>
    <row r="12" spans="1:21" s="7" customFormat="1">
      <c r="A12" s="7" t="s">
        <v>826</v>
      </c>
      <c r="G12" s="11" t="e">
        <f xml:space="preserve"> G10 - G11</f>
        <v>#REF!</v>
      </c>
      <c r="H12" s="11" t="e">
        <f t="shared" ref="H12:U12" si="1" xml:space="preserve"> H10 - H11</f>
        <v>#REF!</v>
      </c>
      <c r="I12" s="11" t="e">
        <f t="shared" si="1"/>
        <v>#REF!</v>
      </c>
      <c r="J12" s="11" t="e">
        <f t="shared" si="1"/>
        <v>#REF!</v>
      </c>
      <c r="K12" s="11" t="e">
        <f t="shared" si="1"/>
        <v>#REF!</v>
      </c>
      <c r="L12" s="11" t="e">
        <f t="shared" si="1"/>
        <v>#REF!</v>
      </c>
      <c r="M12" s="11" t="e">
        <f t="shared" si="1"/>
        <v>#REF!</v>
      </c>
      <c r="N12" s="11" t="e">
        <f t="shared" si="1"/>
        <v>#REF!</v>
      </c>
      <c r="O12" s="11" t="e">
        <f t="shared" si="1"/>
        <v>#REF!</v>
      </c>
      <c r="P12" s="11" t="e">
        <f t="shared" si="1"/>
        <v>#REF!</v>
      </c>
      <c r="Q12" s="11" t="e">
        <f t="shared" si="1"/>
        <v>#REF!</v>
      </c>
      <c r="R12" s="11" t="e">
        <f t="shared" si="1"/>
        <v>#REF!</v>
      </c>
      <c r="S12" s="11" t="e">
        <f t="shared" si="1"/>
        <v>#REF!</v>
      </c>
      <c r="T12" s="11" t="e">
        <f t="shared" si="1"/>
        <v>#REF!</v>
      </c>
      <c r="U12" s="11" t="e">
        <f t="shared" si="1"/>
        <v>#REF!</v>
      </c>
    </row>
    <row r="13" spans="1:21" s="7" customFormat="1">
      <c r="A13" s="7" t="s">
        <v>827</v>
      </c>
      <c r="G13" s="11">
        <f xml:space="preserve"> 'FINANCIAL STATEMENTS'!I37</f>
        <v>18</v>
      </c>
      <c r="H13" s="11">
        <f xml:space="preserve"> 'FINANCIAL STATEMENTS'!J37</f>
        <v>18</v>
      </c>
      <c r="I13" s="11">
        <f xml:space="preserve"> 'FINANCIAL STATEMENTS'!K37</f>
        <v>18</v>
      </c>
      <c r="J13" s="11">
        <f xml:space="preserve"> 'FINANCIAL STATEMENTS'!L37</f>
        <v>18</v>
      </c>
      <c r="K13" s="11">
        <f xml:space="preserve"> 'FINANCIAL STATEMENTS'!M37</f>
        <v>17.16</v>
      </c>
      <c r="L13" s="11">
        <f xml:space="preserve"> 'FINANCIAL STATEMENTS'!N37</f>
        <v>16.23</v>
      </c>
      <c r="M13" s="11">
        <f xml:space="preserve"> 'FINANCIAL STATEMENTS'!O37</f>
        <v>15.21</v>
      </c>
      <c r="N13" s="11">
        <f xml:space="preserve"> 'FINANCIAL STATEMENTS'!P37</f>
        <v>14.09</v>
      </c>
      <c r="O13" s="11">
        <f xml:space="preserve"> 'FINANCIAL STATEMENTS'!Q37</f>
        <v>12.86</v>
      </c>
      <c r="P13" s="11">
        <f xml:space="preserve"> 'FINANCIAL STATEMENTS'!R37</f>
        <v>11.51</v>
      </c>
      <c r="Q13" s="11">
        <f xml:space="preserve"> 'FINANCIAL STATEMENTS'!S37</f>
        <v>10.01</v>
      </c>
      <c r="R13" s="11">
        <f xml:space="preserve"> 'FINANCIAL STATEMENTS'!T37</f>
        <v>8.3699999999999992</v>
      </c>
      <c r="S13" s="11">
        <f xml:space="preserve"> 'FINANCIAL STATEMENTS'!U37</f>
        <v>6.57</v>
      </c>
      <c r="T13" s="11">
        <f xml:space="preserve"> 'FINANCIAL STATEMENTS'!V37</f>
        <v>4.58</v>
      </c>
      <c r="U13" s="11">
        <f xml:space="preserve"> 'FINANCIAL STATEMENTS'!W37</f>
        <v>2.4</v>
      </c>
    </row>
    <row r="14" spans="1:21" s="7" customFormat="1">
      <c r="A14" s="7" t="s">
        <v>828</v>
      </c>
      <c r="G14" s="11">
        <f xml:space="preserve"> 'FINANCIAL STATEMENTS'!I40</f>
        <v>0</v>
      </c>
      <c r="H14" s="11">
        <f xml:space="preserve"> 'FINANCIAL STATEMENTS'!J40</f>
        <v>0</v>
      </c>
      <c r="I14" s="11">
        <f xml:space="preserve"> 'FINANCIAL STATEMENTS'!K40</f>
        <v>0</v>
      </c>
      <c r="J14" s="11">
        <f xml:space="preserve"> 'FINANCIAL STATEMENTS'!L40</f>
        <v>0</v>
      </c>
      <c r="K14" s="11">
        <f xml:space="preserve"> 'FINANCIAL STATEMENTS'!M40</f>
        <v>0</v>
      </c>
      <c r="L14" s="11">
        <f xml:space="preserve"> 'FINANCIAL STATEMENTS'!N40</f>
        <v>0</v>
      </c>
      <c r="M14" s="11">
        <f xml:space="preserve"> 'FINANCIAL STATEMENTS'!O40</f>
        <v>0</v>
      </c>
      <c r="N14" s="11" t="e">
        <f xml:space="preserve"> 'FINANCIAL STATEMENTS'!P40</f>
        <v>#REF!</v>
      </c>
      <c r="O14" s="11" t="e">
        <f xml:space="preserve"> 'FINANCIAL STATEMENTS'!Q40</f>
        <v>#REF!</v>
      </c>
      <c r="P14" s="11" t="e">
        <f xml:space="preserve"> 'FINANCIAL STATEMENTS'!R40</f>
        <v>#REF!</v>
      </c>
      <c r="Q14" s="11" t="e">
        <f xml:space="preserve"> 'FINANCIAL STATEMENTS'!S40</f>
        <v>#REF!</v>
      </c>
      <c r="R14" s="11" t="e">
        <f xml:space="preserve"> 'FINANCIAL STATEMENTS'!T40</f>
        <v>#REF!</v>
      </c>
      <c r="S14" s="11" t="e">
        <f xml:space="preserve"> 'FINANCIAL STATEMENTS'!U40</f>
        <v>#REF!</v>
      </c>
      <c r="T14" s="11" t="e">
        <f xml:space="preserve"> 'FINANCIAL STATEMENTS'!V40</f>
        <v>#REF!</v>
      </c>
      <c r="U14" s="11" t="e">
        <f xml:space="preserve"> 'FINANCIAL STATEMENTS'!W40</f>
        <v>#REF!</v>
      </c>
    </row>
    <row r="15" spans="1:21" ht="15" thickBot="1"/>
    <row r="16" spans="1:21" s="128" customFormat="1" ht="15.6" thickTop="1" thickBot="1">
      <c r="A16" s="128" t="s">
        <v>741</v>
      </c>
    </row>
    <row r="17" spans="1:21" s="131" customFormat="1" ht="18.600000000000001" thickTop="1">
      <c r="A17" s="131" t="s">
        <v>829</v>
      </c>
    </row>
    <row r="18" spans="1:21" s="3" customFormat="1">
      <c r="A18" s="3" t="s">
        <v>747</v>
      </c>
      <c r="G18" s="11">
        <f xml:space="preserve"> 'FINANCIAL STATEMENTS'!I49</f>
        <v>205.2</v>
      </c>
      <c r="H18" s="11">
        <f xml:space="preserve"> 'FINANCIAL STATEMENTS'!J49</f>
        <v>230.4</v>
      </c>
      <c r="I18" s="11">
        <f xml:space="preserve"> 'FINANCIAL STATEMENTS'!K49</f>
        <v>255.59</v>
      </c>
      <c r="J18" s="11">
        <f xml:space="preserve"> 'FINANCIAL STATEMENTS'!L49</f>
        <v>312.45999999999998</v>
      </c>
      <c r="K18" s="11">
        <f xml:space="preserve"> 'FINANCIAL STATEMENTS'!M49</f>
        <v>379.65</v>
      </c>
      <c r="L18" s="11">
        <f xml:space="preserve"> 'FINANCIAL STATEMENTS'!N49</f>
        <v>451.87</v>
      </c>
      <c r="M18" s="11">
        <f xml:space="preserve"> 'FINANCIAL STATEMENTS'!O49</f>
        <v>532.04</v>
      </c>
      <c r="N18" s="11">
        <f xml:space="preserve"> 'FINANCIAL STATEMENTS'!P49</f>
        <v>617.77</v>
      </c>
      <c r="O18" s="11">
        <f xml:space="preserve"> 'FINANCIAL STATEMENTS'!Q49</f>
        <v>698.49</v>
      </c>
      <c r="P18" s="11">
        <f xml:space="preserve"> 'FINANCIAL STATEMENTS'!R49</f>
        <v>789.38</v>
      </c>
      <c r="Q18" s="11">
        <f xml:space="preserve"> 'FINANCIAL STATEMENTS'!S49</f>
        <v>894.68</v>
      </c>
      <c r="R18" s="11">
        <f xml:space="preserve"> 'FINANCIAL STATEMENTS'!T49</f>
        <v>1007.77</v>
      </c>
      <c r="S18" s="11">
        <f xml:space="preserve"> 'FINANCIAL STATEMENTS'!U49</f>
        <v>1129.69</v>
      </c>
      <c r="T18" s="11">
        <f xml:space="preserve"> 'FINANCIAL STATEMENTS'!V49</f>
        <v>1259.98</v>
      </c>
      <c r="U18" s="11">
        <f xml:space="preserve"> 'FINANCIAL STATEMENTS'!W49</f>
        <v>1425.5</v>
      </c>
    </row>
    <row r="19" spans="1:21" s="3" customFormat="1">
      <c r="A19" s="3" t="s">
        <v>374</v>
      </c>
      <c r="G19" s="11">
        <f xml:space="preserve"> 'FINANCIAL STATEMENTS'!I50</f>
        <v>0</v>
      </c>
      <c r="H19" s="11">
        <f xml:space="preserve"> 'FINANCIAL STATEMENTS'!J50</f>
        <v>0</v>
      </c>
      <c r="I19" s="11">
        <f xml:space="preserve"> 'FINANCIAL STATEMENTS'!K50</f>
        <v>0</v>
      </c>
      <c r="J19" s="11">
        <f xml:space="preserve"> 'FINANCIAL STATEMENTS'!L50</f>
        <v>20.12</v>
      </c>
      <c r="K19" s="11">
        <f xml:space="preserve"> 'FINANCIAL STATEMENTS'!M50</f>
        <v>21.7</v>
      </c>
      <c r="L19" s="11">
        <f xml:space="preserve"> 'FINANCIAL STATEMENTS'!N50</f>
        <v>38.26</v>
      </c>
      <c r="M19" s="11">
        <f xml:space="preserve"> 'FINANCIAL STATEMENTS'!O50</f>
        <v>61.73</v>
      </c>
      <c r="N19" s="11">
        <f xml:space="preserve"> 'FINANCIAL STATEMENTS'!P50</f>
        <v>93.97</v>
      </c>
      <c r="O19" s="11">
        <f xml:space="preserve"> 'FINANCIAL STATEMENTS'!Q50</f>
        <v>137.30000000000001</v>
      </c>
      <c r="P19" s="11">
        <f xml:space="preserve"> 'FINANCIAL STATEMENTS'!R50</f>
        <v>199.41</v>
      </c>
      <c r="Q19" s="11">
        <f xml:space="preserve"> 'FINANCIAL STATEMENTS'!S50</f>
        <v>281.67</v>
      </c>
      <c r="R19" s="11">
        <f xml:space="preserve"> 'FINANCIAL STATEMENTS'!T50</f>
        <v>386.06</v>
      </c>
      <c r="S19" s="11">
        <f xml:space="preserve"> 'FINANCIAL STATEMENTS'!U50</f>
        <v>520.37</v>
      </c>
      <c r="T19" s="11">
        <f xml:space="preserve"> 'FINANCIAL STATEMENTS'!V50</f>
        <v>691.59</v>
      </c>
      <c r="U19" s="11">
        <f xml:space="preserve"> 'FINANCIAL STATEMENTS'!W50</f>
        <v>908.66</v>
      </c>
    </row>
    <row r="20" spans="1:21" s="3" customFormat="1">
      <c r="A20" s="3" t="s">
        <v>830</v>
      </c>
      <c r="G20" s="11">
        <f xml:space="preserve"> 'FINANCIAL STATEMENTS'!I51</f>
        <v>15.12</v>
      </c>
      <c r="H20" s="11">
        <f xml:space="preserve"> 'FINANCIAL STATEMENTS'!J51</f>
        <v>13.6</v>
      </c>
      <c r="I20" s="11">
        <f xml:space="preserve"> 'FINANCIAL STATEMENTS'!K51</f>
        <v>13.72</v>
      </c>
      <c r="J20" s="11">
        <f xml:space="preserve"> 'FINANCIAL STATEMENTS'!L51</f>
        <v>6.04</v>
      </c>
      <c r="K20" s="11">
        <f xml:space="preserve"> 'FINANCIAL STATEMENTS'!M51</f>
        <v>6.51</v>
      </c>
      <c r="L20" s="11">
        <f xml:space="preserve"> 'FINANCIAL STATEMENTS'!N51</f>
        <v>11.48</v>
      </c>
      <c r="M20" s="11">
        <f xml:space="preserve"> 'FINANCIAL STATEMENTS'!O51</f>
        <v>18.52</v>
      </c>
      <c r="N20" s="11">
        <f xml:space="preserve"> 'FINANCIAL STATEMENTS'!P51</f>
        <v>28.19</v>
      </c>
      <c r="O20" s="11">
        <f xml:space="preserve"> 'FINANCIAL STATEMENTS'!Q51</f>
        <v>41.19</v>
      </c>
      <c r="P20" s="11">
        <f xml:space="preserve"> 'FINANCIAL STATEMENTS'!R51</f>
        <v>59.82</v>
      </c>
      <c r="Q20" s="11">
        <f xml:space="preserve"> 'FINANCIAL STATEMENTS'!S51</f>
        <v>84.5</v>
      </c>
      <c r="R20" s="11">
        <f xml:space="preserve"> 'FINANCIAL STATEMENTS'!T51</f>
        <v>115.82</v>
      </c>
      <c r="S20" s="11">
        <f xml:space="preserve"> 'FINANCIAL STATEMENTS'!U51</f>
        <v>156.11000000000001</v>
      </c>
      <c r="T20" s="11">
        <f xml:space="preserve"> 'FINANCIAL STATEMENTS'!V51</f>
        <v>207.48</v>
      </c>
      <c r="U20" s="11">
        <f xml:space="preserve"> 'FINANCIAL STATEMENTS'!W51</f>
        <v>272.60000000000002</v>
      </c>
    </row>
    <row r="21" spans="1:21" s="3" customFormat="1" ht="15" thickBot="1">
      <c r="A21" s="3" t="s">
        <v>831</v>
      </c>
      <c r="G21" s="11">
        <f xml:space="preserve"> 'FINANCIAL STATEMENTS'!I52</f>
        <v>35.28</v>
      </c>
      <c r="H21" s="11">
        <f xml:space="preserve"> 'FINANCIAL STATEMENTS'!J52</f>
        <v>31.76</v>
      </c>
      <c r="I21" s="11">
        <f xml:space="preserve"> 'FINANCIAL STATEMENTS'!K52</f>
        <v>31.99</v>
      </c>
      <c r="J21" s="11">
        <f xml:space="preserve"> 'FINANCIAL STATEMENTS'!L52</f>
        <v>14.08</v>
      </c>
      <c r="K21" s="11">
        <f xml:space="preserve"> 'FINANCIAL STATEMENTS'!M52</f>
        <v>15.2</v>
      </c>
      <c r="L21" s="11">
        <f xml:space="preserve"> 'FINANCIAL STATEMENTS'!N52</f>
        <v>26.78</v>
      </c>
      <c r="M21" s="11">
        <f xml:space="preserve"> 'FINANCIAL STATEMENTS'!O52</f>
        <v>43.21</v>
      </c>
      <c r="N21" s="11">
        <f xml:space="preserve"> 'FINANCIAL STATEMENTS'!P52</f>
        <v>65.77</v>
      </c>
      <c r="O21" s="11">
        <f xml:space="preserve"> 'FINANCIAL STATEMENTS'!Q52</f>
        <v>96.11</v>
      </c>
      <c r="P21" s="11">
        <f xml:space="preserve"> 'FINANCIAL STATEMENTS'!R52</f>
        <v>139.58000000000001</v>
      </c>
      <c r="Q21" s="11">
        <f xml:space="preserve"> 'FINANCIAL STATEMENTS'!S52</f>
        <v>197.16</v>
      </c>
      <c r="R21" s="11">
        <f xml:space="preserve"> 'FINANCIAL STATEMENTS'!T52</f>
        <v>270.24</v>
      </c>
      <c r="S21" s="11">
        <f xml:space="preserve"> 'FINANCIAL STATEMENTS'!U52</f>
        <v>364.26</v>
      </c>
      <c r="T21" s="11">
        <f xml:space="preserve"> 'FINANCIAL STATEMENTS'!V52</f>
        <v>484.11</v>
      </c>
      <c r="U21" s="11">
        <f xml:space="preserve"> 'FINANCIAL STATEMENTS'!W52</f>
        <v>636.07000000000005</v>
      </c>
    </row>
    <row r="22" spans="1:21" s="128" customFormat="1" ht="15.6" thickTop="1" thickBot="1">
      <c r="A22" s="128" t="s">
        <v>832</v>
      </c>
      <c r="G22" s="133">
        <f xml:space="preserve"> 'FINANCIAL STATEMENTS'!I54</f>
        <v>255.6</v>
      </c>
      <c r="H22" s="133">
        <f xml:space="preserve"> 'FINANCIAL STATEMENTS'!J54</f>
        <v>275.76</v>
      </c>
      <c r="I22" s="133">
        <f xml:space="preserve"> 'FINANCIAL STATEMENTS'!K54</f>
        <v>301.3</v>
      </c>
      <c r="J22" s="133">
        <f xml:space="preserve"> 'FINANCIAL STATEMENTS'!L54</f>
        <v>352.7</v>
      </c>
      <c r="K22" s="133">
        <f xml:space="preserve"> 'FINANCIAL STATEMENTS'!M54</f>
        <v>423.05999999999995</v>
      </c>
      <c r="L22" s="133">
        <f xml:space="preserve"> 'FINANCIAL STATEMENTS'!N54</f>
        <v>528.39</v>
      </c>
      <c r="M22" s="133">
        <f xml:space="preserve"> 'FINANCIAL STATEMENTS'!O54</f>
        <v>655.5</v>
      </c>
      <c r="N22" s="133">
        <f xml:space="preserve"> 'FINANCIAL STATEMENTS'!P54</f>
        <v>805.7</v>
      </c>
      <c r="O22" s="133">
        <f xml:space="preserve"> 'FINANCIAL STATEMENTS'!Q54</f>
        <v>973.09</v>
      </c>
      <c r="P22" s="133">
        <f xml:space="preserve"> 'FINANCIAL STATEMENTS'!R54</f>
        <v>1188.19</v>
      </c>
      <c r="Q22" s="133">
        <f xml:space="preserve"> 'FINANCIAL STATEMENTS'!S54</f>
        <v>1458.01</v>
      </c>
      <c r="R22" s="133">
        <f xml:space="preserve"> 'FINANCIAL STATEMENTS'!T54</f>
        <v>1779.8899999999999</v>
      </c>
      <c r="S22" s="133">
        <f xml:space="preserve"> 'FINANCIAL STATEMENTS'!U54</f>
        <v>2170.4300000000003</v>
      </c>
      <c r="T22" s="133">
        <f xml:space="preserve"> 'FINANCIAL STATEMENTS'!V54</f>
        <v>2643.16</v>
      </c>
      <c r="U22" s="133">
        <f xml:space="preserve"> 'FINANCIAL STATEMENTS'!W54</f>
        <v>3242.83</v>
      </c>
    </row>
    <row r="23" spans="1:21" s="3" customFormat="1" ht="15" thickTop="1">
      <c r="A23" s="3" t="s">
        <v>833</v>
      </c>
      <c r="G23" s="11">
        <f xml:space="preserve"> 'FINANCIAL STATEMENTS'!I59</f>
        <v>198</v>
      </c>
      <c r="H23" s="11">
        <f xml:space="preserve"> 'FINANCIAL STATEMENTS'!J59</f>
        <v>198</v>
      </c>
      <c r="I23" s="11">
        <f xml:space="preserve"> 'FINANCIAL STATEMENTS'!K59</f>
        <v>198</v>
      </c>
      <c r="J23" s="11">
        <f xml:space="preserve"> 'FINANCIAL STATEMENTS'!L59</f>
        <v>198</v>
      </c>
      <c r="K23" s="11">
        <f xml:space="preserve"> 'FINANCIAL STATEMENTS'!M59</f>
        <v>188.74086361014312</v>
      </c>
      <c r="L23" s="11">
        <f xml:space="preserve"> 'FINANCIAL STATEMENTS'!N59</f>
        <v>178.55581358130055</v>
      </c>
      <c r="M23" s="11">
        <f xml:space="preserve"> 'FINANCIAL STATEMENTS'!O59</f>
        <v>167.35225854957372</v>
      </c>
      <c r="N23" s="11">
        <f xml:space="preserve"> 'FINANCIAL STATEMENTS'!P59</f>
        <v>155.02834801467421</v>
      </c>
      <c r="O23" s="11">
        <f xml:space="preserve"> 'FINANCIAL STATEMENTS'!Q59</f>
        <v>141.47204642628475</v>
      </c>
      <c r="P23" s="11">
        <f xml:space="preserve"> 'FINANCIAL STATEMENTS'!R59</f>
        <v>126.56011467905631</v>
      </c>
      <c r="Q23" s="11">
        <f xml:space="preserve"> 'FINANCIAL STATEMENTS'!S59</f>
        <v>110.15698975710505</v>
      </c>
      <c r="R23" s="11">
        <f xml:space="preserve"> 'FINANCIAL STATEMENTS'!T59</f>
        <v>92.11355234295867</v>
      </c>
      <c r="S23" s="11">
        <f xml:space="preserve"> 'FINANCIAL STATEMENTS'!U59</f>
        <v>72.265771187397647</v>
      </c>
      <c r="T23" s="11">
        <f xml:space="preserve"> 'FINANCIAL STATEMENTS'!V59</f>
        <v>50.43321191628052</v>
      </c>
      <c r="U23" s="11">
        <f xml:space="preserve"> 'FINANCIAL STATEMENTS'!W59</f>
        <v>26.41739671805168</v>
      </c>
    </row>
    <row r="24" spans="1:21" s="3" customFormat="1">
      <c r="A24" s="3" t="s">
        <v>834</v>
      </c>
      <c r="G24" s="11">
        <f xml:space="preserve"> 'FINANCIAL STATEMENTS'!I63</f>
        <v>0</v>
      </c>
      <c r="H24" s="11">
        <f xml:space="preserve"> 'FINANCIAL STATEMENTS'!J63</f>
        <v>38.159999999999897</v>
      </c>
      <c r="I24" s="11">
        <f xml:space="preserve"> 'FINANCIAL STATEMENTS'!K63</f>
        <v>81.7</v>
      </c>
      <c r="J24" s="11">
        <f xml:space="preserve"> 'FINANCIAL STATEMENTS'!L63</f>
        <v>180.14325159999999</v>
      </c>
      <c r="K24" s="11">
        <f xml:space="preserve"> 'FINANCIAL STATEMENTS'!M63</f>
        <v>292.8560162</v>
      </c>
      <c r="L24" s="11">
        <f xml:space="preserve"> 'FINANCIAL STATEMENTS'!N63</f>
        <v>400.77472049999898</v>
      </c>
      <c r="M24" s="11">
        <f xml:space="preserve"> 'FINANCIAL STATEMENTS'!O63</f>
        <v>494.84267350000005</v>
      </c>
      <c r="N24" s="11" t="e">
        <f xml:space="preserve"> 'FINANCIAL STATEMENTS'!P63</f>
        <v>#REF!</v>
      </c>
      <c r="O24" s="11" t="e">
        <f xml:space="preserve"> 'FINANCIAL STATEMENTS'!Q63</f>
        <v>#REF!</v>
      </c>
      <c r="P24" s="11" t="e">
        <f xml:space="preserve"> 'FINANCIAL STATEMENTS'!R63</f>
        <v>#REF!</v>
      </c>
      <c r="Q24" s="11" t="e">
        <f xml:space="preserve"> 'FINANCIAL STATEMENTS'!S63</f>
        <v>#REF!</v>
      </c>
      <c r="R24" s="11" t="e">
        <f xml:space="preserve"> 'FINANCIAL STATEMENTS'!T63</f>
        <v>#REF!</v>
      </c>
      <c r="S24" s="11" t="e">
        <f xml:space="preserve"> 'FINANCIAL STATEMENTS'!U63</f>
        <v>#REF!</v>
      </c>
      <c r="T24" s="11" t="e">
        <f xml:space="preserve"> 'FINANCIAL STATEMENTS'!V63</f>
        <v>#REF!</v>
      </c>
      <c r="U24" s="11" t="e">
        <f xml:space="preserve"> 'FINANCIAL STATEMENTS'!W63</f>
        <v>#REF!</v>
      </c>
    </row>
    <row r="25" spans="1:21" s="3" customFormat="1" ht="15" thickBot="1">
      <c r="A25" s="3" t="s">
        <v>835</v>
      </c>
      <c r="G25" s="11" t="e">
        <f xml:space="preserve"> 'FINANCIAL STATEMENTS'!I67</f>
        <v>#REF!</v>
      </c>
      <c r="H25" s="11" t="e">
        <f xml:space="preserve"> 'FINANCIAL STATEMENTS'!J67</f>
        <v>#REF!</v>
      </c>
      <c r="I25" s="11" t="e">
        <f xml:space="preserve"> 'FINANCIAL STATEMENTS'!K67</f>
        <v>#REF!</v>
      </c>
      <c r="J25" s="11" t="e">
        <f xml:space="preserve"> 'FINANCIAL STATEMENTS'!L67</f>
        <v>#REF!</v>
      </c>
      <c r="K25" s="11" t="e">
        <f xml:space="preserve"> 'FINANCIAL STATEMENTS'!M67</f>
        <v>#REF!</v>
      </c>
      <c r="L25" s="11" t="e">
        <f xml:space="preserve"> 'FINANCIAL STATEMENTS'!N67</f>
        <v>#REF!</v>
      </c>
      <c r="M25" s="11" t="e">
        <f xml:space="preserve"> 'FINANCIAL STATEMENTS'!O67</f>
        <v>#REF!</v>
      </c>
      <c r="N25" s="11" t="e">
        <f xml:space="preserve"> 'FINANCIAL STATEMENTS'!P67</f>
        <v>#REF!</v>
      </c>
      <c r="O25" s="11" t="e">
        <f xml:space="preserve"> 'FINANCIAL STATEMENTS'!Q67</f>
        <v>#REF!</v>
      </c>
      <c r="P25" s="11" t="e">
        <f xml:space="preserve"> 'FINANCIAL STATEMENTS'!R67</f>
        <v>#REF!</v>
      </c>
      <c r="Q25" s="11" t="e">
        <f xml:space="preserve"> 'FINANCIAL STATEMENTS'!S67</f>
        <v>#REF!</v>
      </c>
      <c r="R25" s="11" t="e">
        <f xml:space="preserve"> 'FINANCIAL STATEMENTS'!T67</f>
        <v>#REF!</v>
      </c>
      <c r="S25" s="11" t="e">
        <f xml:space="preserve"> 'FINANCIAL STATEMENTS'!U67</f>
        <v>#REF!</v>
      </c>
      <c r="T25" s="11" t="e">
        <f xml:space="preserve"> 'FINANCIAL STATEMENTS'!V67</f>
        <v>#REF!</v>
      </c>
      <c r="U25" s="11" t="e">
        <f xml:space="preserve"> 'FINANCIAL STATEMENTS'!W67</f>
        <v>#REF!</v>
      </c>
    </row>
    <row r="26" spans="1:21" s="128" customFormat="1" ht="15.6" thickTop="1" thickBot="1">
      <c r="A26" s="128" t="s">
        <v>836</v>
      </c>
      <c r="G26" s="133" t="e">
        <f xml:space="preserve">  'FINANCIAL STATEMENTS'!I68</f>
        <v>#REF!</v>
      </c>
      <c r="H26" s="133" t="e">
        <f xml:space="preserve">  'FINANCIAL STATEMENTS'!J68</f>
        <v>#REF!</v>
      </c>
      <c r="I26" s="133" t="e">
        <f xml:space="preserve">  'FINANCIAL STATEMENTS'!K68</f>
        <v>#REF!</v>
      </c>
      <c r="J26" s="133" t="e">
        <f xml:space="preserve">  'FINANCIAL STATEMENTS'!L68</f>
        <v>#REF!</v>
      </c>
      <c r="K26" s="133" t="e">
        <f xml:space="preserve">  'FINANCIAL STATEMENTS'!M68</f>
        <v>#REF!</v>
      </c>
      <c r="L26" s="133" t="e">
        <f xml:space="preserve">  'FINANCIAL STATEMENTS'!N68</f>
        <v>#REF!</v>
      </c>
      <c r="M26" s="133" t="e">
        <f xml:space="preserve">  'FINANCIAL STATEMENTS'!O68</f>
        <v>#REF!</v>
      </c>
      <c r="N26" s="133" t="e">
        <f xml:space="preserve">  'FINANCIAL STATEMENTS'!P68</f>
        <v>#REF!</v>
      </c>
      <c r="O26" s="133" t="e">
        <f xml:space="preserve">  'FINANCIAL STATEMENTS'!Q68</f>
        <v>#REF!</v>
      </c>
      <c r="P26" s="133" t="e">
        <f xml:space="preserve">  'FINANCIAL STATEMENTS'!R68</f>
        <v>#REF!</v>
      </c>
      <c r="Q26" s="133" t="e">
        <f xml:space="preserve">  'FINANCIAL STATEMENTS'!S68</f>
        <v>#REF!</v>
      </c>
      <c r="R26" s="133" t="e">
        <f xml:space="preserve">  'FINANCIAL STATEMENTS'!T68</f>
        <v>#REF!</v>
      </c>
      <c r="S26" s="133" t="e">
        <f xml:space="preserve">  'FINANCIAL STATEMENTS'!U68</f>
        <v>#REF!</v>
      </c>
      <c r="T26" s="133" t="e">
        <f xml:space="preserve">  'FINANCIAL STATEMENTS'!V68</f>
        <v>#REF!</v>
      </c>
      <c r="U26" s="133" t="e">
        <f xml:space="preserve">  'FINANCIAL STATEMENTS'!W68</f>
        <v>#REF!</v>
      </c>
    </row>
    <row r="27" spans="1:21" ht="15" thickTop="1"/>
    <row r="28" spans="1:21" s="134" customFormat="1" ht="18">
      <c r="A28" s="134" t="s">
        <v>837</v>
      </c>
    </row>
    <row r="29" spans="1:21" s="3" customFormat="1">
      <c r="A29" s="3" t="s">
        <v>778</v>
      </c>
      <c r="G29" s="11" t="e">
        <f xml:space="preserve"> 'FINANCIAL STATEMENTS'!I82</f>
        <v>#REF!</v>
      </c>
      <c r="H29" s="11" t="e">
        <f xml:space="preserve"> 'FINANCIAL STATEMENTS'!J82</f>
        <v>#REF!</v>
      </c>
      <c r="I29" s="11" t="e">
        <f xml:space="preserve"> 'FINANCIAL STATEMENTS'!K82</f>
        <v>#REF!</v>
      </c>
      <c r="J29" s="11" t="e">
        <f xml:space="preserve"> 'FINANCIAL STATEMENTS'!L82</f>
        <v>#REF!</v>
      </c>
      <c r="K29" s="11" t="e">
        <f xml:space="preserve"> 'FINANCIAL STATEMENTS'!M82</f>
        <v>#REF!</v>
      </c>
      <c r="L29" s="11" t="e">
        <f xml:space="preserve"> 'FINANCIAL STATEMENTS'!N82</f>
        <v>#REF!</v>
      </c>
      <c r="M29" s="11" t="e">
        <f xml:space="preserve"> 'FINANCIAL STATEMENTS'!O82</f>
        <v>#REF!</v>
      </c>
      <c r="N29" s="11" t="e">
        <f xml:space="preserve"> 'FINANCIAL STATEMENTS'!P82</f>
        <v>#REF!</v>
      </c>
      <c r="O29" s="11" t="e">
        <f xml:space="preserve"> 'FINANCIAL STATEMENTS'!Q82</f>
        <v>#REF!</v>
      </c>
      <c r="P29" s="11" t="e">
        <f xml:space="preserve"> 'FINANCIAL STATEMENTS'!R82</f>
        <v>#REF!</v>
      </c>
      <c r="Q29" s="11" t="e">
        <f xml:space="preserve"> 'FINANCIAL STATEMENTS'!S82</f>
        <v>#REF!</v>
      </c>
      <c r="R29" s="11" t="e">
        <f xml:space="preserve"> 'FINANCIAL STATEMENTS'!T82</f>
        <v>#REF!</v>
      </c>
      <c r="S29" s="11" t="e">
        <f xml:space="preserve"> 'FINANCIAL STATEMENTS'!U82</f>
        <v>#REF!</v>
      </c>
      <c r="T29" s="11" t="e">
        <f xml:space="preserve"> 'FINANCIAL STATEMENTS'!V82</f>
        <v>#REF!</v>
      </c>
      <c r="U29" s="11" t="e">
        <f xml:space="preserve"> 'FINANCIAL STATEMENTS'!W82</f>
        <v>#REF!</v>
      </c>
    </row>
    <row r="30" spans="1:21" s="3" customFormat="1">
      <c r="A30" s="3" t="s">
        <v>780</v>
      </c>
      <c r="G30" s="11">
        <f xml:space="preserve"> 'FINANCIAL STATEMENTS'!I84</f>
        <v>7.5</v>
      </c>
      <c r="H30" s="11">
        <f xml:space="preserve"> 'FINANCIAL STATEMENTS'!J84</f>
        <v>7.5</v>
      </c>
      <c r="I30" s="11">
        <f xml:space="preserve"> 'FINANCIAL STATEMENTS'!K84</f>
        <v>7.5</v>
      </c>
      <c r="J30" s="11">
        <f xml:space="preserve"> 'FINANCIAL STATEMENTS'!L84</f>
        <v>0</v>
      </c>
      <c r="K30" s="11">
        <f xml:space="preserve"> 'FINANCIAL STATEMENTS'!M84</f>
        <v>0</v>
      </c>
      <c r="L30" s="11">
        <f xml:space="preserve"> 'FINANCIAL STATEMENTS'!N84</f>
        <v>95</v>
      </c>
      <c r="M30" s="11">
        <f xml:space="preserve"> 'FINANCIAL STATEMENTS'!O84</f>
        <v>48</v>
      </c>
      <c r="N30" s="11">
        <f xml:space="preserve"> 'FINANCIAL STATEMENTS'!P84</f>
        <v>15</v>
      </c>
      <c r="O30" s="11">
        <f xml:space="preserve"> 'FINANCIAL STATEMENTS'!Q84</f>
        <v>0</v>
      </c>
      <c r="P30" s="11">
        <f xml:space="preserve"> 'FINANCIAL STATEMENTS'!R84</f>
        <v>0</v>
      </c>
      <c r="Q30" s="11">
        <f xml:space="preserve"> 'FINANCIAL STATEMENTS'!S84</f>
        <v>0</v>
      </c>
      <c r="R30" s="11">
        <f xml:space="preserve"> 'FINANCIAL STATEMENTS'!T84</f>
        <v>0</v>
      </c>
      <c r="S30" s="11">
        <f xml:space="preserve"> 'FINANCIAL STATEMENTS'!U84</f>
        <v>0</v>
      </c>
      <c r="T30" s="11">
        <f xml:space="preserve"> 'FINANCIAL STATEMENTS'!V84</f>
        <v>0</v>
      </c>
      <c r="U30" s="11">
        <f xml:space="preserve"> 'FINANCIAL STATEMENTS'!W84</f>
        <v>0</v>
      </c>
    </row>
    <row r="31" spans="1:21" s="3" customFormat="1">
      <c r="A31" s="3" t="s">
        <v>785</v>
      </c>
      <c r="G31" s="11">
        <f xml:space="preserve"> 'FINANCIAL STATEMENTS'!I89</f>
        <v>-36</v>
      </c>
      <c r="H31" s="11">
        <f xml:space="preserve"> 'FINANCIAL STATEMENTS'!J89</f>
        <v>-36</v>
      </c>
      <c r="I31" s="11">
        <f xml:space="preserve"> 'FINANCIAL STATEMENTS'!K89</f>
        <v>-36</v>
      </c>
      <c r="J31" s="11">
        <f xml:space="preserve"> 'FINANCIAL STATEMENTS'!L89</f>
        <v>-44.41739671805172</v>
      </c>
      <c r="K31" s="11">
        <f xml:space="preserve"> 'FINANCIAL STATEMENTS'!M89</f>
        <v>-43.577396718051716</v>
      </c>
      <c r="L31" s="11">
        <f xml:space="preserve"> 'FINANCIAL STATEMENTS'!N89</f>
        <v>-42.647396718051723</v>
      </c>
      <c r="M31" s="11">
        <f xml:space="preserve"> 'FINANCIAL STATEMENTS'!O89</f>
        <v>-41.62739671805172</v>
      </c>
      <c r="N31" s="11">
        <f xml:space="preserve"> 'FINANCIAL STATEMENTS'!P89</f>
        <v>-40.507396718051723</v>
      </c>
      <c r="O31" s="11">
        <f xml:space="preserve"> 'FINANCIAL STATEMENTS'!Q89</f>
        <v>-39.277396718051719</v>
      </c>
      <c r="P31" s="11">
        <f xml:space="preserve"> 'FINANCIAL STATEMENTS'!R89</f>
        <v>-37.927396718051718</v>
      </c>
      <c r="Q31" s="11">
        <f xml:space="preserve"> 'FINANCIAL STATEMENTS'!S89</f>
        <v>-36.427396718051718</v>
      </c>
      <c r="R31" s="11">
        <f xml:space="preserve"> 'FINANCIAL STATEMENTS'!T89</f>
        <v>-34.787396718051717</v>
      </c>
      <c r="S31" s="11">
        <f xml:space="preserve"> 'FINANCIAL STATEMENTS'!U89</f>
        <v>-32.98739671805172</v>
      </c>
      <c r="T31" s="11">
        <f xml:space="preserve"> 'FINANCIAL STATEMENTS'!V89</f>
        <v>-30.997396718051718</v>
      </c>
      <c r="U31" s="11">
        <f xml:space="preserve"> 'FINANCIAL STATEMENTS'!W89</f>
        <v>-28.817396718051718</v>
      </c>
    </row>
    <row r="32" spans="1:21" s="3" customFormat="1" ht="15" thickBot="1">
      <c r="A32" s="3" t="s">
        <v>838</v>
      </c>
      <c r="G32" s="11" t="e">
        <f xml:space="preserve"> 'FINANCIAL STATEMENTS'!I90</f>
        <v>#REF!</v>
      </c>
      <c r="H32" s="11" t="e">
        <f xml:space="preserve"> 'FINANCIAL STATEMENTS'!J90</f>
        <v>#REF!</v>
      </c>
      <c r="I32" s="11" t="e">
        <f xml:space="preserve"> 'FINANCIAL STATEMENTS'!K90</f>
        <v>#REF!</v>
      </c>
      <c r="J32" s="11" t="e">
        <f xml:space="preserve"> 'FINANCIAL STATEMENTS'!L90</f>
        <v>#REF!</v>
      </c>
      <c r="K32" s="11" t="e">
        <f xml:space="preserve"> 'FINANCIAL STATEMENTS'!M90</f>
        <v>#REF!</v>
      </c>
      <c r="L32" s="11" t="e">
        <f xml:space="preserve"> 'FINANCIAL STATEMENTS'!N90</f>
        <v>#REF!</v>
      </c>
      <c r="M32" s="11" t="e">
        <f xml:space="preserve"> 'FINANCIAL STATEMENTS'!O90</f>
        <v>#REF!</v>
      </c>
      <c r="N32" s="11" t="e">
        <f xml:space="preserve"> 'FINANCIAL STATEMENTS'!P90</f>
        <v>#REF!</v>
      </c>
      <c r="O32" s="11" t="e">
        <f xml:space="preserve"> 'FINANCIAL STATEMENTS'!Q90</f>
        <v>#REF!</v>
      </c>
      <c r="P32" s="11" t="e">
        <f xml:space="preserve"> 'FINANCIAL STATEMENTS'!R90</f>
        <v>#REF!</v>
      </c>
      <c r="Q32" s="11" t="e">
        <f xml:space="preserve"> 'FINANCIAL STATEMENTS'!S90</f>
        <v>#REF!</v>
      </c>
      <c r="R32" s="11" t="e">
        <f xml:space="preserve"> 'FINANCIAL STATEMENTS'!T90</f>
        <v>#REF!</v>
      </c>
      <c r="S32" s="11" t="e">
        <f xml:space="preserve"> 'FINANCIAL STATEMENTS'!U90</f>
        <v>#REF!</v>
      </c>
      <c r="T32" s="11" t="e">
        <f xml:space="preserve"> 'FINANCIAL STATEMENTS'!V90</f>
        <v>#REF!</v>
      </c>
      <c r="U32" s="11" t="e">
        <f xml:space="preserve"> 'FINANCIAL STATEMENTS'!W90</f>
        <v>#REF!</v>
      </c>
    </row>
    <row r="33" spans="1:21" s="128" customFormat="1" ht="15.6" thickTop="1" thickBot="1">
      <c r="A33" s="128" t="s">
        <v>839</v>
      </c>
      <c r="G33" s="133" t="e">
        <f xml:space="preserve"> FCFF!I28</f>
        <v>#REF!</v>
      </c>
      <c r="H33" s="133" t="e">
        <f xml:space="preserve"> FCFF!J28</f>
        <v>#REF!</v>
      </c>
      <c r="I33" s="133" t="e">
        <f xml:space="preserve"> FCFF!K28</f>
        <v>#REF!</v>
      </c>
      <c r="J33" s="133" t="e">
        <f xml:space="preserve"> FCFF!L28</f>
        <v>#REF!</v>
      </c>
      <c r="K33" s="133" t="e">
        <f xml:space="preserve"> FCFF!M28</f>
        <v>#REF!</v>
      </c>
      <c r="L33" s="133" t="e">
        <f xml:space="preserve"> FCFF!N28</f>
        <v>#REF!</v>
      </c>
      <c r="M33" s="133" t="e">
        <f xml:space="preserve"> FCFF!O28</f>
        <v>#REF!</v>
      </c>
      <c r="N33" s="133" t="e">
        <f xml:space="preserve"> FCFF!P28</f>
        <v>#REF!</v>
      </c>
      <c r="O33" s="133" t="e">
        <f xml:space="preserve"> FCFF!Q28</f>
        <v>#REF!</v>
      </c>
      <c r="P33" s="133" t="e">
        <f xml:space="preserve"> FCFF!R28</f>
        <v>#REF!</v>
      </c>
      <c r="Q33" s="133" t="e">
        <f xml:space="preserve"> FCFF!S28</f>
        <v>#REF!</v>
      </c>
      <c r="R33" s="133" t="e">
        <f xml:space="preserve"> FCFF!T28</f>
        <v>#REF!</v>
      </c>
      <c r="S33" s="133" t="e">
        <f xml:space="preserve"> FCFF!U28</f>
        <v>#REF!</v>
      </c>
      <c r="T33" s="133" t="e">
        <f xml:space="preserve"> FCFF!V28</f>
        <v>#REF!</v>
      </c>
      <c r="U33" s="133" t="e">
        <f xml:space="preserve"> FCFF!W28</f>
        <v>#REF!</v>
      </c>
    </row>
    <row r="34" spans="1:21" s="3" customFormat="1" ht="15" thickTop="1">
      <c r="A34" s="3" t="s">
        <v>840</v>
      </c>
      <c r="G34" s="12" t="e">
        <f xml:space="preserve"> FCFF!I7/FCFF!I6</f>
        <v>#REF!</v>
      </c>
      <c r="H34" s="12" t="e">
        <f xml:space="preserve"> FCFF!J7/FCFF!J6</f>
        <v>#REF!</v>
      </c>
      <c r="I34" s="12" t="e">
        <f xml:space="preserve"> FCFF!K7/FCFF!K6</f>
        <v>#REF!</v>
      </c>
      <c r="J34" s="12" t="e">
        <f xml:space="preserve"> FCFF!L7/FCFF!L6</f>
        <v>#REF!</v>
      </c>
      <c r="K34" s="12" t="e">
        <f xml:space="preserve"> FCFF!M7/FCFF!M6</f>
        <v>#REF!</v>
      </c>
      <c r="L34" s="12" t="e">
        <f xml:space="preserve"> FCFF!N7/FCFF!N6</f>
        <v>#REF!</v>
      </c>
      <c r="M34" s="12" t="e">
        <f xml:space="preserve"> FCFF!O7/FCFF!O6</f>
        <v>#REF!</v>
      </c>
      <c r="N34" s="12" t="e">
        <f xml:space="preserve"> FCFF!P7/FCFF!P6</f>
        <v>#REF!</v>
      </c>
      <c r="O34" s="12" t="e">
        <f xml:space="preserve"> FCFF!Q7/FCFF!Q6</f>
        <v>#REF!</v>
      </c>
      <c r="P34" s="12" t="e">
        <f xml:space="preserve"> FCFF!R7/FCFF!R6</f>
        <v>#REF!</v>
      </c>
      <c r="Q34" s="12" t="e">
        <f xml:space="preserve"> FCFF!S7/FCFF!S6</f>
        <v>#REF!</v>
      </c>
      <c r="R34" s="12" t="e">
        <f xml:space="preserve"> FCFF!T7/FCFF!T6</f>
        <v>#REF!</v>
      </c>
      <c r="S34" s="12" t="e">
        <f xml:space="preserve"> FCFF!U7/FCFF!U6</f>
        <v>#REF!</v>
      </c>
      <c r="T34" s="12" t="e">
        <f xml:space="preserve"> FCFF!V7/FCFF!V6</f>
        <v>#REF!</v>
      </c>
      <c r="U34" s="12" t="e">
        <f xml:space="preserve"> FCFF!W7/FCFF!W6</f>
        <v>#REF!</v>
      </c>
    </row>
    <row r="35" spans="1:21" s="3" customFormat="1">
      <c r="A35" s="3" t="s">
        <v>841</v>
      </c>
      <c r="G35" s="12" t="e">
        <f xml:space="preserve"> 'FINANCIAL STATEMENTS'!I82/'FINANCIAL STATEMENTS'!I8</f>
        <v>#REF!</v>
      </c>
      <c r="H35" s="12" t="e">
        <f xml:space="preserve"> 'FINANCIAL STATEMENTS'!J82/'FINANCIAL STATEMENTS'!J8</f>
        <v>#REF!</v>
      </c>
      <c r="I35" s="12" t="e">
        <f xml:space="preserve"> 'FINANCIAL STATEMENTS'!K82/'FINANCIAL STATEMENTS'!K8</f>
        <v>#REF!</v>
      </c>
      <c r="J35" s="12" t="e">
        <f xml:space="preserve"> 'FINANCIAL STATEMENTS'!L82/'FINANCIAL STATEMENTS'!L8</f>
        <v>#REF!</v>
      </c>
      <c r="K35" s="12" t="e">
        <f xml:space="preserve"> 'FINANCIAL STATEMENTS'!M82/'FINANCIAL STATEMENTS'!M8</f>
        <v>#REF!</v>
      </c>
      <c r="L35" s="12" t="e">
        <f xml:space="preserve"> 'FINANCIAL STATEMENTS'!N82/'FINANCIAL STATEMENTS'!N8</f>
        <v>#REF!</v>
      </c>
      <c r="M35" s="12" t="e">
        <f xml:space="preserve"> 'FINANCIAL STATEMENTS'!O82/'FINANCIAL STATEMENTS'!O8</f>
        <v>#REF!</v>
      </c>
      <c r="N35" s="12" t="e">
        <f xml:space="preserve"> 'FINANCIAL STATEMENTS'!P82/'FINANCIAL STATEMENTS'!P8</f>
        <v>#REF!</v>
      </c>
      <c r="O35" s="12" t="e">
        <f xml:space="preserve"> 'FINANCIAL STATEMENTS'!Q82/'FINANCIAL STATEMENTS'!Q8</f>
        <v>#REF!</v>
      </c>
      <c r="P35" s="12" t="e">
        <f xml:space="preserve"> 'FINANCIAL STATEMENTS'!R82/'FINANCIAL STATEMENTS'!R8</f>
        <v>#REF!</v>
      </c>
      <c r="Q35" s="12" t="e">
        <f xml:space="preserve"> 'FINANCIAL STATEMENTS'!S82/'FINANCIAL STATEMENTS'!S8</f>
        <v>#REF!</v>
      </c>
      <c r="R35" s="12" t="e">
        <f xml:space="preserve"> 'FINANCIAL STATEMENTS'!T82/'FINANCIAL STATEMENTS'!T8</f>
        <v>#REF!</v>
      </c>
      <c r="S35" s="12" t="e">
        <f xml:space="preserve"> 'FINANCIAL STATEMENTS'!U82/'FINANCIAL STATEMENTS'!U8</f>
        <v>#REF!</v>
      </c>
      <c r="T35" s="12" t="e">
        <f xml:space="preserve"> 'FINANCIAL STATEMENTS'!V82/'FINANCIAL STATEMENTS'!V8</f>
        <v>#REF!</v>
      </c>
      <c r="U35" s="12" t="e">
        <f xml:space="preserve"> 'FINANCIAL STATEMENTS'!W82/'FINANCIAL STATEMENTS'!W8</f>
        <v>#REF!</v>
      </c>
    </row>
    <row r="36" spans="1:21" s="3" customFormat="1">
      <c r="A36" s="3" t="s">
        <v>842</v>
      </c>
      <c r="G36" s="12" t="e">
        <f xml:space="preserve"> 'FINANCIAL STATEMENTS'!I32/'FINANCIAL STATEMENTS'!I8</f>
        <v>#REF!</v>
      </c>
      <c r="H36" s="12" t="e">
        <f xml:space="preserve"> 'FINANCIAL STATEMENTS'!J32/'FINANCIAL STATEMENTS'!J8</f>
        <v>#REF!</v>
      </c>
      <c r="I36" s="12" t="e">
        <f xml:space="preserve"> 'FINANCIAL STATEMENTS'!K32/'FINANCIAL STATEMENTS'!K8</f>
        <v>#REF!</v>
      </c>
      <c r="J36" s="12" t="e">
        <f xml:space="preserve"> 'FINANCIAL STATEMENTS'!L32/'FINANCIAL STATEMENTS'!L8</f>
        <v>#REF!</v>
      </c>
      <c r="K36" s="12" t="e">
        <f xml:space="preserve"> 'FINANCIAL STATEMENTS'!M32/'FINANCIAL STATEMENTS'!M8</f>
        <v>#REF!</v>
      </c>
      <c r="L36" s="12" t="e">
        <f xml:space="preserve"> 'FINANCIAL STATEMENTS'!N32/'FINANCIAL STATEMENTS'!N8</f>
        <v>#REF!</v>
      </c>
      <c r="M36" s="12" t="e">
        <f xml:space="preserve"> 'FINANCIAL STATEMENTS'!O32/'FINANCIAL STATEMENTS'!O8</f>
        <v>#REF!</v>
      </c>
      <c r="N36" s="12" t="e">
        <f xml:space="preserve"> 'FINANCIAL STATEMENTS'!P32/'FINANCIAL STATEMENTS'!P8</f>
        <v>#REF!</v>
      </c>
      <c r="O36" s="12" t="e">
        <f xml:space="preserve"> 'FINANCIAL STATEMENTS'!Q32/'FINANCIAL STATEMENTS'!Q8</f>
        <v>#REF!</v>
      </c>
      <c r="P36" s="12" t="e">
        <f xml:space="preserve"> 'FINANCIAL STATEMENTS'!R32/'FINANCIAL STATEMENTS'!R8</f>
        <v>#REF!</v>
      </c>
      <c r="Q36" s="12" t="e">
        <f xml:space="preserve"> 'FINANCIAL STATEMENTS'!S32/'FINANCIAL STATEMENTS'!S8</f>
        <v>#REF!</v>
      </c>
      <c r="R36" s="12" t="e">
        <f xml:space="preserve"> 'FINANCIAL STATEMENTS'!T32/'FINANCIAL STATEMENTS'!T8</f>
        <v>#REF!</v>
      </c>
      <c r="S36" s="12" t="e">
        <f xml:space="preserve"> 'FINANCIAL STATEMENTS'!U32/'FINANCIAL STATEMENTS'!U8</f>
        <v>#REF!</v>
      </c>
      <c r="T36" s="12" t="e">
        <f xml:space="preserve"> 'FINANCIAL STATEMENTS'!V32/'FINANCIAL STATEMENTS'!V8</f>
        <v>#REF!</v>
      </c>
      <c r="U36" s="12" t="e">
        <f xml:space="preserve"> 'FINANCIAL STATEMENTS'!W32/'FINANCIAL STATEMENTS'!W8</f>
        <v>#REF!</v>
      </c>
    </row>
    <row r="38" spans="1:21" s="131" customFormat="1" ht="18">
      <c r="A38" s="131" t="s">
        <v>843</v>
      </c>
    </row>
    <row r="39" spans="1:21" s="3" customFormat="1">
      <c r="A39" s="3" t="s">
        <v>10</v>
      </c>
      <c r="G39" s="2">
        <f xml:space="preserve"> REVENUE!E27</f>
        <v>0</v>
      </c>
      <c r="H39" s="2">
        <f xml:space="preserve"> REVENUE!E27</f>
        <v>0</v>
      </c>
      <c r="I39" s="2">
        <f xml:space="preserve"> REVENUE!E27</f>
        <v>0</v>
      </c>
      <c r="J39" s="2">
        <f xml:space="preserve"> REVENUE!E27</f>
        <v>0</v>
      </c>
      <c r="K39" s="2">
        <f xml:space="preserve"> REVENUE!E27</f>
        <v>0</v>
      </c>
      <c r="L39" s="2">
        <f xml:space="preserve"> REVENUE!E27</f>
        <v>0</v>
      </c>
      <c r="M39" s="2">
        <f xml:space="preserve"> REVENUE!E27</f>
        <v>0</v>
      </c>
      <c r="N39" s="2">
        <f xml:space="preserve"> REVENUE!E27</f>
        <v>0</v>
      </c>
      <c r="O39" s="2">
        <f xml:space="preserve"> REVENUE!E27</f>
        <v>0</v>
      </c>
      <c r="P39" s="2">
        <f xml:space="preserve"> REVENUE!E27</f>
        <v>0</v>
      </c>
      <c r="Q39" s="2">
        <f xml:space="preserve"> REVENUE!E27</f>
        <v>0</v>
      </c>
      <c r="R39" s="2">
        <f xml:space="preserve"> REVENUE!E27</f>
        <v>0</v>
      </c>
      <c r="S39" s="2">
        <f xml:space="preserve"> REVENUE!E27</f>
        <v>0</v>
      </c>
      <c r="T39" s="2">
        <f xml:space="preserve"> REVENUE!E27</f>
        <v>0</v>
      </c>
      <c r="U39" s="2">
        <f xml:space="preserve"> REVENUE!E27</f>
        <v>0</v>
      </c>
    </row>
    <row r="40" spans="1:21" s="3" customFormat="1">
      <c r="A40" s="3" t="s">
        <v>845</v>
      </c>
      <c r="G40" s="2">
        <f xml:space="preserve"> REVENUE!N38</f>
        <v>1.1400000000000001</v>
      </c>
      <c r="H40" s="2">
        <f xml:space="preserve"> REVENUE!O38</f>
        <v>1.2996000000000003</v>
      </c>
      <c r="I40" s="2">
        <f xml:space="preserve"> REVENUE!P38</f>
        <v>1.4815440000000004</v>
      </c>
      <c r="J40" s="2">
        <f xml:space="preserve"> REVENUE!Q38</f>
        <v>1.6889601600000006</v>
      </c>
      <c r="K40" s="2">
        <f xml:space="preserve"> REVENUE!R38</f>
        <v>1.9254145824000009</v>
      </c>
      <c r="L40" s="2">
        <f xml:space="preserve"> REVENUE!S38</f>
        <v>2.194972623936001</v>
      </c>
      <c r="M40" s="2">
        <f xml:space="preserve"> REVENUE!T38</f>
        <v>2.5022687912870416</v>
      </c>
      <c r="N40" s="2">
        <f xml:space="preserve"> REVENUE!U38</f>
        <v>2.8525864220672279</v>
      </c>
      <c r="O40" s="2">
        <f xml:space="preserve"> REVENUE!V38</f>
        <v>3.2519485211566401</v>
      </c>
      <c r="P40" s="2">
        <f xml:space="preserve"> REVENUE!W38</f>
        <v>3.7072213141185704</v>
      </c>
      <c r="Q40" s="2">
        <f xml:space="preserve"> REVENUE!X38</f>
        <v>4.2262322980951703</v>
      </c>
      <c r="R40" s="2">
        <f xml:space="preserve"> REVENUE!Y38</f>
        <v>4.8179048198284944</v>
      </c>
      <c r="S40" s="2">
        <f xml:space="preserve"> REVENUE!Z38</f>
        <v>5.4924114946044842</v>
      </c>
      <c r="T40" s="2">
        <f xml:space="preserve"> REVENUE!AA38</f>
        <v>6.2613491038491125</v>
      </c>
      <c r="U40" s="2">
        <f xml:space="preserve"> REVENUE!AB38</f>
        <v>7.1379379783879893</v>
      </c>
    </row>
    <row r="41" spans="1:21" s="3" customFormat="1">
      <c r="A41" s="3" t="s">
        <v>844</v>
      </c>
      <c r="G41" s="66">
        <f xml:space="preserve"> 365*G40</f>
        <v>416.1</v>
      </c>
      <c r="H41" s="66">
        <f t="shared" ref="H41:U41" si="2" xml:space="preserve"> 365*H40</f>
        <v>474.3540000000001</v>
      </c>
      <c r="I41" s="66">
        <f t="shared" si="2"/>
        <v>540.7635600000001</v>
      </c>
      <c r="J41" s="66">
        <f t="shared" si="2"/>
        <v>616.47045840000021</v>
      </c>
      <c r="K41" s="66">
        <f t="shared" si="2"/>
        <v>702.77632257600033</v>
      </c>
      <c r="L41" s="66">
        <f t="shared" si="2"/>
        <v>801.1650077366404</v>
      </c>
      <c r="M41" s="66">
        <f t="shared" si="2"/>
        <v>913.32810881977014</v>
      </c>
      <c r="N41" s="66">
        <f t="shared" si="2"/>
        <v>1041.1940440545382</v>
      </c>
      <c r="O41" s="66">
        <f t="shared" si="2"/>
        <v>1186.9612102221736</v>
      </c>
      <c r="P41" s="66">
        <f t="shared" si="2"/>
        <v>1353.1357796532782</v>
      </c>
      <c r="Q41" s="66">
        <f t="shared" si="2"/>
        <v>1542.5747888047372</v>
      </c>
      <c r="R41" s="66">
        <f t="shared" si="2"/>
        <v>1758.5352592374004</v>
      </c>
      <c r="S41" s="66">
        <f t="shared" si="2"/>
        <v>2004.7301955306368</v>
      </c>
      <c r="T41" s="66">
        <f t="shared" si="2"/>
        <v>2285.3924229049262</v>
      </c>
      <c r="U41" s="66">
        <f t="shared" si="2"/>
        <v>2605.3473621116159</v>
      </c>
    </row>
    <row r="42" spans="1:21" s="3" customFormat="1">
      <c r="A42" s="3" t="s">
        <v>846</v>
      </c>
      <c r="G42" s="12" t="e">
        <f xml:space="preserve"> G40/G39</f>
        <v>#DIV/0!</v>
      </c>
      <c r="H42" s="12" t="e">
        <f t="shared" ref="H42:U42" si="3" xml:space="preserve"> H40/H39</f>
        <v>#DIV/0!</v>
      </c>
      <c r="I42" s="12" t="e">
        <f t="shared" si="3"/>
        <v>#DIV/0!</v>
      </c>
      <c r="J42" s="12" t="e">
        <f t="shared" si="3"/>
        <v>#DIV/0!</v>
      </c>
      <c r="K42" s="12" t="e">
        <f t="shared" si="3"/>
        <v>#DIV/0!</v>
      </c>
      <c r="L42" s="12" t="e">
        <f t="shared" si="3"/>
        <v>#DIV/0!</v>
      </c>
      <c r="M42" s="12" t="e">
        <f t="shared" si="3"/>
        <v>#DIV/0!</v>
      </c>
      <c r="N42" s="12" t="e">
        <f t="shared" si="3"/>
        <v>#DIV/0!</v>
      </c>
      <c r="O42" s="12" t="e">
        <f t="shared" si="3"/>
        <v>#DIV/0!</v>
      </c>
      <c r="P42" s="12" t="e">
        <f t="shared" si="3"/>
        <v>#DIV/0!</v>
      </c>
      <c r="Q42" s="12" t="e">
        <f t="shared" si="3"/>
        <v>#DIV/0!</v>
      </c>
      <c r="R42" s="12" t="e">
        <f t="shared" si="3"/>
        <v>#DIV/0!</v>
      </c>
      <c r="S42" s="12" t="e">
        <f t="shared" si="3"/>
        <v>#DIV/0!</v>
      </c>
      <c r="T42" s="12" t="e">
        <f t="shared" si="3"/>
        <v>#DIV/0!</v>
      </c>
      <c r="U42" s="12" t="e">
        <f t="shared" si="3"/>
        <v>#DIV/0!</v>
      </c>
    </row>
    <row r="43" spans="1:21" s="3" customFormat="1">
      <c r="A43" s="3" t="s">
        <v>75</v>
      </c>
      <c r="G43" s="2">
        <f xml:space="preserve"> REVENUE!N59</f>
        <v>0</v>
      </c>
      <c r="H43" s="2">
        <f xml:space="preserve"> REVENUE!O59</f>
        <v>0</v>
      </c>
      <c r="I43" s="2">
        <f xml:space="preserve"> REVENUE!P59</f>
        <v>0</v>
      </c>
      <c r="J43" s="2">
        <f xml:space="preserve"> REVENUE!Q59</f>
        <v>15000</v>
      </c>
      <c r="K43" s="2">
        <f xml:space="preserve"> REVENUE!R59</f>
        <v>20000</v>
      </c>
      <c r="L43" s="2">
        <f xml:space="preserve"> REVENUE!S59</f>
        <v>30000</v>
      </c>
      <c r="M43" s="2">
        <f xml:space="preserve"> REVENUE!T59</f>
        <v>42000</v>
      </c>
      <c r="N43" s="2">
        <f xml:space="preserve"> REVENUE!U59</f>
        <v>59000</v>
      </c>
      <c r="O43" s="2">
        <f xml:space="preserve"> REVENUE!V59</f>
        <v>80000</v>
      </c>
      <c r="P43" s="2">
        <f xml:space="preserve"> REVENUE!W59</f>
        <v>108000</v>
      </c>
      <c r="Q43" s="2">
        <f xml:space="preserve"> REVENUE!X59</f>
        <v>135000</v>
      </c>
      <c r="R43" s="2">
        <f xml:space="preserve"> REVENUE!Y59</f>
        <v>160000</v>
      </c>
      <c r="S43" s="2">
        <f xml:space="preserve"> REVENUE!Z59</f>
        <v>178000</v>
      </c>
      <c r="T43" s="2">
        <f xml:space="preserve"> REVENUE!AA59</f>
        <v>190000</v>
      </c>
      <c r="U43" s="2">
        <f xml:space="preserve"> REVENUE!AB59</f>
        <v>200000</v>
      </c>
    </row>
    <row r="44" spans="1:21" s="3" customFormat="1">
      <c r="A44" s="3" t="s">
        <v>65</v>
      </c>
      <c r="G44" s="2">
        <f xml:space="preserve"> REVENUE!N127</f>
        <v>0</v>
      </c>
      <c r="H44" s="2">
        <f xml:space="preserve"> REVENUE!O127</f>
        <v>0</v>
      </c>
      <c r="I44" s="2">
        <f xml:space="preserve"> REVENUE!P127</f>
        <v>0</v>
      </c>
      <c r="J44" s="2">
        <f xml:space="preserve"> REVENUE!Q127</f>
        <v>3000</v>
      </c>
      <c r="K44" s="2">
        <f xml:space="preserve"> REVENUE!R127</f>
        <v>3500</v>
      </c>
      <c r="L44" s="2">
        <f xml:space="preserve"> REVENUE!S127</f>
        <v>5500</v>
      </c>
      <c r="M44" s="2">
        <f xml:space="preserve"> REVENUE!T127</f>
        <v>7000</v>
      </c>
      <c r="N44" s="2">
        <f xml:space="preserve"> REVENUE!U127</f>
        <v>8500</v>
      </c>
      <c r="O44" s="2">
        <f xml:space="preserve"> REVENUE!V127</f>
        <v>10000</v>
      </c>
      <c r="P44" s="2">
        <f xml:space="preserve"> REVENUE!W127</f>
        <v>11500</v>
      </c>
      <c r="Q44" s="2">
        <f xml:space="preserve"> REVENUE!X127</f>
        <v>12500</v>
      </c>
      <c r="R44" s="2">
        <f xml:space="preserve"> REVENUE!Y127</f>
        <v>13500</v>
      </c>
      <c r="S44" s="2">
        <f xml:space="preserve"> REVENUE!Z127</f>
        <v>14000</v>
      </c>
      <c r="T44" s="2">
        <f xml:space="preserve"> REVENUE!AA127</f>
        <v>14500</v>
      </c>
      <c r="U44" s="2">
        <f xml:space="preserve"> REVENUE!AB127</f>
        <v>15000</v>
      </c>
    </row>
    <row r="45" spans="1:21" s="3" customFormat="1">
      <c r="A45" s="3" t="s">
        <v>108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s="3" customFormat="1">
      <c r="A46" s="3" t="s">
        <v>872</v>
      </c>
      <c r="G46" s="11">
        <f xml:space="preserve"> REVENUE!N384/EXEC.!G41*10000</f>
        <v>0</v>
      </c>
      <c r="H46" s="11">
        <f xml:space="preserve"> REVENUE!O384/EXEC.!H41*10000</f>
        <v>0</v>
      </c>
      <c r="I46" s="11">
        <f xml:space="preserve"> REVENUE!P384/EXEC.!I41*10000</f>
        <v>0</v>
      </c>
      <c r="J46" s="11">
        <f xml:space="preserve"> REVENUE!Q384/EXEC.!J41*10000</f>
        <v>754.65769170424187</v>
      </c>
      <c r="K46" s="11">
        <f xml:space="preserve"> REVENUE!R384/EXEC.!K41*10000</f>
        <v>873.88703801796669</v>
      </c>
      <c r="L46" s="11">
        <f xml:space="preserve"> REVENUE!S384/EXEC.!L41*10000</f>
        <v>1587.7820769901969</v>
      </c>
      <c r="M46" s="11">
        <f xml:space="preserve"> REVENUE!T384/EXEC.!M41*10000</f>
        <v>2233.0435410372561</v>
      </c>
      <c r="N46" s="11">
        <f xml:space="preserve"> REVENUE!U384/EXEC.!N41*10000</f>
        <v>2788.1459707786512</v>
      </c>
      <c r="O46" s="11">
        <f xml:space="preserve"> REVENUE!V384/EXEC.!O41*10000</f>
        <v>3390.0916874393993</v>
      </c>
      <c r="P46" s="11">
        <f xml:space="preserve"> REVENUE!W384/EXEC.!P41*10000</f>
        <v>3971.4360016464689</v>
      </c>
      <c r="Q46" s="11">
        <f xml:space="preserve"> REVENUE!X384/EXEC.!Q41*10000</f>
        <v>4284.0985792227775</v>
      </c>
      <c r="R46" s="11">
        <f xml:space="preserve"> REVENUE!Y384/EXEC.!R41*10000</f>
        <v>4622.7760875206031</v>
      </c>
      <c r="S46" s="11">
        <f xml:space="preserve"> REVENUE!Z384/EXEC.!S41*10000</f>
        <v>4757.6927796176342</v>
      </c>
      <c r="T46" s="11">
        <f xml:space="preserve"> REVENUE!AA384/EXEC.!T41*10000</f>
        <v>4891.3537810227444</v>
      </c>
      <c r="U46" s="11">
        <f xml:space="preserve"> REVENUE!AB384/EXEC.!U41*10000</f>
        <v>5052.3701073693919</v>
      </c>
    </row>
    <row r="47" spans="1:21" s="3" customFormat="1">
      <c r="A47" s="3" t="s">
        <v>855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s="129" customFormat="1">
      <c r="A48" s="130" t="s">
        <v>847</v>
      </c>
      <c r="B48" s="130"/>
    </row>
    <row r="49" spans="1:21" s="3" customFormat="1">
      <c r="A49" s="3" t="s">
        <v>475</v>
      </c>
      <c r="G49" s="12">
        <v>0</v>
      </c>
      <c r="H49" s="12">
        <v>0</v>
      </c>
      <c r="I49" s="12">
        <v>0</v>
      </c>
      <c r="J49" s="65">
        <v>0.3</v>
      </c>
      <c r="K49" s="65">
        <v>0.35</v>
      </c>
      <c r="L49" s="65">
        <v>0.45</v>
      </c>
      <c r="M49" s="65">
        <v>0.55000000000000004</v>
      </c>
      <c r="N49" s="65">
        <v>0.65</v>
      </c>
      <c r="O49" s="65">
        <v>0.7</v>
      </c>
      <c r="P49" s="65">
        <v>0.75</v>
      </c>
      <c r="Q49" s="65">
        <v>0.8</v>
      </c>
      <c r="R49" s="65">
        <v>0.8</v>
      </c>
      <c r="S49" s="65">
        <v>0.8</v>
      </c>
      <c r="T49" s="65">
        <v>0.8</v>
      </c>
      <c r="U49" s="65">
        <v>0.8</v>
      </c>
    </row>
    <row r="50" spans="1:21" s="3" customFormat="1">
      <c r="A50" s="3" t="s">
        <v>2</v>
      </c>
      <c r="G50" s="12">
        <v>0</v>
      </c>
      <c r="H50" s="12">
        <v>0</v>
      </c>
      <c r="I50" s="12">
        <v>0</v>
      </c>
      <c r="J50" s="65">
        <v>0.2</v>
      </c>
      <c r="K50" s="65">
        <v>0.25</v>
      </c>
      <c r="L50" s="65">
        <v>0.35</v>
      </c>
      <c r="M50" s="65">
        <v>0.45</v>
      </c>
      <c r="N50" s="65">
        <v>0.55000000000000004</v>
      </c>
      <c r="O50" s="65">
        <v>0.6</v>
      </c>
      <c r="P50" s="65">
        <v>0.65</v>
      </c>
      <c r="Q50" s="65">
        <v>0.7</v>
      </c>
      <c r="R50" s="65">
        <v>0.7</v>
      </c>
      <c r="S50" s="65">
        <v>0.7</v>
      </c>
      <c r="T50" s="65">
        <v>0.7</v>
      </c>
      <c r="U50" s="65">
        <v>0.7</v>
      </c>
    </row>
    <row r="51" spans="1:21" s="3" customFormat="1">
      <c r="A51" s="3" t="s">
        <v>3</v>
      </c>
      <c r="G51" s="12">
        <v>0</v>
      </c>
      <c r="H51" s="12">
        <v>0</v>
      </c>
      <c r="I51" s="12">
        <v>0</v>
      </c>
      <c r="J51" s="65">
        <v>0.15</v>
      </c>
      <c r="K51" s="65">
        <v>0.2</v>
      </c>
      <c r="L51" s="65">
        <v>0.25</v>
      </c>
      <c r="M51" s="65">
        <v>0.3</v>
      </c>
      <c r="N51" s="65">
        <v>0.35</v>
      </c>
      <c r="O51" s="65">
        <v>0.4</v>
      </c>
      <c r="P51" s="65">
        <v>0.45</v>
      </c>
      <c r="Q51" s="65">
        <v>0.5</v>
      </c>
      <c r="R51" s="65">
        <v>0.55000000000000004</v>
      </c>
      <c r="S51" s="65">
        <v>0.6</v>
      </c>
      <c r="T51" s="65">
        <v>0.65</v>
      </c>
      <c r="U51" s="65">
        <v>0.7</v>
      </c>
    </row>
    <row r="52" spans="1:21" s="3" customFormat="1">
      <c r="A52" s="3" t="s">
        <v>4</v>
      </c>
      <c r="G52" s="12">
        <v>0</v>
      </c>
      <c r="H52" s="12">
        <v>0</v>
      </c>
      <c r="I52" s="12">
        <v>0</v>
      </c>
      <c r="J52" s="65">
        <v>0.1</v>
      </c>
      <c r="K52" s="65">
        <v>0.12</v>
      </c>
      <c r="L52" s="65">
        <v>0.15</v>
      </c>
      <c r="M52" s="65">
        <v>0.18</v>
      </c>
      <c r="N52" s="65">
        <v>0.22</v>
      </c>
      <c r="O52" s="65">
        <v>0.25</v>
      </c>
      <c r="P52" s="65">
        <v>0.28000000000000003</v>
      </c>
      <c r="Q52" s="65">
        <v>0.3</v>
      </c>
      <c r="R52" s="65">
        <v>0.32</v>
      </c>
      <c r="S52" s="65">
        <v>0.35</v>
      </c>
      <c r="T52" s="65">
        <v>0.37</v>
      </c>
      <c r="U52" s="65">
        <v>0.4</v>
      </c>
    </row>
    <row r="53" spans="1:21" s="3" customFormat="1">
      <c r="A53" s="3" t="s">
        <v>5</v>
      </c>
      <c r="G53" s="12">
        <v>0</v>
      </c>
      <c r="H53" s="12">
        <v>0</v>
      </c>
      <c r="I53" s="12">
        <v>0</v>
      </c>
      <c r="J53" s="65">
        <v>0.05</v>
      </c>
      <c r="K53" s="65">
        <v>0.06</v>
      </c>
      <c r="L53" s="65">
        <v>7.0000000000000007E-2</v>
      </c>
      <c r="M53" s="65">
        <v>0.08</v>
      </c>
      <c r="N53" s="65">
        <v>0.09</v>
      </c>
      <c r="O53" s="65">
        <v>0.1</v>
      </c>
      <c r="P53" s="65">
        <v>0.12</v>
      </c>
      <c r="Q53" s="65">
        <v>0.14000000000000001</v>
      </c>
      <c r="R53" s="65">
        <v>0.17</v>
      </c>
      <c r="S53" s="65">
        <v>0.2</v>
      </c>
      <c r="T53" s="65">
        <v>0.23</v>
      </c>
      <c r="U53" s="65">
        <v>0.25</v>
      </c>
    </row>
    <row r="54" spans="1:21" s="3" customFormat="1">
      <c r="A54" s="3" t="s">
        <v>6</v>
      </c>
      <c r="G54" s="12">
        <v>0</v>
      </c>
      <c r="H54" s="12">
        <v>0</v>
      </c>
      <c r="I54" s="12">
        <v>0</v>
      </c>
      <c r="J54" s="65">
        <v>0.1</v>
      </c>
      <c r="K54" s="65">
        <v>0.15</v>
      </c>
      <c r="L54" s="65">
        <v>0.2</v>
      </c>
      <c r="M54" s="65">
        <v>0.25</v>
      </c>
      <c r="N54" s="65">
        <v>0.3</v>
      </c>
      <c r="O54" s="65">
        <v>0.35</v>
      </c>
      <c r="P54" s="65">
        <v>0.4</v>
      </c>
      <c r="Q54" s="65">
        <v>0.45</v>
      </c>
      <c r="R54" s="65">
        <v>0.5</v>
      </c>
      <c r="S54" s="65">
        <v>0.55000000000000004</v>
      </c>
      <c r="T54" s="65">
        <v>0.6</v>
      </c>
      <c r="U54" s="65">
        <v>0.65</v>
      </c>
    </row>
    <row r="55" spans="1:21" s="129" customFormat="1">
      <c r="A55" s="130" t="s">
        <v>848</v>
      </c>
      <c r="B55" s="130"/>
    </row>
    <row r="56" spans="1:21" s="3" customFormat="1">
      <c r="A56" s="3" t="s">
        <v>849</v>
      </c>
      <c r="G56" s="12" t="e">
        <f xml:space="preserve"> 'FINANCIAL STATEMENTS'!I55</f>
        <v>#REF!</v>
      </c>
      <c r="H56" s="12" t="e">
        <f xml:space="preserve"> 'FINANCIAL STATEMENTS'!J55</f>
        <v>#REF!</v>
      </c>
      <c r="I56" s="12" t="e">
        <f xml:space="preserve"> 'FINANCIAL STATEMENTS'!K55</f>
        <v>#REF!</v>
      </c>
      <c r="J56" s="12" t="e">
        <f xml:space="preserve"> 'FINANCIAL STATEMENTS'!L55</f>
        <v>#REF!</v>
      </c>
      <c r="K56" s="12" t="e">
        <f xml:space="preserve"> 'FINANCIAL STATEMENTS'!M55</f>
        <v>#REF!</v>
      </c>
      <c r="L56" s="12" t="e">
        <f xml:space="preserve"> 'FINANCIAL STATEMENTS'!N55</f>
        <v>#REF!</v>
      </c>
      <c r="M56" s="12" t="e">
        <f xml:space="preserve"> 'FINANCIAL STATEMENTS'!O55</f>
        <v>#REF!</v>
      </c>
      <c r="N56" s="12" t="e">
        <f xml:space="preserve"> 'FINANCIAL STATEMENTS'!P55</f>
        <v>#REF!</v>
      </c>
      <c r="O56" s="12" t="e">
        <f xml:space="preserve"> 'FINANCIAL STATEMENTS'!Q55</f>
        <v>#REF!</v>
      </c>
      <c r="P56" s="12" t="e">
        <f xml:space="preserve"> 'FINANCIAL STATEMENTS'!R55</f>
        <v>#REF!</v>
      </c>
      <c r="Q56" s="12" t="e">
        <f xml:space="preserve"> 'FINANCIAL STATEMENTS'!S55</f>
        <v>#REF!</v>
      </c>
      <c r="R56" s="12" t="e">
        <f xml:space="preserve"> 'FINANCIAL STATEMENTS'!T55</f>
        <v>#REF!</v>
      </c>
      <c r="S56" s="12" t="e">
        <f xml:space="preserve"> 'FINANCIAL STATEMENTS'!U55</f>
        <v>#REF!</v>
      </c>
      <c r="T56" s="12" t="e">
        <f xml:space="preserve"> 'FINANCIAL STATEMENTS'!V55</f>
        <v>#REF!</v>
      </c>
      <c r="U56" s="12" t="e">
        <f xml:space="preserve"> 'FINANCIAL STATEMENTS'!W55</f>
        <v>#REF!</v>
      </c>
    </row>
    <row r="57" spans="1:21" s="3" customFormat="1">
      <c r="A57" s="3" t="s">
        <v>850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s="3" customFormat="1">
      <c r="A58" s="3" t="s">
        <v>851</v>
      </c>
      <c r="G58" s="12" t="e">
        <f xml:space="preserve"> 'FINANCIAL STATEMENTS'!I71</f>
        <v>#REF!</v>
      </c>
      <c r="H58" s="12" t="e">
        <f xml:space="preserve"> 'FINANCIAL STATEMENTS'!J71</f>
        <v>#REF!</v>
      </c>
      <c r="I58" s="12" t="e">
        <f xml:space="preserve"> 'FINANCIAL STATEMENTS'!K71</f>
        <v>#REF!</v>
      </c>
      <c r="J58" s="12" t="e">
        <f xml:space="preserve"> 'FINANCIAL STATEMENTS'!L71</f>
        <v>#REF!</v>
      </c>
      <c r="K58" s="12" t="e">
        <f xml:space="preserve"> 'FINANCIAL STATEMENTS'!M71</f>
        <v>#REF!</v>
      </c>
      <c r="L58" s="12" t="e">
        <f xml:space="preserve"> 'FINANCIAL STATEMENTS'!N71</f>
        <v>#REF!</v>
      </c>
      <c r="M58" s="12" t="e">
        <f xml:space="preserve"> 'FINANCIAL STATEMENTS'!O71</f>
        <v>#REF!</v>
      </c>
      <c r="N58" s="12" t="e">
        <f xml:space="preserve"> 'FINANCIAL STATEMENTS'!P71</f>
        <v>#REF!</v>
      </c>
      <c r="O58" s="12" t="e">
        <f xml:space="preserve"> 'FINANCIAL STATEMENTS'!Q71</f>
        <v>#REF!</v>
      </c>
      <c r="P58" s="12" t="e">
        <f xml:space="preserve"> 'FINANCIAL STATEMENTS'!R71</f>
        <v>#REF!</v>
      </c>
      <c r="Q58" s="12" t="e">
        <f xml:space="preserve"> 'FINANCIAL STATEMENTS'!S71</f>
        <v>#REF!</v>
      </c>
      <c r="R58" s="12" t="e">
        <f xml:space="preserve"> 'FINANCIAL STATEMENTS'!T71</f>
        <v>#REF!</v>
      </c>
      <c r="S58" s="12" t="e">
        <f xml:space="preserve"> 'FINANCIAL STATEMENTS'!U71</f>
        <v>#REF!</v>
      </c>
      <c r="T58" s="12" t="e">
        <f xml:space="preserve"> 'FINANCIAL STATEMENTS'!V71</f>
        <v>#REF!</v>
      </c>
      <c r="U58" s="12" t="e">
        <f xml:space="preserve"> 'FINANCIAL STATEMENTS'!W71</f>
        <v>#REF!</v>
      </c>
    </row>
    <row r="59" spans="1:21" s="3" customFormat="1">
      <c r="A59" s="3" t="s">
        <v>852</v>
      </c>
      <c r="G59" s="12" t="str">
        <f xml:space="preserve"> 'FINANCIAL STATEMENTS'!I21</f>
        <v>NA</v>
      </c>
      <c r="H59" s="12" t="str">
        <f xml:space="preserve"> 'FINANCIAL STATEMENTS'!J21</f>
        <v>NA</v>
      </c>
      <c r="I59" s="12" t="str">
        <f xml:space="preserve"> 'FINANCIAL STATEMENTS'!K21</f>
        <v>NA</v>
      </c>
      <c r="J59" s="12" t="str">
        <f xml:space="preserve"> 'FINANCIAL STATEMENTS'!L21</f>
        <v>NA</v>
      </c>
      <c r="K59" s="12" t="str">
        <f xml:space="preserve"> 'FINANCIAL STATEMENTS'!M21</f>
        <v>NA</v>
      </c>
      <c r="L59" s="12" t="str">
        <f xml:space="preserve"> 'FINANCIAL STATEMENTS'!N21</f>
        <v>NA</v>
      </c>
      <c r="M59" s="12" t="str">
        <f xml:space="preserve"> 'FINANCIAL STATEMENTS'!O21</f>
        <v>NA</v>
      </c>
      <c r="N59" s="12" t="str">
        <f xml:space="preserve"> 'FINANCIAL STATEMENTS'!P21</f>
        <v>NA</v>
      </c>
      <c r="O59" s="12" t="str">
        <f xml:space="preserve"> 'FINANCIAL STATEMENTS'!Q21</f>
        <v>NA</v>
      </c>
      <c r="P59" s="12" t="str">
        <f xml:space="preserve"> 'FINANCIAL STATEMENTS'!R21</f>
        <v>NA</v>
      </c>
      <c r="Q59" s="12" t="str">
        <f xml:space="preserve"> 'FINANCIAL STATEMENTS'!S21</f>
        <v>NA</v>
      </c>
      <c r="R59" s="12" t="str">
        <f xml:space="preserve"> 'FINANCIAL STATEMENTS'!T21</f>
        <v>NA</v>
      </c>
      <c r="S59" s="12" t="str">
        <f xml:space="preserve"> 'FINANCIAL STATEMENTS'!U21</f>
        <v>NA</v>
      </c>
      <c r="T59" s="12" t="str">
        <f xml:space="preserve"> 'FINANCIAL STATEMENTS'!V21</f>
        <v>NA</v>
      </c>
      <c r="U59" s="12" t="str">
        <f xml:space="preserve"> 'FINANCIAL STATEMENTS'!W21</f>
        <v>NA</v>
      </c>
    </row>
    <row r="60" spans="1:21" s="3" customFormat="1">
      <c r="A60" s="3" t="s">
        <v>731</v>
      </c>
      <c r="G60" s="12" t="str">
        <f xml:space="preserve"> 'FINANCIAL STATEMENTS'!I31</f>
        <v>NA</v>
      </c>
      <c r="H60" s="12" t="str">
        <f xml:space="preserve"> 'FINANCIAL STATEMENTS'!J31</f>
        <v>NA</v>
      </c>
      <c r="I60" s="12" t="str">
        <f xml:space="preserve"> 'FINANCIAL STATEMENTS'!K31</f>
        <v>NA</v>
      </c>
      <c r="J60" s="12" t="str">
        <f xml:space="preserve"> 'FINANCIAL STATEMENTS'!L31</f>
        <v>NA</v>
      </c>
      <c r="K60" s="12" t="str">
        <f xml:space="preserve"> 'FINANCIAL STATEMENTS'!M31</f>
        <v>NA</v>
      </c>
      <c r="L60" s="12" t="str">
        <f xml:space="preserve"> 'FINANCIAL STATEMENTS'!N31</f>
        <v>NA</v>
      </c>
      <c r="M60" s="12" t="str">
        <f xml:space="preserve"> 'FINANCIAL STATEMENTS'!O31</f>
        <v>NA</v>
      </c>
      <c r="N60" s="12" t="str">
        <f xml:space="preserve"> 'FINANCIAL STATEMENTS'!P31</f>
        <v>NA</v>
      </c>
      <c r="O60" s="12" t="str">
        <f xml:space="preserve"> 'FINANCIAL STATEMENTS'!Q31</f>
        <v>NA</v>
      </c>
      <c r="P60" s="12" t="str">
        <f xml:space="preserve"> 'FINANCIAL STATEMENTS'!R31</f>
        <v>NA</v>
      </c>
      <c r="Q60" s="12" t="str">
        <f xml:space="preserve"> 'FINANCIAL STATEMENTS'!S31</f>
        <v>NA</v>
      </c>
      <c r="R60" s="12" t="str">
        <f xml:space="preserve"> 'FINANCIAL STATEMENTS'!T31</f>
        <v>NA</v>
      </c>
      <c r="S60" s="12" t="str">
        <f xml:space="preserve"> 'FINANCIAL STATEMENTS'!U31</f>
        <v>NA</v>
      </c>
      <c r="T60" s="12" t="str">
        <f xml:space="preserve"> 'FINANCIAL STATEMENTS'!V31</f>
        <v>NA</v>
      </c>
      <c r="U60" s="12" t="str">
        <f xml:space="preserve"> 'FINANCIAL STATEMENTS'!W31</f>
        <v>NA</v>
      </c>
    </row>
    <row r="61" spans="1:21" s="3" customFormat="1">
      <c r="A61" s="3" t="s">
        <v>733</v>
      </c>
      <c r="G61" s="12" t="str">
        <f xml:space="preserve"> 'FINANCIAL STATEMENTS'!I34</f>
        <v>NA</v>
      </c>
      <c r="H61" s="12" t="str">
        <f xml:space="preserve"> 'FINANCIAL STATEMENTS'!J34</f>
        <v>NA</v>
      </c>
      <c r="I61" s="12" t="str">
        <f xml:space="preserve"> 'FINANCIAL STATEMENTS'!K34</f>
        <v>NA</v>
      </c>
      <c r="J61" s="12" t="str">
        <f xml:space="preserve"> 'FINANCIAL STATEMENTS'!L34</f>
        <v>NA</v>
      </c>
      <c r="K61" s="12" t="str">
        <f xml:space="preserve"> 'FINANCIAL STATEMENTS'!M34</f>
        <v>NA</v>
      </c>
      <c r="L61" s="12" t="str">
        <f xml:space="preserve"> 'FINANCIAL STATEMENTS'!N34</f>
        <v>NA</v>
      </c>
      <c r="M61" s="12" t="str">
        <f xml:space="preserve"> 'FINANCIAL STATEMENTS'!O34</f>
        <v>NA</v>
      </c>
      <c r="N61" s="12" t="str">
        <f xml:space="preserve"> 'FINANCIAL STATEMENTS'!P34</f>
        <v>NA</v>
      </c>
      <c r="O61" s="12" t="str">
        <f xml:space="preserve"> 'FINANCIAL STATEMENTS'!Q34</f>
        <v>NA</v>
      </c>
      <c r="P61" s="12" t="str">
        <f xml:space="preserve"> 'FINANCIAL STATEMENTS'!R34</f>
        <v>NA</v>
      </c>
      <c r="Q61" s="12" t="str">
        <f xml:space="preserve"> 'FINANCIAL STATEMENTS'!S34</f>
        <v>NA</v>
      </c>
      <c r="R61" s="12" t="str">
        <f xml:space="preserve"> 'FINANCIAL STATEMENTS'!T34</f>
        <v>NA</v>
      </c>
      <c r="S61" s="12" t="str">
        <f xml:space="preserve"> 'FINANCIAL STATEMENTS'!U34</f>
        <v>NA</v>
      </c>
      <c r="T61" s="12" t="str">
        <f xml:space="preserve"> 'FINANCIAL STATEMENTS'!V34</f>
        <v>NA</v>
      </c>
      <c r="U61" s="12" t="str">
        <f xml:space="preserve"> 'FINANCIAL STATEMENTS'!W34</f>
        <v>NA</v>
      </c>
    </row>
    <row r="62" spans="1:21" s="3" customFormat="1">
      <c r="A62" s="3" t="s">
        <v>763</v>
      </c>
      <c r="G62" s="12" t="str">
        <f xml:space="preserve"> 'FINANCIAL STATEMENTS'!I42</f>
        <v>NA</v>
      </c>
      <c r="H62" s="12" t="str">
        <f xml:space="preserve"> 'FINANCIAL STATEMENTS'!J42</f>
        <v>NA</v>
      </c>
      <c r="I62" s="12" t="str">
        <f xml:space="preserve"> 'FINANCIAL STATEMENTS'!K42</f>
        <v>NA</v>
      </c>
      <c r="J62" s="12" t="str">
        <f xml:space="preserve"> 'FINANCIAL STATEMENTS'!L42</f>
        <v>NA</v>
      </c>
      <c r="K62" s="12" t="str">
        <f xml:space="preserve"> 'FINANCIAL STATEMENTS'!M42</f>
        <v>NA</v>
      </c>
      <c r="L62" s="12" t="str">
        <f xml:space="preserve"> 'FINANCIAL STATEMENTS'!N42</f>
        <v>NA</v>
      </c>
      <c r="M62" s="12" t="str">
        <f xml:space="preserve"> 'FINANCIAL STATEMENTS'!O42</f>
        <v>NA</v>
      </c>
      <c r="N62" s="12" t="str">
        <f xml:space="preserve"> 'FINANCIAL STATEMENTS'!P42</f>
        <v>NA</v>
      </c>
      <c r="O62" s="12" t="str">
        <f xml:space="preserve"> 'FINANCIAL STATEMENTS'!Q42</f>
        <v>NA</v>
      </c>
      <c r="P62" s="12" t="str">
        <f xml:space="preserve"> 'FINANCIAL STATEMENTS'!R42</f>
        <v>NA</v>
      </c>
      <c r="Q62" s="12" t="str">
        <f xml:space="preserve"> 'FINANCIAL STATEMENTS'!S42</f>
        <v>NA</v>
      </c>
      <c r="R62" s="12" t="str">
        <f xml:space="preserve"> 'FINANCIAL STATEMENTS'!T42</f>
        <v>NA</v>
      </c>
      <c r="S62" s="12" t="str">
        <f xml:space="preserve"> 'FINANCIAL STATEMENTS'!U42</f>
        <v>NA</v>
      </c>
      <c r="T62" s="12" t="str">
        <f xml:space="preserve"> 'FINANCIAL STATEMENTS'!V42</f>
        <v>NA</v>
      </c>
      <c r="U62" s="12" t="str">
        <f xml:space="preserve"> 'FINANCIAL STATEMENTS'!W42</f>
        <v>NA</v>
      </c>
    </row>
    <row r="63" spans="1:21" s="3" customFormat="1">
      <c r="A63" s="3" t="s">
        <v>767</v>
      </c>
      <c r="G63" s="126">
        <f xml:space="preserve"> 'FINANCIAL STATEMENTS'!I69</f>
        <v>0.25454545454545452</v>
      </c>
      <c r="H63" s="126">
        <f xml:space="preserve"> 'FINANCIAL STATEMENTS'!J69</f>
        <v>0.19207317073170738</v>
      </c>
      <c r="I63" s="126">
        <f xml:space="preserve"> 'FINANCIAL STATEMENTS'!K69</f>
        <v>0.16342509831962818</v>
      </c>
      <c r="J63" s="126">
        <f xml:space="preserve"> 'FINANCIAL STATEMENTS'!L69</f>
        <v>0.10641469821221584</v>
      </c>
      <c r="K63" s="126">
        <f xml:space="preserve"> 'FINANCIAL STATEMENTS'!M69</f>
        <v>9.0137627172985929E-2</v>
      </c>
      <c r="L63" s="126">
        <f xml:space="preserve"> 'FINANCIAL STATEMENTS'!N69</f>
        <v>0.13208349206268777</v>
      </c>
      <c r="M63" s="126">
        <f xml:space="preserve"> 'FINANCIAL STATEMENTS'!O69</f>
        <v>0.18644056912044965</v>
      </c>
      <c r="N63" s="126" t="e">
        <f xml:space="preserve"> 'FINANCIAL STATEMENTS'!P69</f>
        <v>#REF!</v>
      </c>
      <c r="O63" s="126" t="e">
        <f xml:space="preserve"> 'FINANCIAL STATEMENTS'!Q69</f>
        <v>#REF!</v>
      </c>
      <c r="P63" s="126" t="e">
        <f xml:space="preserve"> 'FINANCIAL STATEMENTS'!R69</f>
        <v>#REF!</v>
      </c>
      <c r="Q63" s="126" t="e">
        <f xml:space="preserve"> 'FINANCIAL STATEMENTS'!S69</f>
        <v>#REF!</v>
      </c>
      <c r="R63" s="126" t="e">
        <f xml:space="preserve"> 'FINANCIAL STATEMENTS'!T69</f>
        <v>#REF!</v>
      </c>
      <c r="S63" s="126" t="e">
        <f xml:space="preserve"> 'FINANCIAL STATEMENTS'!U69</f>
        <v>#REF!</v>
      </c>
      <c r="T63" s="126" t="e">
        <f xml:space="preserve"> 'FINANCIAL STATEMENTS'!V69</f>
        <v>#REF!</v>
      </c>
      <c r="U63" s="126" t="e">
        <f xml:space="preserve"> 'FINANCIAL STATEMENTS'!W69</f>
        <v>#REF!</v>
      </c>
    </row>
    <row r="64" spans="1:21" s="3" customFormat="1">
      <c r="A64" s="3" t="s">
        <v>768</v>
      </c>
      <c r="G64" s="126" t="str">
        <f xml:space="preserve"> 'FINANCIAL STATEMENTS'!I70</f>
        <v>NA</v>
      </c>
      <c r="H64" s="126">
        <f xml:space="preserve"> 'FINANCIAL STATEMENTS'!J70</f>
        <v>0.83228511530398541</v>
      </c>
      <c r="I64" s="126">
        <f xml:space="preserve"> 'FINANCIAL STATEMENTS'!K70</f>
        <v>0.39155446756425949</v>
      </c>
      <c r="J64" s="126">
        <f xml:space="preserve"> 'FINANCIAL STATEMENTS'!L70</f>
        <v>0.18984891022140296</v>
      </c>
      <c r="K64" s="126">
        <f xml:space="preserve"> 'FINANCIAL STATEMENTS'!M70</f>
        <v>0.1260004847392307</v>
      </c>
      <c r="L64" s="126">
        <f xml:space="preserve"> 'FINANCIAL STATEMENTS'!N70</f>
        <v>0.16228568488266254</v>
      </c>
      <c r="M64" s="126">
        <f xml:space="preserve"> 'FINANCIAL STATEMENTS'!O70</f>
        <v>0.21206740166074217</v>
      </c>
      <c r="N64" s="126" t="str">
        <f xml:space="preserve"> 'FINANCIAL STATEMENTS'!P70</f>
        <v>NA</v>
      </c>
      <c r="O64" s="126" t="str">
        <f xml:space="preserve"> 'FINANCIAL STATEMENTS'!Q70</f>
        <v>NA</v>
      </c>
      <c r="P64" s="126" t="str">
        <f xml:space="preserve"> 'FINANCIAL STATEMENTS'!R70</f>
        <v>NA</v>
      </c>
      <c r="Q64" s="126" t="str">
        <f xml:space="preserve"> 'FINANCIAL STATEMENTS'!S70</f>
        <v>NA</v>
      </c>
      <c r="R64" s="126" t="str">
        <f xml:space="preserve"> 'FINANCIAL STATEMENTS'!T70</f>
        <v>NA</v>
      </c>
      <c r="S64" s="126" t="str">
        <f xml:space="preserve"> 'FINANCIAL STATEMENTS'!U70</f>
        <v>NA</v>
      </c>
      <c r="T64" s="126" t="str">
        <f xml:space="preserve"> 'FINANCIAL STATEMENTS'!V70</f>
        <v>NA</v>
      </c>
      <c r="U64" s="126" t="str">
        <f xml:space="preserve"> 'FINANCIAL STATEMENTS'!W70</f>
        <v>NA</v>
      </c>
    </row>
    <row r="65" spans="1:21" s="129" customFormat="1">
      <c r="A65" s="130" t="s">
        <v>853</v>
      </c>
    </row>
    <row r="66" spans="1:21" s="3" customFormat="1">
      <c r="A66" s="3" t="s">
        <v>169</v>
      </c>
      <c r="G66" s="11" t="e">
        <f xml:space="preserve"> 'DIRECT EXPENSES(COGS)'!H6</f>
        <v>#REF!</v>
      </c>
      <c r="H66" s="11" t="e">
        <f xml:space="preserve"> 'DIRECT EXPENSES(COGS)'!I6</f>
        <v>#REF!</v>
      </c>
      <c r="I66" s="11" t="e">
        <f xml:space="preserve"> 'DIRECT EXPENSES(COGS)'!J6</f>
        <v>#REF!</v>
      </c>
      <c r="J66" s="11" t="e">
        <f xml:space="preserve"> 'DIRECT EXPENSES(COGS)'!K6</f>
        <v>#REF!</v>
      </c>
      <c r="K66" s="11" t="e">
        <f xml:space="preserve"> 'DIRECT EXPENSES(COGS)'!L6</f>
        <v>#REF!</v>
      </c>
      <c r="L66" s="11" t="e">
        <f xml:space="preserve"> 'DIRECT EXPENSES(COGS)'!M6</f>
        <v>#REF!</v>
      </c>
      <c r="M66" s="11" t="e">
        <f xml:space="preserve"> 'DIRECT EXPENSES(COGS)'!N6</f>
        <v>#REF!</v>
      </c>
      <c r="N66" s="11" t="e">
        <f xml:space="preserve"> 'DIRECT EXPENSES(COGS)'!O6</f>
        <v>#REF!</v>
      </c>
      <c r="O66" s="11" t="e">
        <f xml:space="preserve"> 'DIRECT EXPENSES(COGS)'!P6</f>
        <v>#REF!</v>
      </c>
      <c r="P66" s="11" t="e">
        <f xml:space="preserve"> 'DIRECT EXPENSES(COGS)'!Q6</f>
        <v>#REF!</v>
      </c>
      <c r="Q66" s="11" t="e">
        <f xml:space="preserve"> 'DIRECT EXPENSES(COGS)'!R6</f>
        <v>#REF!</v>
      </c>
      <c r="R66" s="11" t="e">
        <f xml:space="preserve"> 'DIRECT EXPENSES(COGS)'!S6</f>
        <v>#REF!</v>
      </c>
      <c r="S66" s="11" t="e">
        <f xml:space="preserve"> 'DIRECT EXPENSES(COGS)'!T6</f>
        <v>#REF!</v>
      </c>
      <c r="T66" s="11" t="e">
        <f xml:space="preserve"> 'DIRECT EXPENSES(COGS)'!U6</f>
        <v>#REF!</v>
      </c>
      <c r="U66" s="11" t="e">
        <f xml:space="preserve"> 'DIRECT EXPENSES(COGS)'!V6</f>
        <v>#REF!</v>
      </c>
    </row>
    <row r="67" spans="1:21" s="3" customFormat="1">
      <c r="A67" s="3" t="s">
        <v>171</v>
      </c>
      <c r="G67" s="11">
        <f xml:space="preserve"> 'DIRECT EXPENSES(COGS)'!H7</f>
        <v>0</v>
      </c>
      <c r="H67" s="11">
        <f xml:space="preserve"> 'DIRECT EXPENSES(COGS)'!I7</f>
        <v>0</v>
      </c>
      <c r="I67" s="11">
        <f xml:space="preserve"> 'DIRECT EXPENSES(COGS)'!J7</f>
        <v>0</v>
      </c>
      <c r="J67" s="11">
        <f xml:space="preserve"> 'DIRECT EXPENSES(COGS)'!K7</f>
        <v>20.982909548021077</v>
      </c>
      <c r="K67" s="11">
        <f xml:space="preserve"> 'DIRECT EXPENSES(COGS)'!L7</f>
        <v>26.85348009869255</v>
      </c>
      <c r="L67" s="11">
        <f xml:space="preserve"> 'DIRECT EXPENSES(COGS)'!M7</f>
        <v>51.056302779368885</v>
      </c>
      <c r="M67" s="11">
        <f xml:space="preserve"> 'DIRECT EXPENSES(COGS)'!N7</f>
        <v>73.53760876197255</v>
      </c>
      <c r="N67" s="11">
        <f xml:space="preserve"> 'DIRECT EXPENSES(COGS)'!O7</f>
        <v>97.571230074957043</v>
      </c>
      <c r="O67" s="11">
        <f xml:space="preserve"> 'DIRECT EXPENSES(COGS)'!P7</f>
        <v>119.10003153273735</v>
      </c>
      <c r="P67" s="11">
        <f xml:space="preserve"> 'DIRECT EXPENSES(COGS)'!Q7</f>
        <v>150.41466017302085</v>
      </c>
      <c r="Q67" s="11">
        <f xml:space="preserve"> 'DIRECT EXPENSES(COGS)'!R7</f>
        <v>179.96437523068701</v>
      </c>
      <c r="R67" s="11">
        <f xml:space="preserve"> 'DIRECT EXPENSES(COGS)'!S7</f>
        <v>213.86922145725998</v>
      </c>
      <c r="S67" s="11">
        <f xml:space="preserve"> 'DIRECT EXPENSES(COGS)'!T7</f>
        <v>244.20009403458221</v>
      </c>
      <c r="T67" s="11">
        <f xml:space="preserve"> 'DIRECT EXPENSES(COGS)'!U7</f>
        <v>278.31127595884044</v>
      </c>
      <c r="U67" s="11">
        <f xml:space="preserve"> 'DIRECT EXPENSES(COGS)'!V7</f>
        <v>316.79145745942816</v>
      </c>
    </row>
    <row r="68" spans="1:21" s="3" customFormat="1">
      <c r="A68" s="3" t="s">
        <v>177</v>
      </c>
      <c r="G68" s="11">
        <f xml:space="preserve"> 'DIRECT EXPENSES(COGS)'!H8</f>
        <v>0</v>
      </c>
      <c r="H68" s="11">
        <f xml:space="preserve"> 'DIRECT EXPENSES(COGS)'!I8</f>
        <v>0</v>
      </c>
      <c r="I68" s="11">
        <f xml:space="preserve"> 'DIRECT EXPENSES(COGS)'!J8</f>
        <v>0</v>
      </c>
      <c r="J68" s="11">
        <f xml:space="preserve"> 'DIRECT EXPENSES(COGS)'!K8</f>
        <v>3.1760999999999998E-2</v>
      </c>
      <c r="K68" s="11">
        <f xml:space="preserve"> 'DIRECT EXPENSES(COGS)'!L8</f>
        <v>6.2890274999999982E-2</v>
      </c>
      <c r="L68" s="11">
        <f xml:space="preserve"> 'DIRECT EXPENSES(COGS)'!M8</f>
        <v>0.11506079970000002</v>
      </c>
      <c r="M68" s="11">
        <f xml:space="preserve"> 'DIRECT EXPENSES(COGS)'!N8</f>
        <v>0.195329112</v>
      </c>
      <c r="N68" s="11">
        <f xml:space="preserve"> 'DIRECT EXPENSES(COGS)'!O8</f>
        <v>0.285670344375</v>
      </c>
      <c r="O68" s="11">
        <f xml:space="preserve"> 'DIRECT EXPENSES(COGS)'!P8</f>
        <v>0.40188989633000011</v>
      </c>
      <c r="P68" s="11">
        <f xml:space="preserve"> 'DIRECT EXPENSES(COGS)'!Q8</f>
        <v>0.54273183583500006</v>
      </c>
      <c r="Q68" s="11">
        <f xml:space="preserve"> 'DIRECT EXPENSES(COGS)'!R8</f>
        <v>0.70990416560000003</v>
      </c>
      <c r="R68" s="11">
        <f xml:space="preserve"> 'DIRECT EXPENSES(COGS)'!S8</f>
        <v>0.91415633017499986</v>
      </c>
      <c r="S68" s="11">
        <f xml:space="preserve"> 'DIRECT EXPENSES(COGS)'!T8</f>
        <v>1.1486632859999999</v>
      </c>
      <c r="T68" s="11">
        <f xml:space="preserve"> 'DIRECT EXPENSES(COGS)'!U8</f>
        <v>1.3944563221499999</v>
      </c>
      <c r="U68" s="11">
        <f xml:space="preserve"> 'DIRECT EXPENSES(COGS)'!V8</f>
        <v>1.69210152</v>
      </c>
    </row>
    <row r="69" spans="1:21" s="3" customFormat="1">
      <c r="A69" s="3" t="s">
        <v>178</v>
      </c>
      <c r="G69" s="11">
        <f xml:space="preserve"> 'DIRECT EXPENSES(COGS)'!H9</f>
        <v>0</v>
      </c>
      <c r="H69" s="11">
        <f xml:space="preserve"> 'DIRECT EXPENSES(COGS)'!I9</f>
        <v>0</v>
      </c>
      <c r="I69" s="11">
        <f xml:space="preserve"> 'DIRECT EXPENSES(COGS)'!J9</f>
        <v>0</v>
      </c>
      <c r="J69" s="11">
        <f xml:space="preserve"> 'DIRECT EXPENSES(COGS)'!K9</f>
        <v>0.10146212999999998</v>
      </c>
      <c r="K69" s="11">
        <f xml:space="preserve"> 'DIRECT EXPENSES(COGS)'!L9</f>
        <v>0.24006805514999999</v>
      </c>
      <c r="L69" s="11">
        <f xml:space="preserve"> 'DIRECT EXPENSES(COGS)'!M9</f>
        <v>0.55504770109599999</v>
      </c>
      <c r="M69" s="11">
        <f xml:space="preserve"> 'DIRECT EXPENSES(COGS)'!N9</f>
        <v>1.1550022847999999</v>
      </c>
      <c r="N69" s="11">
        <f xml:space="preserve"> 'DIRECT EXPENSES(COGS)'!O9</f>
        <v>2.4288166980000003</v>
      </c>
      <c r="O69" s="11">
        <f xml:space="preserve"> 'DIRECT EXPENSES(COGS)'!P9</f>
        <v>4.1221656643999998</v>
      </c>
      <c r="P69" s="11">
        <f xml:space="preserve"> 'DIRECT EXPENSES(COGS)'!Q9</f>
        <v>6.7171640135985013</v>
      </c>
      <c r="Q69" s="11">
        <f xml:space="preserve"> 'DIRECT EXPENSES(COGS)'!R9</f>
        <v>10.602585682415999</v>
      </c>
      <c r="R69" s="11">
        <f xml:space="preserve"> 'DIRECT EXPENSES(COGS)'!S9</f>
        <v>16.320948855119997</v>
      </c>
      <c r="S69" s="11">
        <f xml:space="preserve"> 'DIRECT EXPENSES(COGS)'!T9</f>
        <v>21.831993065400003</v>
      </c>
      <c r="T69" s="11">
        <f xml:space="preserve"> 'DIRECT EXPENSES(COGS)'!U9</f>
        <v>29.823459665999994</v>
      </c>
      <c r="U69" s="11">
        <f xml:space="preserve"> 'DIRECT EXPENSES(COGS)'!V9</f>
        <v>36.170152572959999</v>
      </c>
    </row>
    <row r="70" spans="1:21" s="3" customFormat="1">
      <c r="A70" s="3" t="s">
        <v>179</v>
      </c>
      <c r="G70" s="11">
        <f xml:space="preserve"> 'DIRECT EXPENSES(COGS)'!H10</f>
        <v>0</v>
      </c>
      <c r="H70" s="11">
        <f xml:space="preserve"> 'DIRECT EXPENSES(COGS)'!I10</f>
        <v>0</v>
      </c>
      <c r="I70" s="11">
        <f xml:space="preserve"> 'DIRECT EXPENSES(COGS)'!J10</f>
        <v>0</v>
      </c>
      <c r="J70" s="11">
        <f xml:space="preserve"> 'DIRECT EXPENSES(COGS)'!K10</f>
        <v>2.9947499999999998E-2</v>
      </c>
      <c r="K70" s="11">
        <f xml:space="preserve"> 'DIRECT EXPENSES(COGS)'!L10</f>
        <v>3.2942249999999999E-2</v>
      </c>
      <c r="L70" s="11">
        <f xml:space="preserve"> 'DIRECT EXPENSES(COGS)'!M10</f>
        <v>3.6236489999999996E-2</v>
      </c>
      <c r="M70" s="11">
        <f xml:space="preserve"> 'DIRECT EXPENSES(COGS)'!N10</f>
        <v>3.9860100000000002E-2</v>
      </c>
      <c r="N70" s="11">
        <f xml:space="preserve"> 'DIRECT EXPENSES(COGS)'!O10</f>
        <v>4.3846139999999999E-2</v>
      </c>
      <c r="O70" s="11">
        <f xml:space="preserve"> 'DIRECT EXPENSES(COGS)'!P10</f>
        <v>4.8230759999999998E-2</v>
      </c>
      <c r="P70" s="11">
        <f xml:space="preserve"> 'DIRECT EXPENSES(COGS)'!Q10</f>
        <v>5.3053830000000003E-2</v>
      </c>
      <c r="Q70" s="11">
        <f xml:space="preserve"> 'DIRECT EXPENSES(COGS)'!R10</f>
        <v>5.8359149999999999E-2</v>
      </c>
      <c r="R70" s="11">
        <f xml:space="preserve"> 'DIRECT EXPENSES(COGS)'!S10</f>
        <v>6.4195139999999998E-2</v>
      </c>
      <c r="S70" s="11">
        <f xml:space="preserve"> 'DIRECT EXPENSES(COGS)'!T10</f>
        <v>7.0614629999999998E-2</v>
      </c>
      <c r="T70" s="11">
        <f xml:space="preserve"> 'DIRECT EXPENSES(COGS)'!U10</f>
        <v>7.7676120000000001E-2</v>
      </c>
      <c r="U70" s="11">
        <f xml:space="preserve"> 'DIRECT EXPENSES(COGS)'!V10</f>
        <v>8.5443749999999999E-2</v>
      </c>
    </row>
    <row r="71" spans="1:21" s="3" customFormat="1">
      <c r="A71" s="3" t="s">
        <v>180</v>
      </c>
      <c r="G71" s="11">
        <f xml:space="preserve"> 'DIRECT EXPENSES(COGS)'!H11</f>
        <v>0</v>
      </c>
      <c r="H71" s="11">
        <f xml:space="preserve"> 'DIRECT EXPENSES(COGS)'!I11</f>
        <v>0</v>
      </c>
      <c r="I71" s="11">
        <f xml:space="preserve"> 'DIRECT EXPENSES(COGS)'!J11</f>
        <v>0</v>
      </c>
      <c r="J71" s="11">
        <f xml:space="preserve"> 'DIRECT EXPENSES(COGS)'!K11</f>
        <v>2.9947499999999998E-2</v>
      </c>
      <c r="K71" s="11">
        <f xml:space="preserve"> 'DIRECT EXPENSES(COGS)'!L11</f>
        <v>3.2942249999999999E-2</v>
      </c>
      <c r="L71" s="11">
        <f xml:space="preserve"> 'DIRECT EXPENSES(COGS)'!M11</f>
        <v>3.6236489999999996E-2</v>
      </c>
      <c r="M71" s="11">
        <f xml:space="preserve"> 'DIRECT EXPENSES(COGS)'!N11</f>
        <v>3.9860100000000002E-2</v>
      </c>
      <c r="N71" s="11">
        <f xml:space="preserve"> 'DIRECT EXPENSES(COGS)'!O11</f>
        <v>4.3846139999999999E-2</v>
      </c>
      <c r="O71" s="11">
        <f xml:space="preserve"> 'DIRECT EXPENSES(COGS)'!P11</f>
        <v>4.8230759999999998E-2</v>
      </c>
      <c r="P71" s="11">
        <f xml:space="preserve"> 'DIRECT EXPENSES(COGS)'!Q11</f>
        <v>5.3053830000000003E-2</v>
      </c>
      <c r="Q71" s="11">
        <f xml:space="preserve"> 'DIRECT EXPENSES(COGS)'!R11</f>
        <v>5.8359149999999999E-2</v>
      </c>
      <c r="R71" s="11">
        <f xml:space="preserve"> 'DIRECT EXPENSES(COGS)'!S11</f>
        <v>6.4195139999999998E-2</v>
      </c>
      <c r="S71" s="11">
        <f xml:space="preserve"> 'DIRECT EXPENSES(COGS)'!T11</f>
        <v>7.0614629999999998E-2</v>
      </c>
      <c r="T71" s="11">
        <f xml:space="preserve"> 'DIRECT EXPENSES(COGS)'!U11</f>
        <v>7.7676120000000001E-2</v>
      </c>
      <c r="U71" s="11">
        <f xml:space="preserve"> 'DIRECT EXPENSES(COGS)'!V11</f>
        <v>8.5443749999999999E-2</v>
      </c>
    </row>
    <row r="72" spans="1:21" s="3" customFormat="1">
      <c r="A72" s="3" t="s">
        <v>181</v>
      </c>
      <c r="G72" s="11" t="e">
        <f xml:space="preserve"> 'DIRECT EXPENSES(COGS)'!H12</f>
        <v>#REF!</v>
      </c>
      <c r="H72" s="11" t="e">
        <f xml:space="preserve"> 'DIRECT EXPENSES(COGS)'!I12</f>
        <v>#REF!</v>
      </c>
      <c r="I72" s="11" t="e">
        <f xml:space="preserve"> 'DIRECT EXPENSES(COGS)'!J12</f>
        <v>#REF!</v>
      </c>
      <c r="J72" s="11" t="e">
        <f xml:space="preserve"> 'DIRECT EXPENSES(COGS)'!K12</f>
        <v>#REF!</v>
      </c>
      <c r="K72" s="11" t="e">
        <f xml:space="preserve"> 'DIRECT EXPENSES(COGS)'!L12</f>
        <v>#REF!</v>
      </c>
      <c r="L72" s="11" t="e">
        <f xml:space="preserve"> 'DIRECT EXPENSES(COGS)'!M12</f>
        <v>#REF!</v>
      </c>
      <c r="M72" s="11" t="e">
        <f xml:space="preserve"> 'DIRECT EXPENSES(COGS)'!N12</f>
        <v>#REF!</v>
      </c>
      <c r="N72" s="11" t="e">
        <f xml:space="preserve"> 'DIRECT EXPENSES(COGS)'!O12</f>
        <v>#REF!</v>
      </c>
      <c r="O72" s="11" t="e">
        <f xml:space="preserve"> 'DIRECT EXPENSES(COGS)'!P12</f>
        <v>#REF!</v>
      </c>
      <c r="P72" s="11" t="e">
        <f xml:space="preserve"> 'DIRECT EXPENSES(COGS)'!Q12</f>
        <v>#REF!</v>
      </c>
      <c r="Q72" s="11" t="e">
        <f xml:space="preserve"> 'DIRECT EXPENSES(COGS)'!R12</f>
        <v>#REF!</v>
      </c>
      <c r="R72" s="11" t="e">
        <f xml:space="preserve"> 'DIRECT EXPENSES(COGS)'!S12</f>
        <v>#REF!</v>
      </c>
      <c r="S72" s="11" t="e">
        <f xml:space="preserve"> 'DIRECT EXPENSES(COGS)'!T12</f>
        <v>#REF!</v>
      </c>
      <c r="T72" s="11" t="e">
        <f xml:space="preserve"> 'DIRECT EXPENSES(COGS)'!U12</f>
        <v>#REF!</v>
      </c>
      <c r="U72" s="11" t="e">
        <f xml:space="preserve"> 'DIRECT EXPENSES(COGS)'!V12</f>
        <v>#REF!</v>
      </c>
    </row>
    <row r="73" spans="1:21" s="3" customFormat="1" ht="15" thickBot="1">
      <c r="A73" s="3" t="s">
        <v>182</v>
      </c>
      <c r="G73" s="11">
        <f xml:space="preserve"> 'DIRECT EXPENSES(COGS)'!H13</f>
        <v>0</v>
      </c>
      <c r="H73" s="11">
        <f xml:space="preserve"> 'DIRECT EXPENSES(COGS)'!I13</f>
        <v>0</v>
      </c>
      <c r="I73" s="11">
        <f xml:space="preserve"> 'DIRECT EXPENSES(COGS)'!J13</f>
        <v>0</v>
      </c>
      <c r="J73" s="11">
        <f xml:space="preserve"> 'DIRECT EXPENSES(COGS)'!K13</f>
        <v>8.0520493624999991E-3</v>
      </c>
      <c r="K73" s="11">
        <f xml:space="preserve"> 'DIRECT EXPENSES(COGS)'!L13</f>
        <v>8.8777322105000004E-3</v>
      </c>
      <c r="L73" s="11">
        <f xml:space="preserve"> 'DIRECT EXPENSES(COGS)'!M13</f>
        <v>9.7874806545000005E-3</v>
      </c>
      <c r="M73" s="11">
        <f xml:space="preserve"> 'DIRECT EXPENSES(COGS)'!N13</f>
        <v>1.07906207345E-2</v>
      </c>
      <c r="N73" s="11">
        <f xml:space="preserve"> 'DIRECT EXPENSES(COGS)'!O13</f>
        <v>1.18973840625E-2</v>
      </c>
      <c r="O73" s="11">
        <f xml:space="preserve"> 'DIRECT EXPENSES(COGS)'!P13</f>
        <v>1.3115597710500001E-2</v>
      </c>
      <c r="P73" s="11">
        <f xml:space="preserve"> 'DIRECT EXPENSES(COGS)'!Q13</f>
        <v>1.4460567894500001E-2</v>
      </c>
      <c r="Q73" s="11">
        <f xml:space="preserve"> 'DIRECT EXPENSES(COGS)'!R13</f>
        <v>1.5941937190499997E-2</v>
      </c>
      <c r="R73" s="11">
        <f xml:space="preserve"> 'DIRECT EXPENSES(COGS)'!S13</f>
        <v>1.7575692138000001E-2</v>
      </c>
      <c r="S73" s="11">
        <f xml:space="preserve"> 'DIRECT EXPENSES(COGS)'!T13</f>
        <v>1.9377406111999999E-2</v>
      </c>
      <c r="T73" s="11">
        <f xml:space="preserve"> 'DIRECT EXPENSES(COGS)'!U13</f>
        <v>2.1364021854499999E-2</v>
      </c>
      <c r="U73" s="11">
        <f xml:space="preserve"> 'DIRECT EXPENSES(COGS)'!V13</f>
        <v>2.3553947394499997E-2</v>
      </c>
    </row>
    <row r="74" spans="1:21" s="128" customFormat="1" ht="15.6" thickTop="1" thickBot="1">
      <c r="A74" s="128" t="s">
        <v>724</v>
      </c>
      <c r="G74" s="133" t="e">
        <f xml:space="preserve"> 'DIRECT EXPENSES(COGS)'!H14</f>
        <v>#REF!</v>
      </c>
      <c r="H74" s="133" t="e">
        <f xml:space="preserve"> 'DIRECT EXPENSES(COGS)'!I14</f>
        <v>#REF!</v>
      </c>
      <c r="I74" s="133" t="e">
        <f xml:space="preserve"> 'DIRECT EXPENSES(COGS)'!J14</f>
        <v>#REF!</v>
      </c>
      <c r="J74" s="133" t="e">
        <f xml:space="preserve"> 'DIRECT EXPENSES(COGS)'!K14</f>
        <v>#REF!</v>
      </c>
      <c r="K74" s="133" t="e">
        <f xml:space="preserve"> 'DIRECT EXPENSES(COGS)'!L14</f>
        <v>#REF!</v>
      </c>
      <c r="L74" s="133" t="e">
        <f xml:space="preserve"> 'DIRECT EXPENSES(COGS)'!M14</f>
        <v>#REF!</v>
      </c>
      <c r="M74" s="133" t="e">
        <f xml:space="preserve"> 'DIRECT EXPENSES(COGS)'!N14</f>
        <v>#REF!</v>
      </c>
      <c r="N74" s="133" t="e">
        <f xml:space="preserve"> 'DIRECT EXPENSES(COGS)'!O14</f>
        <v>#REF!</v>
      </c>
      <c r="O74" s="133" t="e">
        <f xml:space="preserve"> 'DIRECT EXPENSES(COGS)'!P14</f>
        <v>#REF!</v>
      </c>
      <c r="P74" s="133" t="e">
        <f xml:space="preserve"> 'DIRECT EXPENSES(COGS)'!Q14</f>
        <v>#REF!</v>
      </c>
      <c r="Q74" s="133" t="e">
        <f xml:space="preserve"> 'DIRECT EXPENSES(COGS)'!R14</f>
        <v>#REF!</v>
      </c>
      <c r="R74" s="133" t="e">
        <f xml:space="preserve"> 'DIRECT EXPENSES(COGS)'!S14</f>
        <v>#REF!</v>
      </c>
      <c r="S74" s="133" t="e">
        <f xml:space="preserve"> 'DIRECT EXPENSES(COGS)'!T14</f>
        <v>#REF!</v>
      </c>
      <c r="T74" s="133" t="e">
        <f xml:space="preserve"> 'DIRECT EXPENSES(COGS)'!U14</f>
        <v>#REF!</v>
      </c>
      <c r="U74" s="133" t="e">
        <f xml:space="preserve"> 'DIRECT EXPENSES(COGS)'!V14</f>
        <v>#REF!</v>
      </c>
    </row>
    <row r="75" spans="1:21" s="3" customFormat="1" ht="15" thickTop="1">
      <c r="A75" s="3" t="s">
        <v>238</v>
      </c>
      <c r="G75" s="74">
        <f xml:space="preserve"> 'INDIRECT EXPENSES(OPEX)'!F6</f>
        <v>0</v>
      </c>
      <c r="H75" s="74">
        <f xml:space="preserve"> 'INDIRECT EXPENSES(OPEX)'!G6</f>
        <v>0</v>
      </c>
      <c r="I75" s="74">
        <f xml:space="preserve"> 'INDIRECT EXPENSES(OPEX)'!H6</f>
        <v>0</v>
      </c>
      <c r="J75" s="74">
        <f xml:space="preserve"> 'INDIRECT EXPENSES(OPEX)'!I6</f>
        <v>7.1968750000000004</v>
      </c>
      <c r="K75" s="74">
        <f xml:space="preserve"> 'INDIRECT EXPENSES(OPEX)'!J6</f>
        <v>7.69625</v>
      </c>
      <c r="L75" s="74">
        <f xml:space="preserve"> 'INDIRECT EXPENSES(OPEX)'!K6</f>
        <v>8.2291124999999994</v>
      </c>
      <c r="M75" s="74">
        <f xml:space="preserve"> 'INDIRECT EXPENSES(OPEX)'!L6</f>
        <v>8.8054500000000004</v>
      </c>
      <c r="N75" s="74">
        <f xml:space="preserve"> 'INDIRECT EXPENSES(OPEX)'!M6</f>
        <v>9.4217375000000008</v>
      </c>
      <c r="O75" s="74">
        <f xml:space="preserve"> 'INDIRECT EXPENSES(OPEX)'!N6</f>
        <v>10.080912499999998</v>
      </c>
      <c r="P75" s="74">
        <f xml:space="preserve"> 'INDIRECT EXPENSES(OPEX)'!O6</f>
        <v>10.7865</v>
      </c>
      <c r="Q75" s="74">
        <f xml:space="preserve"> 'INDIRECT EXPENSES(OPEX)'!P6</f>
        <v>11.541437499999999</v>
      </c>
      <c r="R75" s="74">
        <f xml:space="preserve"> 'INDIRECT EXPENSES(OPEX)'!Q6</f>
        <v>12.343375</v>
      </c>
      <c r="S75" s="74">
        <f xml:space="preserve"> 'INDIRECT EXPENSES(OPEX)'!R6</f>
        <v>13.195837500000001</v>
      </c>
      <c r="T75" s="74">
        <f xml:space="preserve"> 'INDIRECT EXPENSES(OPEX)'!S6</f>
        <v>14.1017625</v>
      </c>
      <c r="U75" s="74">
        <f xml:space="preserve"> 'INDIRECT EXPENSES(OPEX)'!T6</f>
        <v>15.065262500000001</v>
      </c>
    </row>
    <row r="76" spans="1:21" s="3" customFormat="1">
      <c r="A76" s="3" t="s">
        <v>212</v>
      </c>
      <c r="G76" s="74">
        <f xml:space="preserve"> 'INDIRECT EXPENSES(OPEX)'!F7</f>
        <v>0</v>
      </c>
      <c r="H76" s="74">
        <f xml:space="preserve"> 'INDIRECT EXPENSES(OPEX)'!G7</f>
        <v>0</v>
      </c>
      <c r="I76" s="74">
        <f xml:space="preserve"> 'INDIRECT EXPENSES(OPEX)'!H7</f>
        <v>0</v>
      </c>
      <c r="J76" s="74">
        <f xml:space="preserve"> 'INDIRECT EXPENSES(OPEX)'!I7</f>
        <v>0.79625000000000012</v>
      </c>
      <c r="K76" s="74">
        <f xml:space="preserve"> 'INDIRECT EXPENSES(OPEX)'!J7</f>
        <v>0.85150000000000003</v>
      </c>
      <c r="L76" s="74">
        <f xml:space="preserve"> 'INDIRECT EXPENSES(OPEX)'!K7</f>
        <v>0.91045500000000001</v>
      </c>
      <c r="M76" s="74">
        <f xml:space="preserve"> 'INDIRECT EXPENSES(OPEX)'!L7</f>
        <v>0.97422000000000009</v>
      </c>
      <c r="N76" s="74">
        <f xml:space="preserve"> 'INDIRECT EXPENSES(OPEX)'!M7</f>
        <v>1.042405</v>
      </c>
      <c r="O76" s="74">
        <f xml:space="preserve"> 'INDIRECT EXPENSES(OPEX)'!N7</f>
        <v>1.115335</v>
      </c>
      <c r="P76" s="74">
        <f xml:space="preserve"> 'INDIRECT EXPENSES(OPEX)'!O7</f>
        <v>1.1934</v>
      </c>
      <c r="Q76" s="74">
        <f xml:space="preserve"> 'INDIRECT EXPENSES(OPEX)'!P7</f>
        <v>1.2769250000000001</v>
      </c>
      <c r="R76" s="74">
        <f xml:space="preserve"> 'INDIRECT EXPENSES(OPEX)'!Q7</f>
        <v>1.36565</v>
      </c>
      <c r="S76" s="74">
        <f xml:space="preserve"> 'INDIRECT EXPENSES(OPEX)'!R7</f>
        <v>1.459965</v>
      </c>
      <c r="T76" s="74">
        <f xml:space="preserve"> 'INDIRECT EXPENSES(OPEX)'!S7</f>
        <v>1.560195</v>
      </c>
      <c r="U76" s="74">
        <f xml:space="preserve"> 'INDIRECT EXPENSES(OPEX)'!T7</f>
        <v>1.666795</v>
      </c>
    </row>
    <row r="77" spans="1:21" s="3" customFormat="1">
      <c r="A77" s="3" t="s">
        <v>218</v>
      </c>
      <c r="G77" s="74">
        <f xml:space="preserve"> 'INDIRECT EXPENSES(OPEX)'!F8</f>
        <v>0</v>
      </c>
      <c r="H77" s="74">
        <f xml:space="preserve"> 'INDIRECT EXPENSES(OPEX)'!G8</f>
        <v>0</v>
      </c>
      <c r="I77" s="74">
        <f xml:space="preserve"> 'INDIRECT EXPENSES(OPEX)'!H8</f>
        <v>0</v>
      </c>
      <c r="J77" s="74">
        <f xml:space="preserve"> 'INDIRECT EXPENSES(OPEX)'!I8</f>
        <v>10.289265</v>
      </c>
      <c r="K77" s="74">
        <f xml:space="preserve"> 'INDIRECT EXPENSES(OPEX)'!J8</f>
        <v>11.003214</v>
      </c>
      <c r="L77" s="74">
        <f xml:space="preserve"> 'INDIRECT EXPENSES(OPEX)'!K8</f>
        <v>11.76503958</v>
      </c>
      <c r="M77" s="74">
        <f xml:space="preserve"> 'INDIRECT EXPENSES(OPEX)'!L8</f>
        <v>12.589020719999999</v>
      </c>
      <c r="N77" s="74">
        <f xml:space="preserve"> 'INDIRECT EXPENSES(OPEX)'!M8</f>
        <v>13.470117779999999</v>
      </c>
      <c r="O77" s="74">
        <f xml:space="preserve"> 'INDIRECT EXPENSES(OPEX)'!N8</f>
        <v>14.412530459999999</v>
      </c>
      <c r="P77" s="74">
        <f xml:space="preserve"> 'INDIRECT EXPENSES(OPEX)'!O8</f>
        <v>15.4212984</v>
      </c>
      <c r="Q77" s="74">
        <f xml:space="preserve"> 'INDIRECT EXPENSES(OPEX)'!P8</f>
        <v>16.500621299999999</v>
      </c>
      <c r="R77" s="74">
        <f xml:space="preserve"> 'INDIRECT EXPENSES(OPEX)'!Q8</f>
        <v>17.6471394</v>
      </c>
      <c r="S77" s="74">
        <f xml:space="preserve"> 'INDIRECT EXPENSES(OPEX)'!R8</f>
        <v>18.865892340000002</v>
      </c>
      <c r="T77" s="74">
        <f xml:space="preserve"> 'INDIRECT EXPENSES(OPEX)'!S8</f>
        <v>20.161079819999998</v>
      </c>
      <c r="U77" s="74">
        <f xml:space="preserve"> 'INDIRECT EXPENSES(OPEX)'!T8</f>
        <v>21.53858142</v>
      </c>
    </row>
    <row r="78" spans="1:21" s="3" customFormat="1">
      <c r="A78" s="3" t="s">
        <v>222</v>
      </c>
      <c r="G78" s="74">
        <f xml:space="preserve"> 'INDIRECT EXPENSES(OPEX)'!F9</f>
        <v>0</v>
      </c>
      <c r="H78" s="74">
        <f xml:space="preserve"> 'INDIRECT EXPENSES(OPEX)'!G9</f>
        <v>0</v>
      </c>
      <c r="I78" s="74">
        <f xml:space="preserve"> 'INDIRECT EXPENSES(OPEX)'!H9</f>
        <v>0</v>
      </c>
      <c r="J78" s="74">
        <f xml:space="preserve"> 'INDIRECT EXPENSES(OPEX)'!I9</f>
        <v>2.68275</v>
      </c>
      <c r="K78" s="74">
        <f xml:space="preserve"> 'INDIRECT EXPENSES(OPEX)'!J9</f>
        <v>2.8689</v>
      </c>
      <c r="L78" s="74">
        <f xml:space="preserve"> 'INDIRECT EXPENSES(OPEX)'!K9</f>
        <v>3.0675330000000001</v>
      </c>
      <c r="M78" s="74">
        <f xml:space="preserve"> 'INDIRECT EXPENSES(OPEX)'!L9</f>
        <v>3.2823720000000001</v>
      </c>
      <c r="N78" s="74">
        <f xml:space="preserve"> 'INDIRECT EXPENSES(OPEX)'!M9</f>
        <v>3.5121030000000002</v>
      </c>
      <c r="O78" s="74">
        <f xml:space="preserve"> 'INDIRECT EXPENSES(OPEX)'!N9</f>
        <v>3.7578209999999999</v>
      </c>
      <c r="P78" s="74">
        <f xml:space="preserve"> 'INDIRECT EXPENSES(OPEX)'!O9</f>
        <v>4.0208400000000006</v>
      </c>
      <c r="Q78" s="74">
        <f xml:space="preserve"> 'INDIRECT EXPENSES(OPEX)'!P9</f>
        <v>4.3022550000000006</v>
      </c>
      <c r="R78" s="74">
        <f xml:space="preserve"> 'INDIRECT EXPENSES(OPEX)'!Q9</f>
        <v>4.6011900000000008</v>
      </c>
      <c r="S78" s="74">
        <f xml:space="preserve"> 'INDIRECT EXPENSES(OPEX)'!R9</f>
        <v>4.9189590000000001</v>
      </c>
      <c r="T78" s="74">
        <f xml:space="preserve"> 'INDIRECT EXPENSES(OPEX)'!S9</f>
        <v>5.2566569999999997</v>
      </c>
      <c r="U78" s="74">
        <f xml:space="preserve"> 'INDIRECT EXPENSES(OPEX)'!T9</f>
        <v>5.6158169999999998</v>
      </c>
    </row>
    <row r="79" spans="1:21" s="3" customFormat="1">
      <c r="A79" s="3" t="s">
        <v>225</v>
      </c>
      <c r="G79" s="74">
        <f xml:space="preserve"> 'INDIRECT EXPENSES(OPEX)'!F10</f>
        <v>0</v>
      </c>
      <c r="H79" s="74">
        <f xml:space="preserve"> 'INDIRECT EXPENSES(OPEX)'!G10</f>
        <v>0</v>
      </c>
      <c r="I79" s="74">
        <f xml:space="preserve"> 'INDIRECT EXPENSES(OPEX)'!H10</f>
        <v>0</v>
      </c>
      <c r="J79" s="74">
        <f xml:space="preserve"> 'INDIRECT EXPENSES(OPEX)'!I10</f>
        <v>1.4393750000000001</v>
      </c>
      <c r="K79" s="74">
        <f xml:space="preserve"> 'INDIRECT EXPENSES(OPEX)'!J10</f>
        <v>1.53925</v>
      </c>
      <c r="L79" s="74">
        <f xml:space="preserve"> 'INDIRECT EXPENSES(OPEX)'!K10</f>
        <v>1.6458225</v>
      </c>
      <c r="M79" s="74">
        <f xml:space="preserve"> 'INDIRECT EXPENSES(OPEX)'!L10</f>
        <v>1.7610899999999998</v>
      </c>
      <c r="N79" s="74">
        <f xml:space="preserve"> 'INDIRECT EXPENSES(OPEX)'!M10</f>
        <v>1.8843475000000001</v>
      </c>
      <c r="O79" s="74">
        <f xml:space="preserve"> 'INDIRECT EXPENSES(OPEX)'!N10</f>
        <v>2.0161825000000002</v>
      </c>
      <c r="P79" s="74">
        <f xml:space="preserve"> 'INDIRECT EXPENSES(OPEX)'!O10</f>
        <v>2.1573000000000002</v>
      </c>
      <c r="Q79" s="74">
        <f xml:space="preserve"> 'INDIRECT EXPENSES(OPEX)'!P10</f>
        <v>2.3082875</v>
      </c>
      <c r="R79" s="74">
        <f xml:space="preserve"> 'INDIRECT EXPENSES(OPEX)'!Q10</f>
        <v>2.4686750000000002</v>
      </c>
      <c r="S79" s="74">
        <f xml:space="preserve"> 'INDIRECT EXPENSES(OPEX)'!R10</f>
        <v>2.6391675000000006</v>
      </c>
      <c r="T79" s="74">
        <f xml:space="preserve"> 'INDIRECT EXPENSES(OPEX)'!S10</f>
        <v>2.8203525000000003</v>
      </c>
      <c r="U79" s="74">
        <f xml:space="preserve"> 'INDIRECT EXPENSES(OPEX)'!T10</f>
        <v>3.0130524999999997</v>
      </c>
    </row>
    <row r="80" spans="1:21" s="3" customFormat="1">
      <c r="A80" s="3" t="s">
        <v>227</v>
      </c>
      <c r="G80" s="74">
        <f xml:space="preserve"> 'INDIRECT EXPENSES(OPEX)'!F11</f>
        <v>0</v>
      </c>
      <c r="H80" s="74">
        <f xml:space="preserve"> 'INDIRECT EXPENSES(OPEX)'!G11</f>
        <v>0</v>
      </c>
      <c r="I80" s="74">
        <f xml:space="preserve"> 'INDIRECT EXPENSES(OPEX)'!H11</f>
        <v>0</v>
      </c>
      <c r="J80" s="74">
        <f xml:space="preserve"> 'INDIRECT EXPENSES(OPEX)'!I11</f>
        <v>0.90650000000000019</v>
      </c>
      <c r="K80" s="74">
        <f xml:space="preserve"> 'INDIRECT EXPENSES(OPEX)'!J11</f>
        <v>0.96940000000000004</v>
      </c>
      <c r="L80" s="74">
        <f xml:space="preserve"> 'INDIRECT EXPENSES(OPEX)'!K11</f>
        <v>1.0365180000000001</v>
      </c>
      <c r="M80" s="74">
        <f xml:space="preserve"> 'INDIRECT EXPENSES(OPEX)'!L11</f>
        <v>1.1091120000000001</v>
      </c>
      <c r="N80" s="74">
        <f xml:space="preserve"> 'INDIRECT EXPENSES(OPEX)'!M11</f>
        <v>1.1867380000000001</v>
      </c>
      <c r="O80" s="74">
        <f xml:space="preserve"> 'INDIRECT EXPENSES(OPEX)'!N11</f>
        <v>1.2697660000000002</v>
      </c>
      <c r="P80" s="74">
        <f xml:space="preserve"> 'INDIRECT EXPENSES(OPEX)'!O11</f>
        <v>1.3586400000000001</v>
      </c>
      <c r="Q80" s="74">
        <f xml:space="preserve"> 'INDIRECT EXPENSES(OPEX)'!P11</f>
        <v>1.4537300000000002</v>
      </c>
      <c r="R80" s="74">
        <f xml:space="preserve"> 'INDIRECT EXPENSES(OPEX)'!Q11</f>
        <v>1.55474</v>
      </c>
      <c r="S80" s="74">
        <f xml:space="preserve"> 'INDIRECT EXPENSES(OPEX)'!R11</f>
        <v>1.6621140000000001</v>
      </c>
      <c r="T80" s="74">
        <f xml:space="preserve"> 'INDIRECT EXPENSES(OPEX)'!S11</f>
        <v>1.776222</v>
      </c>
      <c r="U80" s="74">
        <f xml:space="preserve"> 'INDIRECT EXPENSES(OPEX)'!T11</f>
        <v>1.8975819999999999</v>
      </c>
    </row>
    <row r="81" spans="1:21" s="3" customFormat="1" ht="15" thickBot="1">
      <c r="A81" s="3" t="s">
        <v>236</v>
      </c>
      <c r="G81" s="74">
        <f xml:space="preserve"> 'INDIRECT EXPENSES(OPEX)'!F12</f>
        <v>0</v>
      </c>
      <c r="H81" s="74">
        <f xml:space="preserve"> 'INDIRECT EXPENSES(OPEX)'!G12</f>
        <v>0</v>
      </c>
      <c r="I81" s="74">
        <f xml:space="preserve"> 'INDIRECT EXPENSES(OPEX)'!H12</f>
        <v>0</v>
      </c>
      <c r="J81" s="74">
        <f xml:space="preserve"> 'INDIRECT EXPENSES(OPEX)'!I12</f>
        <v>23.311014999999998</v>
      </c>
      <c r="K81" s="74">
        <f xml:space="preserve"> 'INDIRECT EXPENSES(OPEX)'!J12</f>
        <v>24.928514</v>
      </c>
      <c r="L81" s="74">
        <f xml:space="preserve"> 'INDIRECT EXPENSES(OPEX)'!K12</f>
        <v>26.654480580000001</v>
      </c>
      <c r="M81" s="74">
        <f xml:space="preserve"> 'INDIRECT EXPENSES(OPEX)'!L12</f>
        <v>28.521264719999998</v>
      </c>
      <c r="N81" s="74">
        <f xml:space="preserve"> 'INDIRECT EXPENSES(OPEX)'!M12</f>
        <v>30.517448780000002</v>
      </c>
      <c r="O81" s="74">
        <f xml:space="preserve"> 'INDIRECT EXPENSES(OPEX)'!N12</f>
        <v>32.652547459999994</v>
      </c>
      <c r="P81" s="74">
        <f xml:space="preserve"> 'INDIRECT EXPENSES(OPEX)'!O12</f>
        <v>34.937978399999999</v>
      </c>
      <c r="Q81" s="74">
        <f xml:space="preserve"> 'INDIRECT EXPENSES(OPEX)'!P12</f>
        <v>37.383256299999999</v>
      </c>
      <c r="R81" s="74">
        <f xml:space="preserve"> 'INDIRECT EXPENSES(OPEX)'!Q12</f>
        <v>39.9807694</v>
      </c>
      <c r="S81" s="74">
        <f xml:space="preserve"> 'INDIRECT EXPENSES(OPEX)'!R12</f>
        <v>42.741935340000005</v>
      </c>
      <c r="T81" s="74">
        <f xml:space="preserve"> 'INDIRECT EXPENSES(OPEX)'!S12</f>
        <v>45.67626881999999</v>
      </c>
      <c r="U81" s="74">
        <f xml:space="preserve"> 'INDIRECT EXPENSES(OPEX)'!T12</f>
        <v>48.797090419999996</v>
      </c>
    </row>
    <row r="82" spans="1:21" s="128" customFormat="1" ht="15.6" thickTop="1" thickBot="1">
      <c r="A82" s="128" t="s">
        <v>856</v>
      </c>
      <c r="G82" s="133">
        <f xml:space="preserve"> 'INDIRECT EXPENSES(OPEX)'!F12</f>
        <v>0</v>
      </c>
      <c r="H82" s="133">
        <f xml:space="preserve"> 'INDIRECT EXPENSES(OPEX)'!G12</f>
        <v>0</v>
      </c>
      <c r="I82" s="133">
        <f xml:space="preserve"> 'INDIRECT EXPENSES(OPEX)'!H12</f>
        <v>0</v>
      </c>
      <c r="J82" s="133">
        <f xml:space="preserve"> 'INDIRECT EXPENSES(OPEX)'!I12</f>
        <v>23.311014999999998</v>
      </c>
      <c r="K82" s="133">
        <f xml:space="preserve"> 'INDIRECT EXPENSES(OPEX)'!J12</f>
        <v>24.928514</v>
      </c>
      <c r="L82" s="133">
        <f xml:space="preserve"> 'INDIRECT EXPENSES(OPEX)'!K12</f>
        <v>26.654480580000001</v>
      </c>
      <c r="M82" s="133">
        <f xml:space="preserve"> 'INDIRECT EXPENSES(OPEX)'!L12</f>
        <v>28.521264719999998</v>
      </c>
      <c r="N82" s="133">
        <f xml:space="preserve"> 'INDIRECT EXPENSES(OPEX)'!M12</f>
        <v>30.517448780000002</v>
      </c>
      <c r="O82" s="133">
        <f xml:space="preserve"> 'INDIRECT EXPENSES(OPEX)'!N12</f>
        <v>32.652547459999994</v>
      </c>
      <c r="P82" s="133">
        <f xml:space="preserve"> 'INDIRECT EXPENSES(OPEX)'!O12</f>
        <v>34.937978399999999</v>
      </c>
      <c r="Q82" s="133">
        <f xml:space="preserve"> 'INDIRECT EXPENSES(OPEX)'!P12</f>
        <v>37.383256299999999</v>
      </c>
      <c r="R82" s="133">
        <f xml:space="preserve"> 'INDIRECT EXPENSES(OPEX)'!Q12</f>
        <v>39.9807694</v>
      </c>
      <c r="S82" s="133">
        <f xml:space="preserve"> 'INDIRECT EXPENSES(OPEX)'!R12</f>
        <v>42.741935340000005</v>
      </c>
      <c r="T82" s="133">
        <f xml:space="preserve"> 'INDIRECT EXPENSES(OPEX)'!S12</f>
        <v>45.67626881999999</v>
      </c>
      <c r="U82" s="133">
        <f xml:space="preserve"> 'INDIRECT EXPENSES(OPEX)'!T12</f>
        <v>48.797090419999996</v>
      </c>
    </row>
    <row r="83" spans="1:21" ht="15" thickTop="1"/>
    <row r="84" spans="1:21" s="132" customFormat="1" ht="25.8">
      <c r="A84" s="132" t="s">
        <v>858</v>
      </c>
    </row>
    <row r="85" spans="1:21" s="131" customFormat="1" ht="18">
      <c r="A85" s="131" t="s">
        <v>859</v>
      </c>
    </row>
    <row r="86" spans="1:21" s="3" customFormat="1">
      <c r="A86" s="3" t="s">
        <v>869</v>
      </c>
      <c r="B86" s="135">
        <v>45827</v>
      </c>
    </row>
    <row r="87" spans="1:21" s="3" customFormat="1">
      <c r="A87" s="3" t="s">
        <v>860</v>
      </c>
      <c r="B87" s="33">
        <f xml:space="preserve"> FCFF!B31</f>
        <v>0.02</v>
      </c>
    </row>
    <row r="88" spans="1:21" s="3" customFormat="1">
      <c r="A88" s="3" t="s">
        <v>464</v>
      </c>
      <c r="B88" s="12">
        <f xml:space="preserve"> WACC!F22</f>
        <v>0.12284999999999999</v>
      </c>
    </row>
    <row r="89" spans="1:21" s="3" customFormat="1">
      <c r="A89" s="3" t="s">
        <v>861</v>
      </c>
      <c r="B89" s="74" t="e">
        <f xml:space="preserve"> FCFF!B49</f>
        <v>#REF!</v>
      </c>
    </row>
    <row r="90" spans="1:21" s="3" customFormat="1">
      <c r="A90" s="3" t="s">
        <v>802</v>
      </c>
      <c r="B90" s="11" t="e">
        <f xml:space="preserve"> FCFF!B34</f>
        <v>#REF!</v>
      </c>
    </row>
    <row r="91" spans="1:21" s="3" customFormat="1">
      <c r="A91" s="3" t="s">
        <v>862</v>
      </c>
      <c r="B91" s="74" t="e">
        <f xml:space="preserve"> FCFF!B37</f>
        <v>#REF!</v>
      </c>
    </row>
    <row r="92" spans="1:21" s="3" customFormat="1">
      <c r="A92" s="3" t="s">
        <v>863</v>
      </c>
      <c r="B92" s="74" t="e">
        <f xml:space="preserve"> FCFF!B38-FCFF!B37</f>
        <v>#REF!</v>
      </c>
    </row>
    <row r="93" spans="1:21" s="3" customFormat="1">
      <c r="A93" s="3" t="s">
        <v>805</v>
      </c>
      <c r="B93" s="74" t="e">
        <f xml:space="preserve"> FCFF!B38</f>
        <v>#REF!</v>
      </c>
    </row>
    <row r="95" spans="1:21" s="131" customFormat="1" ht="18">
      <c r="A95" s="131" t="s">
        <v>864</v>
      </c>
    </row>
    <row r="96" spans="1:21" s="3" customFormat="1">
      <c r="A96" s="44" t="s">
        <v>865</v>
      </c>
      <c r="G96" s="187" t="e">
        <f xml:space="preserve"> B91/G10</f>
        <v>#REF!</v>
      </c>
      <c r="H96" s="187" t="e">
        <f xml:space="preserve"> B91/H10</f>
        <v>#REF!</v>
      </c>
      <c r="I96" s="187" t="e">
        <f xml:space="preserve"> B91/I10</f>
        <v>#REF!</v>
      </c>
      <c r="J96" s="187" t="e">
        <f xml:space="preserve"> B91/J10</f>
        <v>#REF!</v>
      </c>
      <c r="K96" s="187" t="e">
        <f xml:space="preserve"> B91/K10</f>
        <v>#REF!</v>
      </c>
      <c r="L96" s="187" t="e">
        <f xml:space="preserve"> B91/L10</f>
        <v>#REF!</v>
      </c>
      <c r="M96" s="187" t="e">
        <f xml:space="preserve"> B91/M10</f>
        <v>#REF!</v>
      </c>
      <c r="N96" s="187" t="e">
        <f xml:space="preserve"> B91/N10</f>
        <v>#REF!</v>
      </c>
      <c r="O96" s="187" t="e">
        <f xml:space="preserve"> B91/O10</f>
        <v>#REF!</v>
      </c>
      <c r="P96" s="187" t="e">
        <f xml:space="preserve"> B91/P10</f>
        <v>#REF!</v>
      </c>
      <c r="Q96" s="187" t="e">
        <f xml:space="preserve"> B91/Q10</f>
        <v>#REF!</v>
      </c>
      <c r="R96" s="187" t="e">
        <f xml:space="preserve"> B91/R10</f>
        <v>#REF!</v>
      </c>
      <c r="S96" s="187" t="e">
        <f xml:space="preserve"> B91/S10</f>
        <v>#REF!</v>
      </c>
      <c r="T96" s="187" t="e">
        <f xml:space="preserve"> B91/T10</f>
        <v>#REF!</v>
      </c>
      <c r="U96" s="187" t="e">
        <f xml:space="preserve"> B91/U10</f>
        <v>#REF!</v>
      </c>
    </row>
    <row r="97" spans="1:21" s="3" customFormat="1">
      <c r="A97" s="44" t="s">
        <v>866</v>
      </c>
      <c r="G97" s="187" t="e">
        <f xml:space="preserve"> B91/G6</f>
        <v>#REF!</v>
      </c>
      <c r="H97" s="187" t="e">
        <f xml:space="preserve"> B91/H6</f>
        <v>#REF!</v>
      </c>
      <c r="I97" s="187" t="e">
        <f xml:space="preserve"> B91/I6</f>
        <v>#REF!</v>
      </c>
      <c r="J97" s="187" t="e">
        <f xml:space="preserve"> B91/J6</f>
        <v>#REF!</v>
      </c>
      <c r="K97" s="187" t="e">
        <f xml:space="preserve"> B91/K6</f>
        <v>#REF!</v>
      </c>
      <c r="L97" s="187" t="e">
        <f xml:space="preserve"> B91/L6</f>
        <v>#REF!</v>
      </c>
      <c r="M97" s="187" t="e">
        <f xml:space="preserve"> B91/M6</f>
        <v>#REF!</v>
      </c>
      <c r="N97" s="187" t="e">
        <f xml:space="preserve"> B91/N6</f>
        <v>#REF!</v>
      </c>
      <c r="O97" s="187" t="e">
        <f xml:space="preserve"> B91/O6</f>
        <v>#REF!</v>
      </c>
      <c r="P97" s="187" t="e">
        <f xml:space="preserve"> B91/P6</f>
        <v>#REF!</v>
      </c>
      <c r="Q97" s="187" t="e">
        <f xml:space="preserve"> B91/Q6</f>
        <v>#REF!</v>
      </c>
      <c r="R97" s="187" t="e">
        <f xml:space="preserve"> B91/R6</f>
        <v>#REF!</v>
      </c>
      <c r="S97" s="187" t="e">
        <f xml:space="preserve"> B91/S6</f>
        <v>#REF!</v>
      </c>
      <c r="T97" s="187" t="e">
        <f xml:space="preserve"> B91/T6</f>
        <v>#REF!</v>
      </c>
      <c r="U97" s="187" t="e">
        <f xml:space="preserve"> B91/U6</f>
        <v>#REF!</v>
      </c>
    </row>
    <row r="98" spans="1:21" s="3" customFormat="1">
      <c r="A98" s="44" t="s">
        <v>867</v>
      </c>
      <c r="G98" s="126" t="e">
        <f xml:space="preserve"> FCFF!I43/FCFF!I8</f>
        <v>#REF!</v>
      </c>
      <c r="H98" s="126" t="e">
        <f xml:space="preserve"> FCFF!J43/FCFF!J8</f>
        <v>#REF!</v>
      </c>
      <c r="I98" s="126" t="e">
        <f xml:space="preserve"> FCFF!K43/FCFF!K8</f>
        <v>#REF!</v>
      </c>
      <c r="J98" s="126" t="e">
        <f xml:space="preserve"> FCFF!L43/FCFF!L8</f>
        <v>#REF!</v>
      </c>
      <c r="K98" s="126" t="e">
        <f xml:space="preserve"> FCFF!M43/FCFF!M8</f>
        <v>#REF!</v>
      </c>
      <c r="L98" s="126" t="e">
        <f xml:space="preserve"> FCFF!N43/FCFF!N8</f>
        <v>#REF!</v>
      </c>
      <c r="M98" s="126" t="e">
        <f xml:space="preserve"> FCFF!O43/FCFF!O8</f>
        <v>#REF!</v>
      </c>
      <c r="N98" s="126" t="e">
        <f xml:space="preserve"> FCFF!P43/FCFF!P8</f>
        <v>#REF!</v>
      </c>
      <c r="O98" s="126" t="e">
        <f xml:space="preserve"> FCFF!Q43/FCFF!Q8</f>
        <v>#REF!</v>
      </c>
      <c r="P98" s="126" t="e">
        <f xml:space="preserve"> FCFF!R43/FCFF!R8</f>
        <v>#REF!</v>
      </c>
      <c r="Q98" s="126" t="e">
        <f xml:space="preserve"> FCFF!S43/FCFF!S8</f>
        <v>#REF!</v>
      </c>
      <c r="R98" s="126" t="e">
        <f xml:space="preserve"> FCFF!T43/FCFF!T8</f>
        <v>#REF!</v>
      </c>
      <c r="S98" s="126" t="e">
        <f xml:space="preserve"> FCFF!U43/FCFF!U8</f>
        <v>#REF!</v>
      </c>
      <c r="T98" s="126" t="e">
        <f xml:space="preserve"> FCFF!V43/FCFF!V8</f>
        <v>#REF!</v>
      </c>
      <c r="U98" s="126" t="e">
        <f xml:space="preserve"> FCFF!W43/FCFF!W8</f>
        <v>#REF!</v>
      </c>
    </row>
    <row r="99" spans="1:21" s="3" customFormat="1">
      <c r="A99" s="44" t="s">
        <v>868</v>
      </c>
      <c r="G99" s="12" t="e">
        <f xml:space="preserve"> FCFF!I28/FCFF!B37</f>
        <v>#REF!</v>
      </c>
      <c r="H99" s="12" t="e">
        <f xml:space="preserve"> FCFF!J28/FCFF!B37</f>
        <v>#REF!</v>
      </c>
      <c r="I99" s="12" t="e">
        <f xml:space="preserve"> FCFF!K28/FCFF!B37</f>
        <v>#REF!</v>
      </c>
      <c r="J99" s="12" t="e">
        <f xml:space="preserve"> FCFF!L28/FCFF!B37</f>
        <v>#REF!</v>
      </c>
      <c r="K99" s="12" t="e">
        <f xml:space="preserve"> FCFF!M28/FCFF!B37</f>
        <v>#REF!</v>
      </c>
      <c r="L99" s="12" t="e">
        <f xml:space="preserve"> FCFF!N28/FCFF!B37</f>
        <v>#REF!</v>
      </c>
      <c r="M99" s="12" t="e">
        <f xml:space="preserve"> FCFF!O28/FCFF!B37</f>
        <v>#REF!</v>
      </c>
      <c r="N99" s="12" t="e">
        <f xml:space="preserve"> FCFF!P28/FCFF!B37</f>
        <v>#REF!</v>
      </c>
      <c r="O99" s="12" t="e">
        <f xml:space="preserve"> FCFF!Q28/FCFF!B37</f>
        <v>#REF!</v>
      </c>
      <c r="P99" s="12" t="e">
        <f xml:space="preserve"> FCFF!R28/FCFF!B37</f>
        <v>#REF!</v>
      </c>
      <c r="Q99" s="12" t="e">
        <f xml:space="preserve"> FCFF!S28/FCFF!B37</f>
        <v>#REF!</v>
      </c>
      <c r="R99" s="12" t="e">
        <f xml:space="preserve"> FCFF!T28/FCFF!B37</f>
        <v>#REF!</v>
      </c>
      <c r="S99" s="12" t="e">
        <f xml:space="preserve"> FCFF!U28/FCFF!B37</f>
        <v>#REF!</v>
      </c>
      <c r="T99" s="12" t="e">
        <f xml:space="preserve"> FCFF!V28/FCFF!B37</f>
        <v>#REF!</v>
      </c>
      <c r="U99" s="12" t="e">
        <f xml:space="preserve"> FCFF!W28/FCFF!B37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REVENUE</vt:lpstr>
      <vt:lpstr>DIRECT EXPENSES(COGS)</vt:lpstr>
      <vt:lpstr>INDIRECT EXPENSES(OPEX)</vt:lpstr>
      <vt:lpstr>WACC</vt:lpstr>
      <vt:lpstr>OTHER</vt:lpstr>
      <vt:lpstr>FINANCIAL STATEMENTS</vt:lpstr>
      <vt:lpstr>FCFF</vt:lpstr>
      <vt:lpstr>EXEC.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 V</dc:creator>
  <cp:lastModifiedBy>Siddharth K V</cp:lastModifiedBy>
  <dcterms:created xsi:type="dcterms:W3CDTF">2025-06-06T08:55:12Z</dcterms:created>
  <dcterms:modified xsi:type="dcterms:W3CDTF">2025-08-04T20:12:38Z</dcterms:modified>
</cp:coreProperties>
</file>