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drawings/drawing16.xml" ContentType="application/vnd.openxmlformats-officedocument.drawingml.chartshapes+xml"/>
  <Override PartName="/xl/charts/chart23.xml" ContentType="application/vnd.openxmlformats-officedocument.drawingml.chart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0.xml" ContentType="application/vnd.openxmlformats-officedocument.drawingml.chartshapes+xml"/>
  <Override PartName="/xl/charts/chart28.xml" ContentType="application/vnd.openxmlformats-officedocument.drawingml.chart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drawings/drawing22.xml" ContentType="application/vnd.openxmlformats-officedocument.drawingml.chartshape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3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4.xml" ContentType="application/vnd.openxmlformats-officedocument.drawingml.chartshapes+xml"/>
  <Override PartName="/xl/charts/chart34.xml" ContentType="application/vnd.openxmlformats-officedocument.drawingml.chart+xml"/>
  <Override PartName="/xl/drawings/drawing25.xml" ContentType="application/vnd.openxmlformats-officedocument.drawingml.chartshapes+xml"/>
  <Override PartName="/xl/charts/chart35.xml" ContentType="application/vnd.openxmlformats-officedocument.drawingml.chart+xml"/>
  <Override PartName="/xl/drawings/drawing26.xml" ContentType="application/vnd.openxmlformats-officedocument.drawingml.chartshapes+xml"/>
  <Override PartName="/xl/charts/chart36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9.xml" ContentType="application/vnd.openxmlformats-officedocument.drawingml.chartshapes+xml"/>
  <Override PartName="/xl/charts/chart40.xml" ContentType="application/vnd.openxmlformats-officedocument.drawingml.chart+xml"/>
  <Override PartName="/xl/drawings/drawing30.xml" ContentType="application/vnd.openxmlformats-officedocument.drawingml.chartshapes+xml"/>
  <Override PartName="/xl/charts/chart41.xml" ContentType="application/vnd.openxmlformats-officedocument.drawingml.chart+xml"/>
  <Override PartName="/xl/drawings/drawing31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32.xml" ContentType="application/vnd.openxmlformats-officedocument.drawingml.chartshapes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charts/chart45.xml" ContentType="application/vnd.openxmlformats-officedocument.drawingml.chart+xml"/>
  <Override PartName="/xl/drawings/drawing34.xml" ContentType="application/vnd.openxmlformats-officedocument.drawingml.chartshapes+xml"/>
  <Override PartName="/xl/charts/chart46.xml" ContentType="application/vnd.openxmlformats-officedocument.drawingml.chart+xml"/>
  <Override PartName="/xl/drawings/drawing35.xml" ContentType="application/vnd.openxmlformats-officedocument.drawingml.chartshapes+xml"/>
  <Override PartName="/xl/charts/chart47.xml" ContentType="application/vnd.openxmlformats-officedocument.drawingml.chart+xml"/>
  <Override PartName="/xl/drawings/drawing36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7.xml" ContentType="application/vnd.openxmlformats-officedocument.drawingml.chartshapes+xml"/>
  <Override PartName="/xl/charts/chart50.xml" ContentType="application/vnd.openxmlformats-officedocument.drawingml.chart+xml"/>
  <Override PartName="/xl/drawings/drawing38.xml" ContentType="application/vnd.openxmlformats-officedocument.drawingml.chartshapes+xml"/>
  <Override PartName="/xl/charts/chart51.xml" ContentType="application/vnd.openxmlformats-officedocument.drawingml.chart+xml"/>
  <Override PartName="/xl/drawings/drawing39.xml" ContentType="application/vnd.openxmlformats-officedocument.drawingml.chartshapes+xml"/>
  <Override PartName="/xl/charts/chart52.xml" ContentType="application/vnd.openxmlformats-officedocument.drawingml.chart+xml"/>
  <Override PartName="/xl/drawings/drawing40.xml" ContentType="application/vnd.openxmlformats-officedocument.drawingml.chartshape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41.xml" ContentType="application/vnd.openxmlformats-officedocument.drawingml.chartshapes+xml"/>
  <Override PartName="/xl/charts/chart58.xml" ContentType="application/vnd.openxmlformats-officedocument.drawingml.chart+xml"/>
  <Override PartName="/xl/drawings/drawing42.xml" ContentType="application/vnd.openxmlformats-officedocument.drawingml.chartshapes+xml"/>
  <Override PartName="/xl/charts/chart5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0" documentId="8_{CB464C2B-7007-40CF-B517-ED5E1CBCCE6E}" xr6:coauthVersionLast="47" xr6:coauthVersionMax="47" xr10:uidLastSave="{00000000-0000-0000-0000-000000000000}"/>
  <bookViews>
    <workbookView xWindow="-120" yWindow="-120" windowWidth="29040" windowHeight="17790" activeTab="3" xr2:uid="{00000000-000D-0000-FFFF-FFFF00000000}"/>
  </bookViews>
  <sheets>
    <sheet name="vdBerg 1995" sheetId="10" r:id="rId1"/>
    <sheet name="Simoneau 2010" sheetId="9" r:id="rId2"/>
    <sheet name="Lohman 2011" sheetId="7" r:id="rId3"/>
    <sheet name="Regressie &amp; praktijk" sheetId="4" r:id="rId4"/>
    <sheet name="export tabel" sheetId="5" r:id="rId5"/>
    <sheet name="assessment" sheetId="6" r:id="rId6"/>
    <sheet name="metingen" sheetId="8" r:id="rId7"/>
  </sheets>
  <externalReferences>
    <externalReference r:id="rId8"/>
  </externalReferences>
  <definedNames>
    <definedName name="_xlnm._FilterDatabase" localSheetId="2" hidden="1">'Lohman 2011'!$CP$2:$CP$3</definedName>
    <definedName name="_xlnm._FilterDatabase" localSheetId="3" hidden="1">'Regressie &amp; praktijk'!$CP$2:$CP$3</definedName>
    <definedName name="_xlnm._FilterDatabase" localSheetId="1" hidden="1">'Simoneau 2010'!$CP$2:$CP$3</definedName>
    <definedName name="_xlnm._FilterDatabase" localSheetId="0" hidden="1">'vdBerg 1995'!$CP$2:$CP$3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39" i="4" l="1"/>
  <c r="CD136" i="4"/>
  <c r="CD122" i="4"/>
  <c r="CB122" i="4"/>
  <c r="BZ122" i="4"/>
  <c r="BZ139" i="4" l="1"/>
  <c r="CA139" i="4" s="1"/>
  <c r="BY139" i="4"/>
  <c r="CB139" i="4"/>
  <c r="CC139" i="4" s="1"/>
  <c r="BX140" i="4"/>
  <c r="CA122" i="4"/>
  <c r="BZ136" i="4"/>
  <c r="CA136" i="4" s="1"/>
  <c r="CC122" i="4"/>
  <c r="BX137" i="4"/>
  <c r="CB136" i="4"/>
  <c r="BX123" i="4"/>
  <c r="BY122" i="4"/>
  <c r="BY123" i="4" l="1"/>
  <c r="CB123" i="4"/>
  <c r="CC123" i="4" s="1"/>
  <c r="CD123" i="4"/>
  <c r="CB137" i="4"/>
  <c r="CD137" i="4"/>
  <c r="BY140" i="4"/>
  <c r="CD140" i="4"/>
  <c r="BX124" i="4"/>
  <c r="BZ137" i="4"/>
  <c r="CA137" i="4" s="1"/>
  <c r="BZ123" i="4"/>
  <c r="CA123" i="4" s="1"/>
  <c r="CB140" i="4"/>
  <c r="CC140" i="4" s="1"/>
  <c r="BZ140" i="4"/>
  <c r="CA140" i="4" s="1"/>
  <c r="CC137" i="4"/>
  <c r="BY137" i="4"/>
  <c r="BX125" i="4" l="1"/>
  <c r="BZ125" i="4" s="1"/>
  <c r="CA125" i="4" s="1"/>
  <c r="CB124" i="4"/>
  <c r="CC124" i="4" s="1"/>
  <c r="CD124" i="4"/>
  <c r="BZ124" i="4"/>
  <c r="CA124" i="4" s="1"/>
  <c r="BY125" i="4"/>
  <c r="BY124" i="4"/>
  <c r="CC136" i="4"/>
  <c r="BY136" i="4"/>
  <c r="G73" i="5"/>
  <c r="E73" i="5"/>
  <c r="D73" i="5"/>
  <c r="C73" i="5"/>
  <c r="B73" i="5"/>
  <c r="A73" i="5"/>
  <c r="G72" i="5"/>
  <c r="E72" i="5"/>
  <c r="D72" i="5"/>
  <c r="C72" i="5"/>
  <c r="B72" i="5"/>
  <c r="A72" i="5"/>
  <c r="G71" i="5"/>
  <c r="E71" i="5"/>
  <c r="D71" i="5"/>
  <c r="C71" i="5"/>
  <c r="B71" i="5"/>
  <c r="A71" i="5"/>
  <c r="G70" i="5"/>
  <c r="E70" i="5"/>
  <c r="D70" i="5"/>
  <c r="C70" i="5"/>
  <c r="B70" i="5"/>
  <c r="A70" i="5"/>
  <c r="G69" i="5"/>
  <c r="E69" i="5"/>
  <c r="D69" i="5"/>
  <c r="C69" i="5"/>
  <c r="B69" i="5"/>
  <c r="A69" i="5"/>
  <c r="G68" i="5"/>
  <c r="E68" i="5"/>
  <c r="D68" i="5"/>
  <c r="C68" i="5"/>
  <c r="B68" i="5"/>
  <c r="A68" i="5"/>
  <c r="G67" i="5"/>
  <c r="E67" i="5"/>
  <c r="D67" i="5"/>
  <c r="C67" i="5"/>
  <c r="B67" i="5"/>
  <c r="A67" i="5"/>
  <c r="G66" i="5"/>
  <c r="E66" i="5"/>
  <c r="D66" i="5"/>
  <c r="C66" i="5"/>
  <c r="B66" i="5"/>
  <c r="A66" i="5"/>
  <c r="G65" i="5"/>
  <c r="E65" i="5"/>
  <c r="D65" i="5"/>
  <c r="C65" i="5"/>
  <c r="B65" i="5"/>
  <c r="A65" i="5"/>
  <c r="G64" i="5"/>
  <c r="E64" i="5"/>
  <c r="D64" i="5"/>
  <c r="C64" i="5"/>
  <c r="B64" i="5"/>
  <c r="A64" i="5"/>
  <c r="G63" i="5"/>
  <c r="E63" i="5"/>
  <c r="D63" i="5"/>
  <c r="C63" i="5"/>
  <c r="B63" i="5"/>
  <c r="A63" i="5"/>
  <c r="G62" i="5"/>
  <c r="E62" i="5"/>
  <c r="D62" i="5"/>
  <c r="C62" i="5"/>
  <c r="B62" i="5"/>
  <c r="A62" i="5"/>
  <c r="G61" i="5"/>
  <c r="E61" i="5"/>
  <c r="D61" i="5"/>
  <c r="C61" i="5"/>
  <c r="B61" i="5"/>
  <c r="A61" i="5"/>
  <c r="G60" i="5"/>
  <c r="E60" i="5"/>
  <c r="D60" i="5"/>
  <c r="C60" i="5"/>
  <c r="B60" i="5"/>
  <c r="A60" i="5"/>
  <c r="G59" i="5"/>
  <c r="E59" i="5"/>
  <c r="D59" i="5"/>
  <c r="C59" i="5"/>
  <c r="B59" i="5"/>
  <c r="A59" i="5"/>
  <c r="G58" i="5"/>
  <c r="E58" i="5"/>
  <c r="D58" i="5"/>
  <c r="C58" i="5"/>
  <c r="B58" i="5"/>
  <c r="A58" i="5"/>
  <c r="G57" i="5"/>
  <c r="E57" i="5"/>
  <c r="D57" i="5"/>
  <c r="C57" i="5"/>
  <c r="B57" i="5"/>
  <c r="A57" i="5"/>
  <c r="G56" i="5"/>
  <c r="E56" i="5"/>
  <c r="D56" i="5"/>
  <c r="C56" i="5"/>
  <c r="B56" i="5"/>
  <c r="A56" i="5"/>
  <c r="G55" i="5"/>
  <c r="E55" i="5"/>
  <c r="D55" i="5"/>
  <c r="C55" i="5"/>
  <c r="B55" i="5"/>
  <c r="A55" i="5"/>
  <c r="G54" i="5"/>
  <c r="E54" i="5"/>
  <c r="D54" i="5"/>
  <c r="C54" i="5"/>
  <c r="B54" i="5"/>
  <c r="A54" i="5"/>
  <c r="G53" i="5"/>
  <c r="E53" i="5"/>
  <c r="D53" i="5"/>
  <c r="C53" i="5"/>
  <c r="B53" i="5"/>
  <c r="A53" i="5"/>
  <c r="G52" i="5"/>
  <c r="E52" i="5"/>
  <c r="D52" i="5"/>
  <c r="C52" i="5"/>
  <c r="B52" i="5"/>
  <c r="A52" i="5"/>
  <c r="G51" i="5"/>
  <c r="E51" i="5"/>
  <c r="D51" i="5"/>
  <c r="C51" i="5"/>
  <c r="B51" i="5"/>
  <c r="A51" i="5"/>
  <c r="G50" i="5"/>
  <c r="E50" i="5"/>
  <c r="D50" i="5"/>
  <c r="C50" i="5"/>
  <c r="B50" i="5"/>
  <c r="A50" i="5"/>
  <c r="G49" i="5"/>
  <c r="E49" i="5"/>
  <c r="D49" i="5"/>
  <c r="C49" i="5"/>
  <c r="B49" i="5"/>
  <c r="A49" i="5"/>
  <c r="G48" i="5"/>
  <c r="E48" i="5"/>
  <c r="D48" i="5"/>
  <c r="C48" i="5"/>
  <c r="B48" i="5"/>
  <c r="A48" i="5"/>
  <c r="G47" i="5"/>
  <c r="E47" i="5"/>
  <c r="D47" i="5"/>
  <c r="C47" i="5"/>
  <c r="B47" i="5"/>
  <c r="A47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E8" i="5"/>
  <c r="D8" i="5"/>
  <c r="C8" i="5"/>
  <c r="B8" i="5"/>
  <c r="A8" i="5"/>
  <c r="D7" i="5"/>
  <c r="C7" i="5"/>
  <c r="E7" i="5"/>
  <c r="B7" i="5"/>
  <c r="A7" i="5"/>
  <c r="CB125" i="4" l="1"/>
  <c r="CC125" i="4" s="1"/>
  <c r="BX126" i="4"/>
  <c r="CD125" i="4"/>
  <c r="AH60" i="4"/>
  <c r="F16" i="5" s="1"/>
  <c r="BX127" i="4" l="1"/>
  <c r="CD126" i="4"/>
  <c r="CB126" i="4"/>
  <c r="CC126" i="4" s="1"/>
  <c r="BY126" i="4"/>
  <c r="BZ126" i="4"/>
  <c r="CA126" i="4" s="1"/>
  <c r="O180" i="4"/>
  <c r="O179" i="4"/>
  <c r="O178" i="4"/>
  <c r="O177" i="4"/>
  <c r="O176" i="4"/>
  <c r="O175" i="4"/>
  <c r="O174" i="4"/>
  <c r="O172" i="4"/>
  <c r="O171" i="4"/>
  <c r="O170" i="4"/>
  <c r="O169" i="4"/>
  <c r="O168" i="4"/>
  <c r="O167" i="4"/>
  <c r="O166" i="4"/>
  <c r="O164" i="4"/>
  <c r="O163" i="4"/>
  <c r="O162" i="4"/>
  <c r="O161" i="4"/>
  <c r="O160" i="4"/>
  <c r="O159" i="4"/>
  <c r="O158" i="4"/>
  <c r="O156" i="4"/>
  <c r="O155" i="4"/>
  <c r="O154" i="4"/>
  <c r="O153" i="4"/>
  <c r="O152" i="4"/>
  <c r="O151" i="4"/>
  <c r="O150" i="4"/>
  <c r="O117" i="4"/>
  <c r="Z117" i="4" s="1"/>
  <c r="O116" i="4"/>
  <c r="Z116" i="4" s="1"/>
  <c r="O115" i="4"/>
  <c r="Z115" i="4" s="1"/>
  <c r="O114" i="4"/>
  <c r="Z114" i="4" s="1"/>
  <c r="O113" i="4"/>
  <c r="Z113" i="4" s="1"/>
  <c r="O112" i="4"/>
  <c r="Z112" i="4" s="1"/>
  <c r="O111" i="4"/>
  <c r="Z111" i="4" s="1"/>
  <c r="O110" i="4"/>
  <c r="Z110" i="4" s="1"/>
  <c r="O109" i="4"/>
  <c r="Z109" i="4" s="1"/>
  <c r="O108" i="4"/>
  <c r="Z108" i="4" s="1"/>
  <c r="O107" i="4"/>
  <c r="Z107" i="4" s="1"/>
  <c r="O106" i="4"/>
  <c r="Z106" i="4" s="1"/>
  <c r="O105" i="4"/>
  <c r="Z105" i="4" s="1"/>
  <c r="O104" i="4"/>
  <c r="Z104" i="4" s="1"/>
  <c r="O103" i="4"/>
  <c r="Z103" i="4" s="1"/>
  <c r="O102" i="4"/>
  <c r="Z102" i="4" s="1"/>
  <c r="O101" i="4"/>
  <c r="Z101" i="4" s="1"/>
  <c r="O100" i="4"/>
  <c r="Z100" i="4" s="1"/>
  <c r="O99" i="4"/>
  <c r="Z99" i="4" s="1"/>
  <c r="O98" i="4"/>
  <c r="Z98" i="4" s="1"/>
  <c r="O97" i="4"/>
  <c r="Z97" i="4" s="1"/>
  <c r="O96" i="4"/>
  <c r="Z96" i="4" s="1"/>
  <c r="O95" i="4"/>
  <c r="Z95" i="4" s="1"/>
  <c r="O94" i="4"/>
  <c r="Z94" i="4" s="1"/>
  <c r="O93" i="4"/>
  <c r="Z93" i="4" s="1"/>
  <c r="O92" i="4"/>
  <c r="Z92" i="4" s="1"/>
  <c r="O91" i="4"/>
  <c r="Z91" i="4" s="1"/>
  <c r="O88" i="4"/>
  <c r="Z88" i="4" s="1"/>
  <c r="O87" i="4"/>
  <c r="Z87" i="4" s="1"/>
  <c r="O86" i="4"/>
  <c r="Z86" i="4" s="1"/>
  <c r="O83" i="4"/>
  <c r="Z83" i="4" s="1"/>
  <c r="O82" i="4"/>
  <c r="Z82" i="4" s="1"/>
  <c r="O81" i="4"/>
  <c r="Z81" i="4" s="1"/>
  <c r="O80" i="4"/>
  <c r="Z80" i="4" s="1"/>
  <c r="O79" i="4"/>
  <c r="Z79" i="4" s="1"/>
  <c r="O78" i="4"/>
  <c r="Z78" i="4" s="1"/>
  <c r="O77" i="4"/>
  <c r="Z77" i="4" s="1"/>
  <c r="O76" i="4"/>
  <c r="Z76" i="4" s="1"/>
  <c r="O75" i="4"/>
  <c r="Z75" i="4" s="1"/>
  <c r="O74" i="4"/>
  <c r="Z74" i="4" s="1"/>
  <c r="O73" i="4"/>
  <c r="Z73" i="4" s="1"/>
  <c r="O72" i="4"/>
  <c r="Z72" i="4" s="1"/>
  <c r="O71" i="4"/>
  <c r="Z71" i="4" s="1"/>
  <c r="O70" i="4"/>
  <c r="Z70" i="4" s="1"/>
  <c r="O69" i="4"/>
  <c r="Z69" i="4" s="1"/>
  <c r="O68" i="4"/>
  <c r="Z68" i="4" s="1"/>
  <c r="O67" i="4"/>
  <c r="Z67" i="4" s="1"/>
  <c r="O66" i="4"/>
  <c r="Z66" i="4" s="1"/>
  <c r="O65" i="4"/>
  <c r="Z65" i="4" s="1"/>
  <c r="O64" i="4"/>
  <c r="Z64" i="4" s="1"/>
  <c r="O60" i="4"/>
  <c r="Z60" i="4" s="1"/>
  <c r="O59" i="4"/>
  <c r="Z59" i="4" s="1"/>
  <c r="O58" i="4"/>
  <c r="Z58" i="4" s="1"/>
  <c r="O57" i="4"/>
  <c r="Z57" i="4" s="1"/>
  <c r="O56" i="4"/>
  <c r="Z56" i="4" s="1"/>
  <c r="O55" i="4"/>
  <c r="Z55" i="4" s="1"/>
  <c r="O54" i="4"/>
  <c r="Z54" i="4" s="1"/>
  <c r="O53" i="4"/>
  <c r="Z53" i="4" s="1"/>
  <c r="O52" i="4"/>
  <c r="Z52" i="4" s="1"/>
  <c r="O51" i="4"/>
  <c r="Z51" i="4" s="1"/>
  <c r="BX128" i="4" l="1"/>
  <c r="CD127" i="4"/>
  <c r="CB127" i="4"/>
  <c r="CC127" i="4" s="1"/>
  <c r="BZ127" i="4"/>
  <c r="CA127" i="4" s="1"/>
  <c r="BY127" i="4"/>
  <c r="D15" i="6"/>
  <c r="C14" i="6"/>
  <c r="H14" i="6"/>
  <c r="BX129" i="4" l="1"/>
  <c r="CD128" i="4"/>
  <c r="BY128" i="4"/>
  <c r="BZ128" i="4"/>
  <c r="CA128" i="4" s="1"/>
  <c r="CB128" i="4"/>
  <c r="CC128" i="4" s="1"/>
  <c r="F15" i="6"/>
  <c r="F14" i="6"/>
  <c r="F12" i="6"/>
  <c r="F11" i="6"/>
  <c r="F10" i="6"/>
  <c r="F7" i="6"/>
  <c r="F6" i="6"/>
  <c r="F8" i="6"/>
  <c r="H8" i="6"/>
  <c r="H7" i="6"/>
  <c r="H6" i="6"/>
  <c r="BX130" i="4" l="1"/>
  <c r="CD129" i="4"/>
  <c r="BZ129" i="4"/>
  <c r="CA129" i="4" s="1"/>
  <c r="BY129" i="4"/>
  <c r="CB129" i="4"/>
  <c r="CC129" i="4" s="1"/>
  <c r="AF117" i="10"/>
  <c r="AF116" i="10"/>
  <c r="AF114" i="10"/>
  <c r="AF113" i="10"/>
  <c r="AF112" i="10"/>
  <c r="AF111" i="10"/>
  <c r="AF82" i="10"/>
  <c r="AF88" i="10"/>
  <c r="AF83" i="10"/>
  <c r="AF77" i="10"/>
  <c r="CO60" i="10"/>
  <c r="AH169" i="10"/>
  <c r="AH158" i="10"/>
  <c r="AH52" i="10" s="1"/>
  <c r="AH151" i="10"/>
  <c r="CK117" i="10"/>
  <c r="CF117" i="10"/>
  <c r="CD117" i="10"/>
  <c r="CE117" i="10" s="1"/>
  <c r="BM117" i="10"/>
  <c r="AO117" i="10"/>
  <c r="CK116" i="10"/>
  <c r="CF116" i="10"/>
  <c r="CD116" i="10"/>
  <c r="CE116" i="10" s="1"/>
  <c r="BM116" i="10"/>
  <c r="AO116" i="10"/>
  <c r="CK115" i="10"/>
  <c r="CF115" i="10"/>
  <c r="CE115" i="10"/>
  <c r="CD115" i="10"/>
  <c r="BM115" i="10"/>
  <c r="AO115" i="10"/>
  <c r="CK114" i="10"/>
  <c r="CF114" i="10"/>
  <c r="CE114" i="10"/>
  <c r="CD114" i="10"/>
  <c r="BM114" i="10"/>
  <c r="AO114" i="10"/>
  <c r="CK113" i="10"/>
  <c r="CF113" i="10"/>
  <c r="CE113" i="10"/>
  <c r="CD113" i="10"/>
  <c r="BM113" i="10"/>
  <c r="AO113" i="10"/>
  <c r="CK112" i="10"/>
  <c r="CF112" i="10"/>
  <c r="CD112" i="10"/>
  <c r="CE112" i="10" s="1"/>
  <c r="BM112" i="10"/>
  <c r="AO112" i="10"/>
  <c r="CK111" i="10"/>
  <c r="CF111" i="10"/>
  <c r="CE111" i="10"/>
  <c r="CD111" i="10"/>
  <c r="BM111" i="10"/>
  <c r="AO111" i="10"/>
  <c r="CK110" i="10"/>
  <c r="CF110" i="10"/>
  <c r="CE110" i="10"/>
  <c r="CD110" i="10"/>
  <c r="BM110" i="10"/>
  <c r="AO110" i="10"/>
  <c r="CK109" i="10"/>
  <c r="CF109" i="10"/>
  <c r="CE109" i="10"/>
  <c r="CD109" i="10"/>
  <c r="BM109" i="10"/>
  <c r="AO109" i="10"/>
  <c r="CK108" i="10"/>
  <c r="CF108" i="10"/>
  <c r="CE108" i="10"/>
  <c r="CD108" i="10"/>
  <c r="BM108" i="10"/>
  <c r="AO108" i="10"/>
  <c r="CK107" i="10"/>
  <c r="CF107" i="10"/>
  <c r="CE107" i="10"/>
  <c r="CD107" i="10"/>
  <c r="BM107" i="10"/>
  <c r="AO107" i="10"/>
  <c r="CK106" i="10"/>
  <c r="CF106" i="10"/>
  <c r="CD106" i="10"/>
  <c r="CE106" i="10" s="1"/>
  <c r="BM106" i="10"/>
  <c r="AO106" i="10"/>
  <c r="CK105" i="10"/>
  <c r="CF105" i="10"/>
  <c r="CD105" i="10"/>
  <c r="CE105" i="10" s="1"/>
  <c r="BM105" i="10"/>
  <c r="AO105" i="10"/>
  <c r="CK104" i="10"/>
  <c r="CF104" i="10"/>
  <c r="CD104" i="10"/>
  <c r="CE104" i="10" s="1"/>
  <c r="BM104" i="10"/>
  <c r="AO104" i="10"/>
  <c r="CK103" i="10"/>
  <c r="CF103" i="10"/>
  <c r="CD103" i="10"/>
  <c r="CE103" i="10" s="1"/>
  <c r="BM103" i="10"/>
  <c r="AO103" i="10"/>
  <c r="CK102" i="10"/>
  <c r="CF102" i="10"/>
  <c r="CD102" i="10"/>
  <c r="CE102" i="10" s="1"/>
  <c r="BM102" i="10"/>
  <c r="AO102" i="10"/>
  <c r="CK101" i="10"/>
  <c r="CF101" i="10"/>
  <c r="CD101" i="10"/>
  <c r="CE101" i="10" s="1"/>
  <c r="BM101" i="10"/>
  <c r="AO101" i="10"/>
  <c r="CK100" i="10"/>
  <c r="CF100" i="10"/>
  <c r="CD100" i="10"/>
  <c r="CE100" i="10" s="1"/>
  <c r="BM100" i="10"/>
  <c r="AO100" i="10"/>
  <c r="CK99" i="10"/>
  <c r="CF99" i="10"/>
  <c r="CD99" i="10"/>
  <c r="CE99" i="10" s="1"/>
  <c r="BM99" i="10"/>
  <c r="AO99" i="10"/>
  <c r="CK98" i="10"/>
  <c r="CF98" i="10"/>
  <c r="CE98" i="10"/>
  <c r="CD98" i="10"/>
  <c r="BM98" i="10"/>
  <c r="AO98" i="10"/>
  <c r="CK97" i="10"/>
  <c r="CF97" i="10"/>
  <c r="CE97" i="10"/>
  <c r="CD97" i="10"/>
  <c r="BM97" i="10"/>
  <c r="AO97" i="10"/>
  <c r="CK96" i="10"/>
  <c r="CF96" i="10"/>
  <c r="CE96" i="10"/>
  <c r="CD96" i="10"/>
  <c r="BM96" i="10"/>
  <c r="AO96" i="10"/>
  <c r="CK95" i="10"/>
  <c r="CF95" i="10"/>
  <c r="CE95" i="10"/>
  <c r="CD95" i="10"/>
  <c r="BM95" i="10"/>
  <c r="AO95" i="10"/>
  <c r="CK94" i="10"/>
  <c r="CF94" i="10"/>
  <c r="CE94" i="10"/>
  <c r="CD94" i="10"/>
  <c r="BM94" i="10"/>
  <c r="AO94" i="10"/>
  <c r="CK93" i="10"/>
  <c r="CF93" i="10"/>
  <c r="CE93" i="10"/>
  <c r="CD93" i="10"/>
  <c r="BM93" i="10"/>
  <c r="AO93" i="10"/>
  <c r="CK92" i="10"/>
  <c r="CF92" i="10"/>
  <c r="CE92" i="10"/>
  <c r="CD92" i="10"/>
  <c r="BM92" i="10"/>
  <c r="AO92" i="10"/>
  <c r="CK91" i="10"/>
  <c r="CF91" i="10"/>
  <c r="CE91" i="10"/>
  <c r="CD91" i="10"/>
  <c r="BM91" i="10"/>
  <c r="AO91" i="10"/>
  <c r="CK88" i="10"/>
  <c r="CF88" i="10"/>
  <c r="CD88" i="10"/>
  <c r="BM88" i="10"/>
  <c r="AO88" i="10"/>
  <c r="CK87" i="10"/>
  <c r="CF87" i="10"/>
  <c r="CD87" i="10"/>
  <c r="CE87" i="10" s="1"/>
  <c r="BM87" i="10"/>
  <c r="AO87" i="10"/>
  <c r="CK86" i="10"/>
  <c r="CF86" i="10"/>
  <c r="CD86" i="10"/>
  <c r="BM86" i="10"/>
  <c r="AO86" i="10"/>
  <c r="CK83" i="10"/>
  <c r="CF83" i="10"/>
  <c r="CD83" i="10"/>
  <c r="BM83" i="10"/>
  <c r="AO83" i="10"/>
  <c r="CK82" i="10"/>
  <c r="CF82" i="10"/>
  <c r="CD82" i="10"/>
  <c r="CS62" i="10" s="1"/>
  <c r="BM82" i="10"/>
  <c r="AO82" i="10"/>
  <c r="CK81" i="10"/>
  <c r="CF81" i="10"/>
  <c r="CD81" i="10"/>
  <c r="CE81" i="10" s="1"/>
  <c r="BM81" i="10"/>
  <c r="AO81" i="10"/>
  <c r="CK80" i="10"/>
  <c r="CF80" i="10"/>
  <c r="CD80" i="10"/>
  <c r="CE80" i="10" s="1"/>
  <c r="BM80" i="10"/>
  <c r="AO80" i="10"/>
  <c r="CK79" i="10"/>
  <c r="CF79" i="10"/>
  <c r="CD79" i="10"/>
  <c r="BM79" i="10"/>
  <c r="AO79" i="10"/>
  <c r="CK78" i="10"/>
  <c r="CF78" i="10"/>
  <c r="CD78" i="10"/>
  <c r="CW53" i="10" s="1"/>
  <c r="BM78" i="10"/>
  <c r="AO78" i="10"/>
  <c r="CK77" i="10"/>
  <c r="CF77" i="10"/>
  <c r="CD77" i="10"/>
  <c r="CE77" i="10" s="1"/>
  <c r="BM77" i="10"/>
  <c r="AO77" i="10"/>
  <c r="CK76" i="10"/>
  <c r="CF76" i="10"/>
  <c r="CD76" i="10"/>
  <c r="CE76" i="10" s="1"/>
  <c r="BM76" i="10"/>
  <c r="AO76" i="10"/>
  <c r="CK75" i="10"/>
  <c r="CF75" i="10"/>
  <c r="CD75" i="10"/>
  <c r="BM75" i="10"/>
  <c r="AO75" i="10"/>
  <c r="CK74" i="10"/>
  <c r="CF74" i="10"/>
  <c r="CD74" i="10"/>
  <c r="CV56" i="10" s="1"/>
  <c r="BM74" i="10"/>
  <c r="AO74" i="10"/>
  <c r="CK73" i="10"/>
  <c r="CF73" i="10"/>
  <c r="CD73" i="10"/>
  <c r="CE73" i="10" s="1"/>
  <c r="BM73" i="10"/>
  <c r="AO73" i="10"/>
  <c r="CK72" i="10"/>
  <c r="CF72" i="10"/>
  <c r="CD72" i="10"/>
  <c r="CE72" i="10" s="1"/>
  <c r="BM72" i="10"/>
  <c r="AO72" i="10"/>
  <c r="CK71" i="10"/>
  <c r="CF71" i="10"/>
  <c r="CD71" i="10"/>
  <c r="CE71" i="10" s="1"/>
  <c r="BM71" i="10"/>
  <c r="AO71" i="10"/>
  <c r="CK70" i="10"/>
  <c r="CF70" i="10"/>
  <c r="CD70" i="10"/>
  <c r="CE70" i="10" s="1"/>
  <c r="BM70" i="10"/>
  <c r="AO70" i="10"/>
  <c r="CK69" i="10"/>
  <c r="CF69" i="10"/>
  <c r="CD69" i="10"/>
  <c r="CE69" i="10" s="1"/>
  <c r="BM69" i="10"/>
  <c r="AO69" i="10"/>
  <c r="CK68" i="10"/>
  <c r="CF68" i="10"/>
  <c r="CD68" i="10"/>
  <c r="CE68" i="10" s="1"/>
  <c r="BM68" i="10"/>
  <c r="AO68" i="10"/>
  <c r="CK67" i="10"/>
  <c r="CF67" i="10"/>
  <c r="CD67" i="10"/>
  <c r="CE67" i="10" s="1"/>
  <c r="BM67" i="10"/>
  <c r="AO67" i="10"/>
  <c r="CK66" i="10"/>
  <c r="CF66" i="10"/>
  <c r="CD66" i="10"/>
  <c r="CE66" i="10" s="1"/>
  <c r="BM66" i="10"/>
  <c r="AO66" i="10"/>
  <c r="CK65" i="10"/>
  <c r="CF65" i="10"/>
  <c r="CD65" i="10"/>
  <c r="CE65" i="10" s="1"/>
  <c r="BM65" i="10"/>
  <c r="AO65" i="10"/>
  <c r="CK64" i="10"/>
  <c r="CF64" i="10"/>
  <c r="CD64" i="10"/>
  <c r="CE64" i="10" s="1"/>
  <c r="BM64" i="10"/>
  <c r="AO64" i="10"/>
  <c r="CW62" i="10"/>
  <c r="CR62" i="10"/>
  <c r="CN62" i="10"/>
  <c r="CM62" i="10"/>
  <c r="CV61" i="10"/>
  <c r="CU61" i="10"/>
  <c r="DE61" i="10" s="1"/>
  <c r="CT61" i="10"/>
  <c r="CQ61" i="10"/>
  <c r="CP61" i="10"/>
  <c r="CN61" i="10"/>
  <c r="CM61" i="10"/>
  <c r="CW60" i="10"/>
  <c r="CN60" i="10"/>
  <c r="CM60" i="10"/>
  <c r="CF60" i="10"/>
  <c r="BM60" i="10"/>
  <c r="AO60" i="10"/>
  <c r="AH60" i="10"/>
  <c r="DE59" i="10"/>
  <c r="DD59" i="10"/>
  <c r="DC59" i="10"/>
  <c r="DB59" i="10"/>
  <c r="DA59" i="10"/>
  <c r="DF59" i="10" s="1"/>
  <c r="CZ59" i="10"/>
  <c r="CT59" i="10"/>
  <c r="CS59" i="10"/>
  <c r="CR59" i="10"/>
  <c r="CQ59" i="10"/>
  <c r="CP59" i="10"/>
  <c r="CO59" i="10"/>
  <c r="CN59" i="10"/>
  <c r="CM59" i="10"/>
  <c r="CK59" i="10"/>
  <c r="CF59" i="10"/>
  <c r="CE59" i="10"/>
  <c r="CD59" i="10"/>
  <c r="BM59" i="10"/>
  <c r="AO59" i="10"/>
  <c r="CW58" i="10"/>
  <c r="CV58" i="10"/>
  <c r="CS58" i="10"/>
  <c r="CR58" i="10"/>
  <c r="CN58" i="10"/>
  <c r="CM58" i="10"/>
  <c r="CK58" i="10"/>
  <c r="CF58" i="10"/>
  <c r="CD58" i="10"/>
  <c r="CE58" i="10" s="1"/>
  <c r="BM58" i="10"/>
  <c r="AO58" i="10"/>
  <c r="CU57" i="10"/>
  <c r="DE57" i="10" s="1"/>
  <c r="CP57" i="10"/>
  <c r="CN57" i="10"/>
  <c r="CM57" i="10"/>
  <c r="CK57" i="10"/>
  <c r="CF57" i="10"/>
  <c r="CD57" i="10"/>
  <c r="BT57" i="10"/>
  <c r="BM57" i="10"/>
  <c r="AY57" i="10"/>
  <c r="AX57" i="10"/>
  <c r="AW57" i="10"/>
  <c r="AV57" i="10"/>
  <c r="AO57" i="10"/>
  <c r="CN56" i="10"/>
  <c r="CM56" i="10"/>
  <c r="CK56" i="10"/>
  <c r="CF56" i="10"/>
  <c r="CD56" i="10"/>
  <c r="BM56" i="10"/>
  <c r="AO56" i="10"/>
  <c r="CO55" i="10"/>
  <c r="CN55" i="10"/>
  <c r="CM55" i="10"/>
  <c r="CK55" i="10"/>
  <c r="CF55" i="10"/>
  <c r="CD55" i="10"/>
  <c r="CE55" i="10" s="1"/>
  <c r="BM55" i="10"/>
  <c r="AO55" i="10"/>
  <c r="CY54" i="10"/>
  <c r="CX54" i="10"/>
  <c r="CW54" i="10"/>
  <c r="CV54" i="10"/>
  <c r="CU54" i="10"/>
  <c r="DE54" i="10" s="1"/>
  <c r="CT54" i="10"/>
  <c r="CS54" i="10"/>
  <c r="CR54" i="10"/>
  <c r="CQ54" i="10"/>
  <c r="CP54" i="10"/>
  <c r="CN54" i="10"/>
  <c r="CM54" i="10"/>
  <c r="CK54" i="10"/>
  <c r="CF54" i="10"/>
  <c r="CD54" i="10"/>
  <c r="CE54" i="10" s="1"/>
  <c r="BM54" i="10"/>
  <c r="AO54" i="10"/>
  <c r="CY53" i="10"/>
  <c r="CX53" i="10"/>
  <c r="CN53" i="10"/>
  <c r="CM53" i="10"/>
  <c r="CK53" i="10"/>
  <c r="CF53" i="10"/>
  <c r="CD53" i="10"/>
  <c r="CE53" i="10" s="1"/>
  <c r="BM53" i="10"/>
  <c r="AO53" i="10"/>
  <c r="CX52" i="10"/>
  <c r="CN52" i="10"/>
  <c r="CM52" i="10"/>
  <c r="CF52" i="10"/>
  <c r="BM52" i="10"/>
  <c r="AO52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N51" i="10"/>
  <c r="CM51" i="10"/>
  <c r="CF51" i="10"/>
  <c r="BM51" i="10"/>
  <c r="AO51" i="10"/>
  <c r="AH51" i="10"/>
  <c r="CD51" i="10" s="1"/>
  <c r="CE51" i="10" s="1"/>
  <c r="E38" i="10"/>
  <c r="E32" i="10"/>
  <c r="E33" i="10" s="1"/>
  <c r="E41" i="10" s="1"/>
  <c r="AK53" i="10" s="1"/>
  <c r="CE16" i="10"/>
  <c r="CD16" i="10"/>
  <c r="CE15" i="10"/>
  <c r="CD15" i="10"/>
  <c r="CE14" i="10"/>
  <c r="CD14" i="10"/>
  <c r="CE13" i="10"/>
  <c r="CD13" i="10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X102" i="9" s="1"/>
  <c r="W101" i="9"/>
  <c r="W100" i="9"/>
  <c r="W99" i="9"/>
  <c r="W98" i="9"/>
  <c r="W97" i="9"/>
  <c r="W96" i="9"/>
  <c r="W95" i="9"/>
  <c r="W94" i="9"/>
  <c r="W93" i="9"/>
  <c r="W92" i="9"/>
  <c r="W91" i="9"/>
  <c r="W88" i="9"/>
  <c r="W87" i="9"/>
  <c r="W86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0" i="9"/>
  <c r="W59" i="9"/>
  <c r="W58" i="9"/>
  <c r="W57" i="9"/>
  <c r="W56" i="9"/>
  <c r="W55" i="9"/>
  <c r="W54" i="9"/>
  <c r="W53" i="9"/>
  <c r="W52" i="9"/>
  <c r="W51" i="9"/>
  <c r="AD105" i="9"/>
  <c r="AE105" i="9" s="1"/>
  <c r="AD87" i="9"/>
  <c r="AE87" i="9" s="1"/>
  <c r="AD69" i="9"/>
  <c r="AE69" i="9" s="1"/>
  <c r="AD117" i="7"/>
  <c r="AD117" i="9" s="1"/>
  <c r="AE117" i="9" s="1"/>
  <c r="AD116" i="7"/>
  <c r="AD116" i="9" s="1"/>
  <c r="AE116" i="9" s="1"/>
  <c r="AD115" i="7"/>
  <c r="AD114" i="7"/>
  <c r="AD113" i="7"/>
  <c r="AD113" i="10" s="1"/>
  <c r="AE113" i="10" s="1"/>
  <c r="AD112" i="7"/>
  <c r="AD112" i="10" s="1"/>
  <c r="AE112" i="10" s="1"/>
  <c r="AD111" i="7"/>
  <c r="AD111" i="10" s="1"/>
  <c r="AE111" i="10" s="1"/>
  <c r="AD110" i="7"/>
  <c r="AD110" i="10" s="1"/>
  <c r="AE110" i="10" s="1"/>
  <c r="X110" i="10" s="1"/>
  <c r="W110" i="10" s="1"/>
  <c r="BF110" i="10" s="1"/>
  <c r="AD109" i="7"/>
  <c r="AD109" i="9" s="1"/>
  <c r="AE109" i="9" s="1"/>
  <c r="AD108" i="7"/>
  <c r="AD108" i="9" s="1"/>
  <c r="AE108" i="9" s="1"/>
  <c r="AD107" i="7"/>
  <c r="AD106" i="7"/>
  <c r="AD105" i="7"/>
  <c r="AD105" i="10" s="1"/>
  <c r="AE105" i="10" s="1"/>
  <c r="X105" i="10" s="1"/>
  <c r="W105" i="10" s="1"/>
  <c r="BF105" i="10" s="1"/>
  <c r="AD104" i="7"/>
  <c r="AD104" i="10" s="1"/>
  <c r="AE104" i="10" s="1"/>
  <c r="X104" i="10" s="1"/>
  <c r="W104" i="10" s="1"/>
  <c r="BF104" i="10" s="1"/>
  <c r="AD103" i="7"/>
  <c r="AD103" i="10" s="1"/>
  <c r="AE103" i="10" s="1"/>
  <c r="X103" i="10" s="1"/>
  <c r="W103" i="10" s="1"/>
  <c r="BF103" i="10" s="1"/>
  <c r="AD102" i="7"/>
  <c r="AD102" i="10" s="1"/>
  <c r="AE102" i="10" s="1"/>
  <c r="X102" i="10" s="1"/>
  <c r="W102" i="10" s="1"/>
  <c r="BF102" i="10" s="1"/>
  <c r="AD101" i="7"/>
  <c r="AD101" i="9" s="1"/>
  <c r="AE101" i="9" s="1"/>
  <c r="AD100" i="7"/>
  <c r="AD100" i="9" s="1"/>
  <c r="AE100" i="9" s="1"/>
  <c r="AD99" i="7"/>
  <c r="AD98" i="7"/>
  <c r="AD97" i="7"/>
  <c r="AD97" i="10" s="1"/>
  <c r="AE97" i="10" s="1"/>
  <c r="X97" i="10" s="1"/>
  <c r="W97" i="10" s="1"/>
  <c r="BF97" i="10" s="1"/>
  <c r="AD96" i="7"/>
  <c r="AD96" i="10" s="1"/>
  <c r="AE96" i="10" s="1"/>
  <c r="X96" i="10" s="1"/>
  <c r="W96" i="10" s="1"/>
  <c r="BF96" i="10" s="1"/>
  <c r="AD95" i="7"/>
  <c r="AD95" i="10" s="1"/>
  <c r="AE95" i="10" s="1"/>
  <c r="X95" i="10" s="1"/>
  <c r="W95" i="10" s="1"/>
  <c r="BF95" i="10" s="1"/>
  <c r="AD94" i="7"/>
  <c r="AD94" i="10" s="1"/>
  <c r="AE94" i="10" s="1"/>
  <c r="X94" i="10" s="1"/>
  <c r="W94" i="10" s="1"/>
  <c r="BF94" i="10" s="1"/>
  <c r="AD93" i="7"/>
  <c r="AD93" i="10" s="1"/>
  <c r="AE93" i="10" s="1"/>
  <c r="X93" i="10" s="1"/>
  <c r="W93" i="10" s="1"/>
  <c r="BF93" i="10" s="1"/>
  <c r="AD92" i="7"/>
  <c r="AD92" i="10" s="1"/>
  <c r="AE92" i="10" s="1"/>
  <c r="X92" i="10" s="1"/>
  <c r="W92" i="10" s="1"/>
  <c r="BF92" i="10" s="1"/>
  <c r="AD91" i="7"/>
  <c r="AD88" i="7"/>
  <c r="AD87" i="7"/>
  <c r="AD87" i="10" s="1"/>
  <c r="AE87" i="10" s="1"/>
  <c r="X87" i="10" s="1"/>
  <c r="W87" i="10" s="1"/>
  <c r="BF87" i="10" s="1"/>
  <c r="AD86" i="7"/>
  <c r="AD86" i="10" s="1"/>
  <c r="AE86" i="10" s="1"/>
  <c r="X86" i="10" s="1"/>
  <c r="W86" i="10" s="1"/>
  <c r="BF86" i="10" s="1"/>
  <c r="AD83" i="7"/>
  <c r="AD83" i="10" s="1"/>
  <c r="AE83" i="10" s="1"/>
  <c r="AD82" i="7"/>
  <c r="AD82" i="10" s="1"/>
  <c r="AE82" i="10" s="1"/>
  <c r="AD81" i="7"/>
  <c r="AD81" i="10" s="1"/>
  <c r="AE81" i="10" s="1"/>
  <c r="X81" i="10" s="1"/>
  <c r="W81" i="10" s="1"/>
  <c r="BF81" i="10" s="1"/>
  <c r="AD80" i="7"/>
  <c r="AD80" i="9" s="1"/>
  <c r="AE80" i="9" s="1"/>
  <c r="AD79" i="7"/>
  <c r="AD78" i="7"/>
  <c r="AD77" i="7"/>
  <c r="AD77" i="10" s="1"/>
  <c r="AE77" i="10" s="1"/>
  <c r="AD76" i="7"/>
  <c r="AD76" i="10" s="1"/>
  <c r="AE76" i="10" s="1"/>
  <c r="X76" i="10" s="1"/>
  <c r="W76" i="10" s="1"/>
  <c r="BF76" i="10" s="1"/>
  <c r="AD75" i="7"/>
  <c r="AD75" i="10" s="1"/>
  <c r="AE75" i="10" s="1"/>
  <c r="X75" i="10" s="1"/>
  <c r="W75" i="10" s="1"/>
  <c r="BF75" i="10" s="1"/>
  <c r="AD74" i="7"/>
  <c r="AD74" i="10" s="1"/>
  <c r="AE74" i="10" s="1"/>
  <c r="X74" i="10" s="1"/>
  <c r="W74" i="10" s="1"/>
  <c r="BF74" i="10" s="1"/>
  <c r="AD73" i="7"/>
  <c r="AD73" i="10" s="1"/>
  <c r="AE73" i="10" s="1"/>
  <c r="X73" i="10" s="1"/>
  <c r="W73" i="10" s="1"/>
  <c r="BF73" i="10" s="1"/>
  <c r="AD72" i="7"/>
  <c r="AD72" i="9" s="1"/>
  <c r="AE72" i="9" s="1"/>
  <c r="AD71" i="7"/>
  <c r="AD70" i="7"/>
  <c r="AD69" i="7"/>
  <c r="AD69" i="10" s="1"/>
  <c r="AE69" i="10" s="1"/>
  <c r="X69" i="10" s="1"/>
  <c r="W69" i="10" s="1"/>
  <c r="BF69" i="10" s="1"/>
  <c r="AD68" i="7"/>
  <c r="AD68" i="10" s="1"/>
  <c r="AE68" i="10" s="1"/>
  <c r="X68" i="10" s="1"/>
  <c r="W68" i="10" s="1"/>
  <c r="BF68" i="10" s="1"/>
  <c r="AD67" i="7"/>
  <c r="AD67" i="10" s="1"/>
  <c r="AE67" i="10" s="1"/>
  <c r="X67" i="10" s="1"/>
  <c r="W67" i="10" s="1"/>
  <c r="BF67" i="10" s="1"/>
  <c r="AD66" i="7"/>
  <c r="AD66" i="10" s="1"/>
  <c r="AE66" i="10" s="1"/>
  <c r="X66" i="10" s="1"/>
  <c r="W66" i="10" s="1"/>
  <c r="BF66" i="10" s="1"/>
  <c r="AD65" i="7"/>
  <c r="AD65" i="9" s="1"/>
  <c r="AE65" i="9" s="1"/>
  <c r="AD64" i="7"/>
  <c r="AD64" i="9" s="1"/>
  <c r="AE64" i="9" s="1"/>
  <c r="AD60" i="7"/>
  <c r="AD59" i="7"/>
  <c r="AD58" i="7"/>
  <c r="AD58" i="10" s="1"/>
  <c r="AE58" i="10" s="1"/>
  <c r="X58" i="10" s="1"/>
  <c r="W58" i="10" s="1"/>
  <c r="BF58" i="10" s="1"/>
  <c r="AD57" i="7"/>
  <c r="AD57" i="10" s="1"/>
  <c r="AE57" i="10" s="1"/>
  <c r="X57" i="10" s="1"/>
  <c r="W57" i="10" s="1"/>
  <c r="BF57" i="10" s="1"/>
  <c r="AD56" i="7"/>
  <c r="AD56" i="9" s="1"/>
  <c r="AE56" i="9" s="1"/>
  <c r="AD55" i="7"/>
  <c r="AD55" i="10" s="1"/>
  <c r="AE55" i="10" s="1"/>
  <c r="X55" i="10" s="1"/>
  <c r="W55" i="10" s="1"/>
  <c r="BF55" i="10" s="1"/>
  <c r="AD54" i="7"/>
  <c r="AD54" i="9" s="1"/>
  <c r="AE54" i="9" s="1"/>
  <c r="AD53" i="7"/>
  <c r="AD53" i="9" s="1"/>
  <c r="AE53" i="9" s="1"/>
  <c r="AD52" i="7"/>
  <c r="AD52" i="9" s="1"/>
  <c r="AE52" i="9" s="1"/>
  <c r="AD51" i="7"/>
  <c r="AD51" i="9" s="1"/>
  <c r="AE51" i="9" s="1"/>
  <c r="X77" i="9"/>
  <c r="X71" i="9"/>
  <c r="X66" i="9"/>
  <c r="AH169" i="9"/>
  <c r="AH60" i="9" s="1"/>
  <c r="AH158" i="9"/>
  <c r="AH52" i="9" s="1"/>
  <c r="CK52" i="9" s="1"/>
  <c r="AH151" i="9"/>
  <c r="AH51" i="9" s="1"/>
  <c r="CK51" i="9" s="1"/>
  <c r="CK117" i="9"/>
  <c r="CF117" i="9"/>
  <c r="CD117" i="9"/>
  <c r="CE117" i="9" s="1"/>
  <c r="BM117" i="9"/>
  <c r="AO117" i="9"/>
  <c r="CK116" i="9"/>
  <c r="CF116" i="9"/>
  <c r="CD116" i="9"/>
  <c r="CE116" i="9" s="1"/>
  <c r="BM116" i="9"/>
  <c r="AO116" i="9"/>
  <c r="CK115" i="9"/>
  <c r="CF115" i="9"/>
  <c r="CD115" i="9"/>
  <c r="CE115" i="9" s="1"/>
  <c r="BM115" i="9"/>
  <c r="AO115" i="9"/>
  <c r="CK114" i="9"/>
  <c r="CF114" i="9"/>
  <c r="CD114" i="9"/>
  <c r="CE114" i="9" s="1"/>
  <c r="BM114" i="9"/>
  <c r="AO114" i="9"/>
  <c r="CK113" i="9"/>
  <c r="CF113" i="9"/>
  <c r="CD113" i="9"/>
  <c r="CE113" i="9" s="1"/>
  <c r="BM113" i="9"/>
  <c r="AO113" i="9"/>
  <c r="CK112" i="9"/>
  <c r="CF112" i="9"/>
  <c r="CD112" i="9"/>
  <c r="CE112" i="9" s="1"/>
  <c r="BM112" i="9"/>
  <c r="AO112" i="9"/>
  <c r="CK111" i="9"/>
  <c r="CF111" i="9"/>
  <c r="CD111" i="9"/>
  <c r="BM111" i="9"/>
  <c r="AO111" i="9"/>
  <c r="CK110" i="9"/>
  <c r="CF110" i="9"/>
  <c r="CD110" i="9"/>
  <c r="BM110" i="9"/>
  <c r="AO110" i="9"/>
  <c r="CK109" i="9"/>
  <c r="CF109" i="9"/>
  <c r="CD109" i="9"/>
  <c r="CE109" i="9" s="1"/>
  <c r="BM109" i="9"/>
  <c r="AO109" i="9"/>
  <c r="CK108" i="9"/>
  <c r="CF108" i="9"/>
  <c r="CD108" i="9"/>
  <c r="CE108" i="9" s="1"/>
  <c r="BM108" i="9"/>
  <c r="AO108" i="9"/>
  <c r="CK107" i="9"/>
  <c r="CF107" i="9"/>
  <c r="CD107" i="9"/>
  <c r="CE107" i="9" s="1"/>
  <c r="BM107" i="9"/>
  <c r="AO107" i="9"/>
  <c r="CK106" i="9"/>
  <c r="CF106" i="9"/>
  <c r="CD106" i="9"/>
  <c r="CE106" i="9" s="1"/>
  <c r="BM106" i="9"/>
  <c r="AO106" i="9"/>
  <c r="CK105" i="9"/>
  <c r="CF105" i="9"/>
  <c r="CD105" i="9"/>
  <c r="CE105" i="9" s="1"/>
  <c r="BM105" i="9"/>
  <c r="AO105" i="9"/>
  <c r="CK104" i="9"/>
  <c r="CF104" i="9"/>
  <c r="CD104" i="9"/>
  <c r="CE104" i="9" s="1"/>
  <c r="BM104" i="9"/>
  <c r="AO104" i="9"/>
  <c r="CK103" i="9"/>
  <c r="CF103" i="9"/>
  <c r="CD103" i="9"/>
  <c r="CE103" i="9" s="1"/>
  <c r="BM103" i="9"/>
  <c r="AO103" i="9"/>
  <c r="CK102" i="9"/>
  <c r="CF102" i="9"/>
  <c r="CD102" i="9"/>
  <c r="CE102" i="9" s="1"/>
  <c r="BM102" i="9"/>
  <c r="AO102" i="9"/>
  <c r="CK101" i="9"/>
  <c r="CF101" i="9"/>
  <c r="CD101" i="9"/>
  <c r="CE101" i="9" s="1"/>
  <c r="BM101" i="9"/>
  <c r="AO101" i="9"/>
  <c r="CK100" i="9"/>
  <c r="CF100" i="9"/>
  <c r="CD100" i="9"/>
  <c r="CE100" i="9" s="1"/>
  <c r="BM100" i="9"/>
  <c r="AO100" i="9"/>
  <c r="CK99" i="9"/>
  <c r="CF99" i="9"/>
  <c r="CD99" i="9"/>
  <c r="CE99" i="9" s="1"/>
  <c r="BM99" i="9"/>
  <c r="AO99" i="9"/>
  <c r="CK98" i="9"/>
  <c r="CF98" i="9"/>
  <c r="CD98" i="9"/>
  <c r="CE98" i="9" s="1"/>
  <c r="BM98" i="9"/>
  <c r="AO98" i="9"/>
  <c r="CK97" i="9"/>
  <c r="CF97" i="9"/>
  <c r="CD97" i="9"/>
  <c r="CE97" i="9" s="1"/>
  <c r="BM97" i="9"/>
  <c r="AO97" i="9"/>
  <c r="CK96" i="9"/>
  <c r="CF96" i="9"/>
  <c r="CD96" i="9"/>
  <c r="CE96" i="9" s="1"/>
  <c r="BM96" i="9"/>
  <c r="AO96" i="9"/>
  <c r="CK95" i="9"/>
  <c r="CF95" i="9"/>
  <c r="CD95" i="9"/>
  <c r="CE95" i="9" s="1"/>
  <c r="BM95" i="9"/>
  <c r="AO95" i="9"/>
  <c r="CK94" i="9"/>
  <c r="CF94" i="9"/>
  <c r="CD94" i="9"/>
  <c r="CE94" i="9" s="1"/>
  <c r="BM94" i="9"/>
  <c r="AO94" i="9"/>
  <c r="CK93" i="9"/>
  <c r="CF93" i="9"/>
  <c r="CD93" i="9"/>
  <c r="BM93" i="9"/>
  <c r="AO93" i="9"/>
  <c r="CK92" i="9"/>
  <c r="CF92" i="9"/>
  <c r="CD92" i="9"/>
  <c r="BM92" i="9"/>
  <c r="AO92" i="9"/>
  <c r="CK91" i="9"/>
  <c r="CF91" i="9"/>
  <c r="CD91" i="9"/>
  <c r="CE91" i="9" s="1"/>
  <c r="BM91" i="9"/>
  <c r="AO91" i="9"/>
  <c r="CK88" i="9"/>
  <c r="CF88" i="9"/>
  <c r="CD88" i="9"/>
  <c r="CZ59" i="9" s="1"/>
  <c r="DE59" i="9" s="1"/>
  <c r="BM88" i="9"/>
  <c r="AO88" i="9"/>
  <c r="CK87" i="9"/>
  <c r="CF87" i="9"/>
  <c r="CD87" i="9"/>
  <c r="BM87" i="9"/>
  <c r="AO87" i="9"/>
  <c r="CK86" i="9"/>
  <c r="CF86" i="9"/>
  <c r="CD86" i="9"/>
  <c r="BM86" i="9"/>
  <c r="AO86" i="9"/>
  <c r="CK83" i="9"/>
  <c r="CF83" i="9"/>
  <c r="CD83" i="9"/>
  <c r="CE83" i="9" s="1"/>
  <c r="BM83" i="9"/>
  <c r="AO83" i="9"/>
  <c r="CK82" i="9"/>
  <c r="CF82" i="9"/>
  <c r="CD82" i="9"/>
  <c r="BM82" i="9"/>
  <c r="AO82" i="9"/>
  <c r="CK81" i="9"/>
  <c r="CF81" i="9"/>
  <c r="CD81" i="9"/>
  <c r="BM81" i="9"/>
  <c r="AO81" i="9"/>
  <c r="CK80" i="9"/>
  <c r="CF80" i="9"/>
  <c r="CD80" i="9"/>
  <c r="BM80" i="9"/>
  <c r="AO80" i="9"/>
  <c r="CK79" i="9"/>
  <c r="CF79" i="9"/>
  <c r="CD79" i="9"/>
  <c r="BM79" i="9"/>
  <c r="AO79" i="9"/>
  <c r="CK78" i="9"/>
  <c r="CF78" i="9"/>
  <c r="CD78" i="9"/>
  <c r="BM78" i="9"/>
  <c r="AO78" i="9"/>
  <c r="CK77" i="9"/>
  <c r="CF77" i="9"/>
  <c r="CD77" i="9"/>
  <c r="CR54" i="9" s="1"/>
  <c r="BM77" i="9"/>
  <c r="AO77" i="9"/>
  <c r="CK76" i="9"/>
  <c r="CF76" i="9"/>
  <c r="CD76" i="9"/>
  <c r="CE76" i="9" s="1"/>
  <c r="BM76" i="9"/>
  <c r="AO76" i="9"/>
  <c r="CK75" i="9"/>
  <c r="CF75" i="9"/>
  <c r="CD75" i="9"/>
  <c r="BM75" i="9"/>
  <c r="AO75" i="9"/>
  <c r="CK74" i="9"/>
  <c r="CF74" i="9"/>
  <c r="CD74" i="9"/>
  <c r="BM74" i="9"/>
  <c r="AO74" i="9"/>
  <c r="CK73" i="9"/>
  <c r="CF73" i="9"/>
  <c r="CD73" i="9"/>
  <c r="BM73" i="9"/>
  <c r="AO73" i="9"/>
  <c r="CK72" i="9"/>
  <c r="CF72" i="9"/>
  <c r="CD72" i="9"/>
  <c r="CE72" i="9" s="1"/>
  <c r="BM72" i="9"/>
  <c r="AO72" i="9"/>
  <c r="CK71" i="9"/>
  <c r="CF71" i="9"/>
  <c r="CD71" i="9"/>
  <c r="CE71" i="9" s="1"/>
  <c r="BM71" i="9"/>
  <c r="AO71" i="9"/>
  <c r="CK70" i="9"/>
  <c r="CF70" i="9"/>
  <c r="CD70" i="9"/>
  <c r="BM70" i="9"/>
  <c r="AO70" i="9"/>
  <c r="CK69" i="9"/>
  <c r="CF69" i="9"/>
  <c r="CD69" i="9"/>
  <c r="CE69" i="9" s="1"/>
  <c r="BM69" i="9"/>
  <c r="AO69" i="9"/>
  <c r="CK68" i="9"/>
  <c r="CF68" i="9"/>
  <c r="CD68" i="9"/>
  <c r="CE68" i="9" s="1"/>
  <c r="BM68" i="9"/>
  <c r="AO68" i="9"/>
  <c r="CK67" i="9"/>
  <c r="CF67" i="9"/>
  <c r="CD67" i="9"/>
  <c r="BM67" i="9"/>
  <c r="AO67" i="9"/>
  <c r="CK66" i="9"/>
  <c r="CF66" i="9"/>
  <c r="CD66" i="9"/>
  <c r="BM66" i="9"/>
  <c r="AO66" i="9"/>
  <c r="CK65" i="9"/>
  <c r="CF65" i="9"/>
  <c r="CD65" i="9"/>
  <c r="CE65" i="9" s="1"/>
  <c r="BM65" i="9"/>
  <c r="AO65" i="9"/>
  <c r="CK64" i="9"/>
  <c r="CF64" i="9"/>
  <c r="CD64" i="9"/>
  <c r="CE64" i="9" s="1"/>
  <c r="BM64" i="9"/>
  <c r="AO64" i="9"/>
  <c r="CN62" i="9"/>
  <c r="CM62" i="9"/>
  <c r="CN61" i="9"/>
  <c r="CM61" i="9"/>
  <c r="CN60" i="9"/>
  <c r="CM60" i="9"/>
  <c r="CF60" i="9"/>
  <c r="BM60" i="9"/>
  <c r="AO60" i="9"/>
  <c r="CS59" i="9"/>
  <c r="CQ59" i="9"/>
  <c r="CN59" i="9"/>
  <c r="CM59" i="9"/>
  <c r="CK59" i="9"/>
  <c r="CF59" i="9"/>
  <c r="CD59" i="9"/>
  <c r="CE59" i="9" s="1"/>
  <c r="BM59" i="9"/>
  <c r="AO59" i="9"/>
  <c r="CN58" i="9"/>
  <c r="CM58" i="9"/>
  <c r="CK58" i="9"/>
  <c r="CF58" i="9"/>
  <c r="CD58" i="9"/>
  <c r="BM58" i="9"/>
  <c r="AO58" i="9"/>
  <c r="CU57" i="9"/>
  <c r="DE57" i="9" s="1"/>
  <c r="CP57" i="9"/>
  <c r="CN57" i="9"/>
  <c r="CM57" i="9"/>
  <c r="CK57" i="9"/>
  <c r="CF57" i="9"/>
  <c r="CD57" i="9"/>
  <c r="BT57" i="9"/>
  <c r="BM57" i="9"/>
  <c r="AY57" i="9"/>
  <c r="AX57" i="9"/>
  <c r="AW57" i="9"/>
  <c r="AV57" i="9"/>
  <c r="AO57" i="9"/>
  <c r="CN56" i="9"/>
  <c r="CM56" i="9"/>
  <c r="CK56" i="9"/>
  <c r="CF56" i="9"/>
  <c r="CD56" i="9"/>
  <c r="BM56" i="9"/>
  <c r="AO56" i="9"/>
  <c r="CN55" i="9"/>
  <c r="CM55" i="9"/>
  <c r="CK55" i="9"/>
  <c r="CF55" i="9"/>
  <c r="CD55" i="9"/>
  <c r="BM55" i="9"/>
  <c r="AO55" i="9"/>
  <c r="CU54" i="9"/>
  <c r="DE54" i="9" s="1"/>
  <c r="CN54" i="9"/>
  <c r="CM54" i="9"/>
  <c r="CK54" i="9"/>
  <c r="CF54" i="9"/>
  <c r="CD54" i="9"/>
  <c r="CE54" i="9" s="1"/>
  <c r="BM54" i="9"/>
  <c r="AO54" i="9"/>
  <c r="CN53" i="9"/>
  <c r="CM53" i="9"/>
  <c r="CK53" i="9"/>
  <c r="CF53" i="9"/>
  <c r="CD53" i="9"/>
  <c r="BM53" i="9"/>
  <c r="AO53" i="9"/>
  <c r="CN52" i="9"/>
  <c r="CM52" i="9"/>
  <c r="CF52" i="9"/>
  <c r="BM52" i="9"/>
  <c r="AO52" i="9"/>
  <c r="CN51" i="9"/>
  <c r="CM51" i="9"/>
  <c r="CF51" i="9"/>
  <c r="BM51" i="9"/>
  <c r="AO51" i="9"/>
  <c r="E38" i="9"/>
  <c r="E32" i="9"/>
  <c r="E33" i="9" s="1"/>
  <c r="E40" i="9" s="1"/>
  <c r="CE16" i="9"/>
  <c r="CD16" i="9"/>
  <c r="CE15" i="9"/>
  <c r="CD15" i="9"/>
  <c r="CE14" i="9"/>
  <c r="CD14" i="9"/>
  <c r="CE13" i="9"/>
  <c r="CD13" i="9"/>
  <c r="W51" i="7"/>
  <c r="W52" i="7"/>
  <c r="BF52" i="7" s="1"/>
  <c r="W53" i="7"/>
  <c r="W54" i="7"/>
  <c r="X54" i="7" s="1"/>
  <c r="W55" i="7"/>
  <c r="W56" i="7"/>
  <c r="W57" i="7"/>
  <c r="W58" i="7"/>
  <c r="W59" i="7"/>
  <c r="X59" i="7" s="1"/>
  <c r="W60" i="7"/>
  <c r="W64" i="7"/>
  <c r="W65" i="7"/>
  <c r="W66" i="7"/>
  <c r="BF66" i="7" s="1"/>
  <c r="W67" i="7"/>
  <c r="W68" i="7"/>
  <c r="W69" i="7"/>
  <c r="W70" i="7"/>
  <c r="W71" i="7"/>
  <c r="W72" i="7"/>
  <c r="W73" i="7"/>
  <c r="W74" i="7"/>
  <c r="BF74" i="7" s="1"/>
  <c r="W75" i="7"/>
  <c r="W76" i="7"/>
  <c r="W77" i="7"/>
  <c r="W78" i="7"/>
  <c r="W79" i="7"/>
  <c r="BF79" i="7" s="1"/>
  <c r="W80" i="7"/>
  <c r="W81" i="7"/>
  <c r="W82" i="7"/>
  <c r="BF82" i="7" s="1"/>
  <c r="W83" i="7"/>
  <c r="W86" i="7"/>
  <c r="W87" i="7"/>
  <c r="W88" i="7"/>
  <c r="W91" i="7"/>
  <c r="W92" i="7"/>
  <c r="W93" i="7"/>
  <c r="W94" i="7"/>
  <c r="BF94" i="7" s="1"/>
  <c r="W95" i="7"/>
  <c r="BF95" i="7" s="1"/>
  <c r="W96" i="7"/>
  <c r="W97" i="7"/>
  <c r="W98" i="7"/>
  <c r="W99" i="7"/>
  <c r="BF99" i="7" s="1"/>
  <c r="W100" i="7"/>
  <c r="W101" i="7"/>
  <c r="W102" i="7"/>
  <c r="BF102" i="7" s="1"/>
  <c r="W103" i="7"/>
  <c r="BF103" i="7" s="1"/>
  <c r="W104" i="7"/>
  <c r="W105" i="7"/>
  <c r="W106" i="7"/>
  <c r="W107" i="7"/>
  <c r="W108" i="7"/>
  <c r="W109" i="7"/>
  <c r="W110" i="7"/>
  <c r="BF110" i="7" s="1"/>
  <c r="W111" i="7"/>
  <c r="BF111" i="7" s="1"/>
  <c r="W112" i="7"/>
  <c r="W113" i="7"/>
  <c r="W114" i="7"/>
  <c r="W115" i="7"/>
  <c r="W116" i="7"/>
  <c r="W117" i="7"/>
  <c r="X110" i="7"/>
  <c r="X103" i="7"/>
  <c r="X82" i="7"/>
  <c r="X75" i="7"/>
  <c r="X56" i="7"/>
  <c r="CQ62" i="9" l="1"/>
  <c r="AD66" i="9"/>
  <c r="AE66" i="9" s="1"/>
  <c r="AD82" i="9"/>
  <c r="AE82" i="9" s="1"/>
  <c r="AD102" i="9"/>
  <c r="AE102" i="9" s="1"/>
  <c r="X102" i="7"/>
  <c r="DC59" i="9"/>
  <c r="BF83" i="7"/>
  <c r="BF75" i="7"/>
  <c r="BF67" i="7"/>
  <c r="BF56" i="7"/>
  <c r="AD67" i="9"/>
  <c r="AE67" i="9" s="1"/>
  <c r="AD83" i="9"/>
  <c r="AE83" i="9" s="1"/>
  <c r="AD103" i="9"/>
  <c r="AE103" i="9" s="1"/>
  <c r="AD54" i="10"/>
  <c r="AE54" i="10" s="1"/>
  <c r="X54" i="10" s="1"/>
  <c r="W54" i="10" s="1"/>
  <c r="BF54" i="10" s="1"/>
  <c r="CX61" i="9"/>
  <c r="AD68" i="9"/>
  <c r="AE68" i="9" s="1"/>
  <c r="AD86" i="9"/>
  <c r="AE86" i="9" s="1"/>
  <c r="AD104" i="9"/>
  <c r="AE104" i="9" s="1"/>
  <c r="CU52" i="10"/>
  <c r="CV52" i="10"/>
  <c r="AD56" i="10"/>
  <c r="AE56" i="10" s="1"/>
  <c r="X56" i="10" s="1"/>
  <c r="W56" i="10" s="1"/>
  <c r="BF56" i="10" s="1"/>
  <c r="CP56" i="10"/>
  <c r="CW52" i="10"/>
  <c r="X66" i="7"/>
  <c r="X74" i="7"/>
  <c r="AD55" i="9"/>
  <c r="AE55" i="9" s="1"/>
  <c r="AD74" i="9"/>
  <c r="AE74" i="9" s="1"/>
  <c r="AD94" i="9"/>
  <c r="AE94" i="9" s="1"/>
  <c r="AD110" i="9"/>
  <c r="AE110" i="9" s="1"/>
  <c r="AD75" i="9"/>
  <c r="AE75" i="9" s="1"/>
  <c r="AD95" i="9"/>
  <c r="AE95" i="9" s="1"/>
  <c r="AD111" i="9"/>
  <c r="AE111" i="9" s="1"/>
  <c r="E40" i="10"/>
  <c r="AD57" i="9"/>
  <c r="AE57" i="9" s="1"/>
  <c r="AD76" i="9"/>
  <c r="AE76" i="9" s="1"/>
  <c r="AD96" i="9"/>
  <c r="AE96" i="9" s="1"/>
  <c r="AD112" i="9"/>
  <c r="AE112" i="9" s="1"/>
  <c r="CY52" i="10"/>
  <c r="X94" i="7"/>
  <c r="DB59" i="9"/>
  <c r="AD58" i="9"/>
  <c r="AE58" i="9" s="1"/>
  <c r="AD77" i="9"/>
  <c r="AE77" i="9" s="1"/>
  <c r="AD97" i="9"/>
  <c r="AE97" i="9" s="1"/>
  <c r="AD113" i="9"/>
  <c r="AE113" i="9" s="1"/>
  <c r="BX131" i="4"/>
  <c r="CD130" i="4"/>
  <c r="BY130" i="4"/>
  <c r="CB130" i="4"/>
  <c r="CC130" i="4" s="1"/>
  <c r="BZ130" i="4"/>
  <c r="CA130" i="4" s="1"/>
  <c r="BF71" i="7"/>
  <c r="X71" i="7"/>
  <c r="X106" i="7"/>
  <c r="BF106" i="7"/>
  <c r="X99" i="7"/>
  <c r="BF107" i="7"/>
  <c r="X107" i="7"/>
  <c r="X114" i="7"/>
  <c r="BF114" i="7"/>
  <c r="BF91" i="7"/>
  <c r="X91" i="7"/>
  <c r="X52" i="7"/>
  <c r="CS61" i="9"/>
  <c r="BF60" i="7"/>
  <c r="X60" i="7"/>
  <c r="DC51" i="9"/>
  <c r="DA51" i="9"/>
  <c r="AD52" i="10"/>
  <c r="AE52" i="10" s="1"/>
  <c r="X52" i="10" s="1"/>
  <c r="W52" i="10" s="1"/>
  <c r="BF52" i="10" s="1"/>
  <c r="AD114" i="10"/>
  <c r="AE114" i="10" s="1"/>
  <c r="X114" i="10" s="1"/>
  <c r="W114" i="10" s="1"/>
  <c r="BF114" i="10" s="1"/>
  <c r="BI114" i="10" s="1"/>
  <c r="BE114" i="10" s="1"/>
  <c r="AD114" i="9"/>
  <c r="AE114" i="9" s="1"/>
  <c r="BF51" i="9"/>
  <c r="X59" i="9"/>
  <c r="BF70" i="9"/>
  <c r="X78" i="9"/>
  <c r="X98" i="9"/>
  <c r="BF114" i="9"/>
  <c r="X114" i="9"/>
  <c r="AF114" i="9" s="1"/>
  <c r="AD51" i="10"/>
  <c r="AE51" i="10" s="1"/>
  <c r="X51" i="10" s="1"/>
  <c r="W51" i="10" s="1"/>
  <c r="BF51" i="10" s="1"/>
  <c r="BF115" i="7"/>
  <c r="X115" i="7"/>
  <c r="AD59" i="10"/>
  <c r="AE59" i="10" s="1"/>
  <c r="X59" i="10" s="1"/>
  <c r="W59" i="10" s="1"/>
  <c r="BF59" i="10" s="1"/>
  <c r="AD59" i="9"/>
  <c r="AE59" i="9" s="1"/>
  <c r="AD70" i="10"/>
  <c r="AE70" i="10" s="1"/>
  <c r="X70" i="10" s="1"/>
  <c r="W70" i="10" s="1"/>
  <c r="BF70" i="10" s="1"/>
  <c r="AD70" i="9"/>
  <c r="AE70" i="9" s="1"/>
  <c r="AD78" i="10"/>
  <c r="AE78" i="10" s="1"/>
  <c r="X78" i="10" s="1"/>
  <c r="W78" i="10" s="1"/>
  <c r="BF78" i="10" s="1"/>
  <c r="BI78" i="10" s="1"/>
  <c r="BE78" i="10" s="1"/>
  <c r="AD78" i="9"/>
  <c r="AE78" i="9" s="1"/>
  <c r="AD88" i="10"/>
  <c r="AE88" i="10" s="1"/>
  <c r="AD88" i="9"/>
  <c r="AE88" i="9" s="1"/>
  <c r="AD98" i="10"/>
  <c r="AE98" i="10" s="1"/>
  <c r="X98" i="10" s="1"/>
  <c r="W98" i="10" s="1"/>
  <c r="BF98" i="10" s="1"/>
  <c r="AD98" i="9"/>
  <c r="AE98" i="9" s="1"/>
  <c r="AD106" i="10"/>
  <c r="AE106" i="10" s="1"/>
  <c r="X106" i="10" s="1"/>
  <c r="W106" i="10" s="1"/>
  <c r="BF106" i="10" s="1"/>
  <c r="AD106" i="9"/>
  <c r="AE106" i="9" s="1"/>
  <c r="X79" i="7"/>
  <c r="X116" i="7"/>
  <c r="BF116" i="7"/>
  <c r="X108" i="7"/>
  <c r="BF108" i="7"/>
  <c r="X100" i="7"/>
  <c r="BF100" i="7"/>
  <c r="X92" i="7"/>
  <c r="BF92" i="7"/>
  <c r="X80" i="7"/>
  <c r="BF80" i="7"/>
  <c r="X72" i="7"/>
  <c r="BF72" i="7"/>
  <c r="X64" i="7"/>
  <c r="BF64" i="7"/>
  <c r="X53" i="7"/>
  <c r="BF53" i="7"/>
  <c r="AD60" i="9"/>
  <c r="AE60" i="9" s="1"/>
  <c r="AD60" i="10"/>
  <c r="AE60" i="10" s="1"/>
  <c r="X60" i="10" s="1"/>
  <c r="W60" i="10" s="1"/>
  <c r="BF60" i="10" s="1"/>
  <c r="AD71" i="9"/>
  <c r="AE71" i="9" s="1"/>
  <c r="AD71" i="10"/>
  <c r="AE71" i="10" s="1"/>
  <c r="X71" i="10" s="1"/>
  <c r="W71" i="10" s="1"/>
  <c r="BF71" i="10" s="1"/>
  <c r="AD79" i="9"/>
  <c r="AE79" i="9" s="1"/>
  <c r="AD79" i="10"/>
  <c r="AE79" i="10" s="1"/>
  <c r="X79" i="10" s="1"/>
  <c r="W79" i="10" s="1"/>
  <c r="BF79" i="10" s="1"/>
  <c r="AD91" i="10"/>
  <c r="AE91" i="10" s="1"/>
  <c r="X91" i="10" s="1"/>
  <c r="W91" i="10" s="1"/>
  <c r="BF91" i="10" s="1"/>
  <c r="AD91" i="9"/>
  <c r="AE91" i="9" s="1"/>
  <c r="AF91" i="9" s="1"/>
  <c r="AD99" i="9"/>
  <c r="AE99" i="9" s="1"/>
  <c r="AD99" i="10"/>
  <c r="AE99" i="10" s="1"/>
  <c r="X99" i="10" s="1"/>
  <c r="W99" i="10" s="1"/>
  <c r="BF99" i="10" s="1"/>
  <c r="AD107" i="9"/>
  <c r="AE107" i="9" s="1"/>
  <c r="AD107" i="10"/>
  <c r="AE107" i="10" s="1"/>
  <c r="X107" i="10" s="1"/>
  <c r="W107" i="10" s="1"/>
  <c r="BF107" i="10" s="1"/>
  <c r="AD115" i="9"/>
  <c r="AE115" i="9" s="1"/>
  <c r="AD115" i="10"/>
  <c r="AE115" i="10" s="1"/>
  <c r="BF52" i="9"/>
  <c r="X52" i="9"/>
  <c r="AF52" i="9" s="1"/>
  <c r="BF60" i="9"/>
  <c r="BF71" i="9"/>
  <c r="X91" i="9"/>
  <c r="BF99" i="9"/>
  <c r="BF107" i="9"/>
  <c r="X107" i="9"/>
  <c r="AF107" i="9" s="1"/>
  <c r="BF115" i="9"/>
  <c r="AD72" i="10"/>
  <c r="AE72" i="10" s="1"/>
  <c r="X72" i="10" s="1"/>
  <c r="W72" i="10" s="1"/>
  <c r="BF72" i="10" s="1"/>
  <c r="BI72" i="10" s="1"/>
  <c r="BE72" i="10" s="1"/>
  <c r="AD80" i="10"/>
  <c r="AE80" i="10" s="1"/>
  <c r="X80" i="10" s="1"/>
  <c r="W80" i="10" s="1"/>
  <c r="BF80" i="10" s="1"/>
  <c r="X88" i="10"/>
  <c r="W88" i="10" s="1"/>
  <c r="BF88" i="10" s="1"/>
  <c r="X77" i="7"/>
  <c r="BF77" i="7"/>
  <c r="X73" i="9"/>
  <c r="X109" i="9"/>
  <c r="BF109" i="9"/>
  <c r="BF117" i="9"/>
  <c r="AD53" i="10"/>
  <c r="AE53" i="10" s="1"/>
  <c r="X53" i="10" s="1"/>
  <c r="W53" i="10" s="1"/>
  <c r="BF53" i="10" s="1"/>
  <c r="CT56" i="10"/>
  <c r="X83" i="7"/>
  <c r="X112" i="7"/>
  <c r="BF112" i="7"/>
  <c r="X104" i="7"/>
  <c r="BF104" i="7"/>
  <c r="X96" i="7"/>
  <c r="BF96" i="7"/>
  <c r="X86" i="7"/>
  <c r="BF86" i="7"/>
  <c r="X76" i="7"/>
  <c r="BF76" i="7"/>
  <c r="X68" i="7"/>
  <c r="BF68" i="7"/>
  <c r="X57" i="7"/>
  <c r="BF57" i="7"/>
  <c r="CS58" i="9"/>
  <c r="CW53" i="9"/>
  <c r="BF55" i="9"/>
  <c r="BF66" i="9"/>
  <c r="BF74" i="9"/>
  <c r="X82" i="9"/>
  <c r="BF82" i="9"/>
  <c r="BF94" i="9"/>
  <c r="BF102" i="9"/>
  <c r="BF110" i="9"/>
  <c r="DF51" i="10"/>
  <c r="CU56" i="10"/>
  <c r="DE56" i="10" s="1"/>
  <c r="AD64" i="10"/>
  <c r="AE64" i="10" s="1"/>
  <c r="X64" i="10" s="1"/>
  <c r="W64" i="10" s="1"/>
  <c r="BF64" i="10" s="1"/>
  <c r="AD65" i="10"/>
  <c r="AE65" i="10" s="1"/>
  <c r="X65" i="10" s="1"/>
  <c r="W65" i="10" s="1"/>
  <c r="BF65" i="10" s="1"/>
  <c r="X82" i="10"/>
  <c r="W82" i="10" s="1"/>
  <c r="BF82" i="10" s="1"/>
  <c r="CU53" i="10"/>
  <c r="CY56" i="10"/>
  <c r="CW61" i="10"/>
  <c r="AD100" i="10"/>
  <c r="AE100" i="10" s="1"/>
  <c r="X100" i="10" s="1"/>
  <c r="W100" i="10" s="1"/>
  <c r="BF100" i="10" s="1"/>
  <c r="BI100" i="10" s="1"/>
  <c r="BE100" i="10" s="1"/>
  <c r="AD101" i="10"/>
  <c r="AE101" i="10" s="1"/>
  <c r="X101" i="10" s="1"/>
  <c r="W101" i="10" s="1"/>
  <c r="BF101" i="10" s="1"/>
  <c r="AD108" i="10"/>
  <c r="AE108" i="10" s="1"/>
  <c r="X108" i="10" s="1"/>
  <c r="W108" i="10" s="1"/>
  <c r="BF108" i="10" s="1"/>
  <c r="AD109" i="10"/>
  <c r="AE109" i="10" s="1"/>
  <c r="X109" i="10" s="1"/>
  <c r="W109" i="10" s="1"/>
  <c r="BF109" i="10" s="1"/>
  <c r="AD116" i="10"/>
  <c r="AE116" i="10" s="1"/>
  <c r="AD117" i="10"/>
  <c r="AE117" i="10" s="1"/>
  <c r="X111" i="10"/>
  <c r="W111" i="10" s="1"/>
  <c r="BF111" i="10" s="1"/>
  <c r="X98" i="7"/>
  <c r="BF98" i="7"/>
  <c r="X88" i="7"/>
  <c r="BF88" i="7"/>
  <c r="X78" i="7"/>
  <c r="BF78" i="7"/>
  <c r="X70" i="7"/>
  <c r="BF70" i="7"/>
  <c r="BF59" i="7"/>
  <c r="BF51" i="7"/>
  <c r="BF53" i="9"/>
  <c r="BF64" i="9"/>
  <c r="BF72" i="9"/>
  <c r="BF80" i="9"/>
  <c r="BF100" i="9"/>
  <c r="BF108" i="9"/>
  <c r="BF116" i="9"/>
  <c r="X105" i="7"/>
  <c r="BF105" i="7"/>
  <c r="X97" i="7"/>
  <c r="BF97" i="7"/>
  <c r="X69" i="7"/>
  <c r="BF69" i="7"/>
  <c r="X54" i="9"/>
  <c r="BF54" i="9"/>
  <c r="BF101" i="9"/>
  <c r="X111" i="7"/>
  <c r="X116" i="9"/>
  <c r="BF67" i="9"/>
  <c r="X83" i="9"/>
  <c r="BF83" i="9"/>
  <c r="X103" i="9"/>
  <c r="BF103" i="9"/>
  <c r="X67" i="7"/>
  <c r="X55" i="7"/>
  <c r="BF55" i="7"/>
  <c r="X67" i="9"/>
  <c r="AF67" i="9" s="1"/>
  <c r="AD92" i="9"/>
  <c r="AE92" i="9" s="1"/>
  <c r="BF57" i="9"/>
  <c r="BF76" i="9"/>
  <c r="BF86" i="9"/>
  <c r="BF96" i="9"/>
  <c r="BF104" i="9"/>
  <c r="BF112" i="9"/>
  <c r="CV53" i="10"/>
  <c r="CX61" i="10"/>
  <c r="X112" i="10"/>
  <c r="W112" i="10" s="1"/>
  <c r="BF112" i="10" s="1"/>
  <c r="X113" i="7"/>
  <c r="BF113" i="7"/>
  <c r="X87" i="7"/>
  <c r="BF87" i="7"/>
  <c r="X58" i="7"/>
  <c r="BF58" i="7"/>
  <c r="BF65" i="9"/>
  <c r="X93" i="9"/>
  <c r="BF56" i="9"/>
  <c r="BF75" i="9"/>
  <c r="BF95" i="9"/>
  <c r="X95" i="7"/>
  <c r="X117" i="7"/>
  <c r="BF117" i="7"/>
  <c r="X109" i="7"/>
  <c r="BF109" i="7"/>
  <c r="X101" i="7"/>
  <c r="BF101" i="7"/>
  <c r="X93" i="7"/>
  <c r="BF93" i="7"/>
  <c r="X81" i="7"/>
  <c r="BF81" i="7"/>
  <c r="X73" i="7"/>
  <c r="BF73" i="7"/>
  <c r="X65" i="7"/>
  <c r="BF65" i="7"/>
  <c r="BF54" i="7"/>
  <c r="CT60" i="9"/>
  <c r="AD73" i="9"/>
  <c r="AE73" i="9" s="1"/>
  <c r="AD81" i="9"/>
  <c r="AE81" i="9" s="1"/>
  <c r="AD93" i="9"/>
  <c r="AE93" i="9" s="1"/>
  <c r="AF93" i="9" s="1"/>
  <c r="X58" i="9"/>
  <c r="BF58" i="9"/>
  <c r="BF69" i="9"/>
  <c r="BF77" i="9"/>
  <c r="BF87" i="9"/>
  <c r="X97" i="9"/>
  <c r="BF97" i="9"/>
  <c r="BF105" i="9"/>
  <c r="X113" i="9"/>
  <c r="AF113" i="9" s="1"/>
  <c r="BF113" i="9"/>
  <c r="CY61" i="10"/>
  <c r="X113" i="10"/>
  <c r="W113" i="10" s="1"/>
  <c r="BF113" i="10" s="1"/>
  <c r="CR61" i="10"/>
  <c r="CS61" i="10"/>
  <c r="AF115" i="10"/>
  <c r="X115" i="10" s="1"/>
  <c r="W115" i="10" s="1"/>
  <c r="BF115" i="10" s="1"/>
  <c r="X77" i="10"/>
  <c r="W77" i="10" s="1"/>
  <c r="BF77" i="10" s="1"/>
  <c r="BI77" i="10" s="1"/>
  <c r="BE77" i="10" s="1"/>
  <c r="X116" i="10"/>
  <c r="W116" i="10" s="1"/>
  <c r="BF116" i="10" s="1"/>
  <c r="X83" i="10"/>
  <c r="W83" i="10" s="1"/>
  <c r="BF83" i="10" s="1"/>
  <c r="X117" i="10"/>
  <c r="W117" i="10" s="1"/>
  <c r="BF117" i="10" s="1"/>
  <c r="AK57" i="10"/>
  <c r="AJ57" i="10" s="1"/>
  <c r="AJ53" i="10"/>
  <c r="DE51" i="10"/>
  <c r="AK67" i="10"/>
  <c r="AJ67" i="10" s="1"/>
  <c r="BL36" i="10"/>
  <c r="CD52" i="10"/>
  <c r="BL35" i="10"/>
  <c r="BL33" i="10"/>
  <c r="BL34" i="10"/>
  <c r="CK52" i="10"/>
  <c r="AK60" i="10"/>
  <c r="AJ60" i="10" s="1"/>
  <c r="AK58" i="10"/>
  <c r="AJ58" i="10" s="1"/>
  <c r="AK59" i="10"/>
  <c r="AJ59" i="10" s="1"/>
  <c r="AK80" i="10"/>
  <c r="AJ80" i="10" s="1"/>
  <c r="AK54" i="10"/>
  <c r="AJ54" i="10" s="1"/>
  <c r="AK51" i="10"/>
  <c r="AJ51" i="10" s="1"/>
  <c r="AK52" i="10"/>
  <c r="AJ52" i="10" s="1"/>
  <c r="AK94" i="10"/>
  <c r="AJ94" i="10" s="1"/>
  <c r="AK56" i="10"/>
  <c r="AJ56" i="10" s="1"/>
  <c r="AK55" i="10"/>
  <c r="AJ55" i="10" s="1"/>
  <c r="AK76" i="10"/>
  <c r="AJ76" i="10" s="1"/>
  <c r="BI64" i="10"/>
  <c r="BE64" i="10" s="1"/>
  <c r="AK68" i="10"/>
  <c r="AJ68" i="10" s="1"/>
  <c r="BI50" i="10"/>
  <c r="BE50" i="10" s="1"/>
  <c r="DA52" i="10"/>
  <c r="DF52" i="10" s="1"/>
  <c r="CS52" i="10"/>
  <c r="DC52" i="10"/>
  <c r="DD52" i="10"/>
  <c r="CZ52" i="10"/>
  <c r="DE52" i="10" s="1"/>
  <c r="CR52" i="10"/>
  <c r="CQ52" i="10"/>
  <c r="DB52" i="10"/>
  <c r="CT52" i="10"/>
  <c r="CP52" i="10"/>
  <c r="BI52" i="10"/>
  <c r="BE52" i="10" s="1"/>
  <c r="BI58" i="10"/>
  <c r="BE58" i="10" s="1"/>
  <c r="BI73" i="10"/>
  <c r="BE73" i="10" s="1"/>
  <c r="AN32" i="10"/>
  <c r="BI51" i="10"/>
  <c r="BE51" i="10" s="1"/>
  <c r="BI54" i="10"/>
  <c r="BE54" i="10" s="1"/>
  <c r="AK64" i="10"/>
  <c r="AJ64" i="10" s="1"/>
  <c r="AK71" i="10"/>
  <c r="AJ71" i="10" s="1"/>
  <c r="AK78" i="10"/>
  <c r="AJ78" i="10" s="1"/>
  <c r="CE79" i="10"/>
  <c r="CY60" i="10"/>
  <c r="CU60" i="10"/>
  <c r="DE60" i="10" s="1"/>
  <c r="CQ60" i="10"/>
  <c r="CX60" i="10"/>
  <c r="CT60" i="10"/>
  <c r="CP60" i="10"/>
  <c r="AK92" i="10"/>
  <c r="AJ92" i="10" s="1"/>
  <c r="AK106" i="10"/>
  <c r="AJ106" i="10" s="1"/>
  <c r="AK108" i="10"/>
  <c r="AJ108" i="10" s="1"/>
  <c r="AK110" i="10"/>
  <c r="AJ110" i="10" s="1"/>
  <c r="AK112" i="10"/>
  <c r="AJ112" i="10" s="1"/>
  <c r="CE56" i="10"/>
  <c r="CR60" i="10"/>
  <c r="BI82" i="10"/>
  <c r="BE82" i="10" s="1"/>
  <c r="AK87" i="10"/>
  <c r="AJ87" i="10" s="1"/>
  <c r="CK51" i="10"/>
  <c r="CQ56" i="10"/>
  <c r="BI57" i="10"/>
  <c r="BE57" i="10" s="1"/>
  <c r="CE57" i="10"/>
  <c r="CS60" i="10"/>
  <c r="AK70" i="10"/>
  <c r="AJ70" i="10" s="1"/>
  <c r="AK72" i="10"/>
  <c r="AJ72" i="10" s="1"/>
  <c r="CE75" i="10"/>
  <c r="CY58" i="10"/>
  <c r="CU58" i="10"/>
  <c r="DE58" i="10" s="1"/>
  <c r="CQ58" i="10"/>
  <c r="CX58" i="10"/>
  <c r="CT58" i="10"/>
  <c r="CP58" i="10"/>
  <c r="CE83" i="10"/>
  <c r="AK91" i="10"/>
  <c r="AJ91" i="10" s="1"/>
  <c r="BI92" i="10"/>
  <c r="BE92" i="10" s="1"/>
  <c r="AK97" i="10"/>
  <c r="AJ97" i="10" s="1"/>
  <c r="CD60" i="10"/>
  <c r="CG82" i="10" s="1"/>
  <c r="CK60" i="10"/>
  <c r="AK102" i="10"/>
  <c r="AJ102" i="10" s="1"/>
  <c r="BI102" i="10"/>
  <c r="BE102" i="10" s="1"/>
  <c r="AK104" i="10"/>
  <c r="AJ104" i="10" s="1"/>
  <c r="BI108" i="10"/>
  <c r="BE108" i="10" s="1"/>
  <c r="BI110" i="10"/>
  <c r="BE110" i="10" s="1"/>
  <c r="AK114" i="10"/>
  <c r="AJ114" i="10" s="1"/>
  <c r="AK116" i="10"/>
  <c r="AJ116" i="10" s="1"/>
  <c r="BI116" i="10"/>
  <c r="BE116" i="10" s="1"/>
  <c r="BI60" i="10"/>
  <c r="BE60" i="10" s="1"/>
  <c r="BI66" i="10"/>
  <c r="BE66" i="10" s="1"/>
  <c r="BI74" i="10"/>
  <c r="BE74" i="10" s="1"/>
  <c r="CE74" i="10"/>
  <c r="CW56" i="10"/>
  <c r="CS56" i="10"/>
  <c r="AK79" i="10"/>
  <c r="AJ79" i="10" s="1"/>
  <c r="CE82" i="10"/>
  <c r="CY62" i="10"/>
  <c r="CU62" i="10"/>
  <c r="DE62" i="10" s="1"/>
  <c r="CQ62" i="10"/>
  <c r="CX62" i="10"/>
  <c r="CT62" i="10"/>
  <c r="CP62" i="10"/>
  <c r="AK93" i="10"/>
  <c r="AJ93" i="10" s="1"/>
  <c r="AN33" i="10"/>
  <c r="AN34" i="10"/>
  <c r="AN35" i="10"/>
  <c r="CU64" i="10"/>
  <c r="CR56" i="10"/>
  <c r="CX56" i="10"/>
  <c r="BI59" i="10"/>
  <c r="BE59" i="10" s="1"/>
  <c r="CV60" i="10"/>
  <c r="CV62" i="10"/>
  <c r="AK65" i="10"/>
  <c r="AJ65" i="10" s="1"/>
  <c r="AK69" i="10"/>
  <c r="AJ69" i="10" s="1"/>
  <c r="AK75" i="10"/>
  <c r="AJ75" i="10" s="1"/>
  <c r="CE78" i="10"/>
  <c r="AK83" i="10"/>
  <c r="AJ83" i="10" s="1"/>
  <c r="AK88" i="10"/>
  <c r="AJ88" i="10" s="1"/>
  <c r="BI88" i="10"/>
  <c r="BE88" i="10" s="1"/>
  <c r="AK99" i="10"/>
  <c r="AJ99" i="10" s="1"/>
  <c r="BI76" i="10"/>
  <c r="BE76" i="10" s="1"/>
  <c r="BI80" i="10"/>
  <c r="BE80" i="10" s="1"/>
  <c r="CE86" i="10"/>
  <c r="BI87" i="10"/>
  <c r="BE87" i="10" s="1"/>
  <c r="BI94" i="10"/>
  <c r="BE94" i="10" s="1"/>
  <c r="AK96" i="10"/>
  <c r="AJ96" i="10" s="1"/>
  <c r="AK98" i="10"/>
  <c r="AJ98" i="10" s="1"/>
  <c r="AK101" i="10"/>
  <c r="AJ101" i="10" s="1"/>
  <c r="AK103" i="10"/>
  <c r="AJ103" i="10" s="1"/>
  <c r="AK105" i="10"/>
  <c r="AJ105" i="10" s="1"/>
  <c r="AK107" i="10"/>
  <c r="AJ107" i="10" s="1"/>
  <c r="AK109" i="10"/>
  <c r="AJ109" i="10" s="1"/>
  <c r="AK111" i="10"/>
  <c r="AJ111" i="10" s="1"/>
  <c r="AK113" i="10"/>
  <c r="AJ113" i="10" s="1"/>
  <c r="AK117" i="10"/>
  <c r="AJ117" i="10" s="1"/>
  <c r="BI75" i="10"/>
  <c r="BE75" i="10" s="1"/>
  <c r="BI79" i="10"/>
  <c r="BE79" i="10" s="1"/>
  <c r="BI83" i="10"/>
  <c r="BE83" i="10" s="1"/>
  <c r="BI86" i="10"/>
  <c r="BE86" i="10" s="1"/>
  <c r="CE88" i="10"/>
  <c r="CG93" i="10"/>
  <c r="AK100" i="10"/>
  <c r="AJ100" i="10" s="1"/>
  <c r="DD51" i="9"/>
  <c r="CV54" i="9"/>
  <c r="CQ54" i="9"/>
  <c r="CY54" i="9"/>
  <c r="CT59" i="9"/>
  <c r="DD59" i="9"/>
  <c r="CW61" i="9"/>
  <c r="AF83" i="9"/>
  <c r="CZ51" i="9"/>
  <c r="CP59" i="9"/>
  <c r="CT61" i="9"/>
  <c r="CU62" i="9"/>
  <c r="DE62" i="9" s="1"/>
  <c r="CE110" i="9"/>
  <c r="E41" i="9"/>
  <c r="BI50" i="9" s="1"/>
  <c r="BE50" i="9" s="1"/>
  <c r="CS51" i="9"/>
  <c r="DB51" i="9"/>
  <c r="CP61" i="9"/>
  <c r="CU61" i="9"/>
  <c r="DE61" i="9" s="1"/>
  <c r="CV62" i="9"/>
  <c r="CV52" i="9"/>
  <c r="CU56" i="9"/>
  <c r="DE56" i="9" s="1"/>
  <c r="CT51" i="9"/>
  <c r="X55" i="9"/>
  <c r="X60" i="9"/>
  <c r="AF60" i="9" s="1"/>
  <c r="X69" i="9"/>
  <c r="AF69" i="9" s="1"/>
  <c r="X74" i="9"/>
  <c r="X79" i="9"/>
  <c r="X87" i="9"/>
  <c r="AF87" i="9" s="1"/>
  <c r="X94" i="9"/>
  <c r="AF94" i="9" s="1"/>
  <c r="X99" i="9"/>
  <c r="AF99" i="9" s="1"/>
  <c r="X105" i="9"/>
  <c r="X110" i="9"/>
  <c r="X115" i="9"/>
  <c r="CX58" i="9"/>
  <c r="AN35" i="9"/>
  <c r="CY61" i="9"/>
  <c r="AF79" i="9"/>
  <c r="CX51" i="9"/>
  <c r="CS60" i="9"/>
  <c r="CQ61" i="9"/>
  <c r="CY62" i="9"/>
  <c r="X51" i="9"/>
  <c r="X56" i="9"/>
  <c r="X65" i="9"/>
  <c r="X70" i="9"/>
  <c r="X75" i="9"/>
  <c r="AF75" i="9" s="1"/>
  <c r="X81" i="9"/>
  <c r="X88" i="9"/>
  <c r="AF88" i="9" s="1"/>
  <c r="CO59" i="9" s="1"/>
  <c r="X95" i="9"/>
  <c r="X101" i="9"/>
  <c r="X106" i="9"/>
  <c r="X111" i="9"/>
  <c r="X117" i="9"/>
  <c r="AF117" i="9" s="1"/>
  <c r="AF105" i="9"/>
  <c r="AF73" i="9"/>
  <c r="CE75" i="9"/>
  <c r="CY58" i="9"/>
  <c r="CU58" i="9"/>
  <c r="DE58" i="9" s="1"/>
  <c r="CQ58" i="9"/>
  <c r="CT58" i="9"/>
  <c r="CW60" i="9"/>
  <c r="CE92" i="9"/>
  <c r="CY51" i="9"/>
  <c r="DF51" i="9" s="1"/>
  <c r="CU51" i="9"/>
  <c r="CQ51" i="9"/>
  <c r="AN33" i="9"/>
  <c r="CD51" i="9"/>
  <c r="CT52" i="9" s="1"/>
  <c r="CP51" i="9"/>
  <c r="CV51" i="9"/>
  <c r="CD52" i="9"/>
  <c r="DD53" i="9" s="1"/>
  <c r="AF55" i="9"/>
  <c r="CP58" i="9"/>
  <c r="CV58" i="9"/>
  <c r="AF59" i="9"/>
  <c r="CX60" i="9"/>
  <c r="CR62" i="9"/>
  <c r="CW62" i="9"/>
  <c r="CE82" i="9"/>
  <c r="CX62" i="9"/>
  <c r="CT62" i="9"/>
  <c r="CP62" i="9"/>
  <c r="CE88" i="9"/>
  <c r="DA59" i="9"/>
  <c r="DF59" i="9" s="1"/>
  <c r="CR59" i="9"/>
  <c r="CE111" i="9"/>
  <c r="BL35" i="9"/>
  <c r="CR51" i="9"/>
  <c r="CW51" i="9"/>
  <c r="AF54" i="9"/>
  <c r="BI54" i="9" s="1"/>
  <c r="BE54" i="9" s="1"/>
  <c r="CT56" i="9"/>
  <c r="CR58" i="9"/>
  <c r="CW58" i="9"/>
  <c r="CP60" i="9"/>
  <c r="CS62" i="9"/>
  <c r="CU52" i="9"/>
  <c r="CE81" i="9"/>
  <c r="CV61" i="9"/>
  <c r="CR61" i="9"/>
  <c r="AF82" i="9"/>
  <c r="AF109" i="9"/>
  <c r="AF116" i="9"/>
  <c r="AF66" i="9"/>
  <c r="AF71" i="9"/>
  <c r="X53" i="9"/>
  <c r="AF53" i="9" s="1"/>
  <c r="X57" i="9"/>
  <c r="X64" i="9"/>
  <c r="AF64" i="9" s="1"/>
  <c r="X68" i="9"/>
  <c r="X72" i="9"/>
  <c r="X76" i="9"/>
  <c r="X80" i="9"/>
  <c r="X86" i="9"/>
  <c r="AF86" i="9" s="1"/>
  <c r="X92" i="9"/>
  <c r="X96" i="9"/>
  <c r="AF96" i="9" s="1"/>
  <c r="X100" i="9"/>
  <c r="AF100" i="9" s="1"/>
  <c r="X104" i="9"/>
  <c r="X108" i="9"/>
  <c r="X112" i="9"/>
  <c r="AF58" i="9"/>
  <c r="CQ53" i="9"/>
  <c r="CZ53" i="9"/>
  <c r="CR53" i="9"/>
  <c r="CE78" i="9"/>
  <c r="CY53" i="9"/>
  <c r="CU53" i="9"/>
  <c r="CV53" i="9"/>
  <c r="BL34" i="9"/>
  <c r="CE52" i="9"/>
  <c r="CE58" i="9"/>
  <c r="CE70" i="9"/>
  <c r="CE73" i="9"/>
  <c r="CV56" i="9"/>
  <c r="CR56" i="9"/>
  <c r="CW56" i="9"/>
  <c r="CS56" i="9"/>
  <c r="AF78" i="9"/>
  <c r="AN32" i="9"/>
  <c r="BL33" i="9"/>
  <c r="CS53" i="9"/>
  <c r="CP56" i="9"/>
  <c r="CX56" i="9"/>
  <c r="AF70" i="9"/>
  <c r="CE77" i="9"/>
  <c r="CW54" i="9"/>
  <c r="CS54" i="9"/>
  <c r="CX54" i="9"/>
  <c r="CT54" i="9"/>
  <c r="CP54" i="9"/>
  <c r="CD60" i="9"/>
  <c r="CK60" i="9"/>
  <c r="CE67" i="9"/>
  <c r="BL36" i="9"/>
  <c r="CX53" i="9"/>
  <c r="CE55" i="9"/>
  <c r="AN34" i="9"/>
  <c r="DE51" i="9"/>
  <c r="CY52" i="9"/>
  <c r="CT53" i="9"/>
  <c r="DB53" i="9"/>
  <c r="CE56" i="9"/>
  <c r="CQ56" i="9"/>
  <c r="CY56" i="9"/>
  <c r="CE66" i="9"/>
  <c r="CW52" i="9"/>
  <c r="CX52" i="9"/>
  <c r="AF77" i="9"/>
  <c r="CE53" i="9"/>
  <c r="CE57" i="9"/>
  <c r="AF68" i="9"/>
  <c r="CE74" i="9"/>
  <c r="CE79" i="9"/>
  <c r="CV60" i="9"/>
  <c r="CR60" i="9"/>
  <c r="CY60" i="9"/>
  <c r="CU60" i="9"/>
  <c r="DE60" i="9" s="1"/>
  <c r="CQ60" i="9"/>
  <c r="CE86" i="9"/>
  <c r="AF95" i="9"/>
  <c r="CE80" i="9"/>
  <c r="AF92" i="9"/>
  <c r="AF103" i="9"/>
  <c r="AF115" i="9"/>
  <c r="CE93" i="9"/>
  <c r="CE87" i="9"/>
  <c r="AF97" i="9"/>
  <c r="AF98" i="9"/>
  <c r="AF102" i="9"/>
  <c r="BI52" i="9" l="1"/>
  <c r="BE52" i="9" s="1"/>
  <c r="BI114" i="9"/>
  <c r="BE114" i="9" s="1"/>
  <c r="AK96" i="9"/>
  <c r="AJ96" i="9" s="1"/>
  <c r="AK94" i="9"/>
  <c r="AJ94" i="9" s="1"/>
  <c r="BF111" i="9"/>
  <c r="BF73" i="9"/>
  <c r="AK107" i="9"/>
  <c r="AJ107" i="9" s="1"/>
  <c r="AK115" i="9"/>
  <c r="AJ115" i="9" s="1"/>
  <c r="AT115" i="9" s="1"/>
  <c r="AK87" i="9"/>
  <c r="AJ87" i="9" s="1"/>
  <c r="AK102" i="9"/>
  <c r="AJ102" i="9" s="1"/>
  <c r="BI55" i="9"/>
  <c r="BE55" i="9" s="1"/>
  <c r="BX132" i="4"/>
  <c r="CD131" i="4"/>
  <c r="BZ131" i="4"/>
  <c r="CA131" i="4" s="1"/>
  <c r="CB131" i="4"/>
  <c r="CC131" i="4" s="1"/>
  <c r="BY131" i="4"/>
  <c r="AK70" i="9"/>
  <c r="AJ70" i="9" s="1"/>
  <c r="BF68" i="9"/>
  <c r="AK109" i="9"/>
  <c r="AJ109" i="9" s="1"/>
  <c r="CG95" i="9"/>
  <c r="AK69" i="9"/>
  <c r="AJ69" i="9" s="1"/>
  <c r="BF106" i="9"/>
  <c r="BF59" i="9"/>
  <c r="BF93" i="9"/>
  <c r="BF92" i="9"/>
  <c r="BF98" i="9"/>
  <c r="BF91" i="9"/>
  <c r="BF79" i="9"/>
  <c r="BI79" i="9" s="1"/>
  <c r="BE79" i="9" s="1"/>
  <c r="BK79" i="9" s="1"/>
  <c r="BF88" i="9"/>
  <c r="BI88" i="9" s="1"/>
  <c r="BE88" i="9" s="1"/>
  <c r="AK115" i="10"/>
  <c r="AJ115" i="10" s="1"/>
  <c r="AT115" i="10" s="1"/>
  <c r="BF81" i="9"/>
  <c r="BF78" i="9"/>
  <c r="AK71" i="9"/>
  <c r="AJ71" i="9" s="1"/>
  <c r="AK73" i="9"/>
  <c r="AJ73" i="9" s="1"/>
  <c r="AT73" i="9" s="1"/>
  <c r="BI115" i="10"/>
  <c r="BE115" i="10" s="1"/>
  <c r="BK115" i="10" s="1"/>
  <c r="BI107" i="10"/>
  <c r="BE107" i="10" s="1"/>
  <c r="BK107" i="10" s="1"/>
  <c r="BI56" i="10"/>
  <c r="BE56" i="10" s="1"/>
  <c r="BJ56" i="10" s="1"/>
  <c r="BI112" i="10"/>
  <c r="BE112" i="10" s="1"/>
  <c r="BK112" i="10" s="1"/>
  <c r="BI71" i="10"/>
  <c r="BE71" i="10" s="1"/>
  <c r="AT113" i="10"/>
  <c r="AM113" i="10"/>
  <c r="AL113" i="10"/>
  <c r="BK76" i="10"/>
  <c r="BJ76" i="10"/>
  <c r="BR76" i="10"/>
  <c r="AL69" i="10"/>
  <c r="AT69" i="10"/>
  <c r="AM69" i="10"/>
  <c r="AT93" i="10"/>
  <c r="AM93" i="10"/>
  <c r="AL93" i="10"/>
  <c r="BJ114" i="10"/>
  <c r="BK114" i="10"/>
  <c r="BR114" i="10"/>
  <c r="BJ102" i="10"/>
  <c r="BK102" i="10"/>
  <c r="BR102" i="10"/>
  <c r="AL87" i="10"/>
  <c r="AM87" i="10"/>
  <c r="AT87" i="10"/>
  <c r="AT56" i="10"/>
  <c r="AL56" i="10"/>
  <c r="AM56" i="10"/>
  <c r="AM54" i="10"/>
  <c r="AT54" i="10"/>
  <c r="AL54" i="10"/>
  <c r="AT60" i="10"/>
  <c r="AM60" i="10"/>
  <c r="AL60" i="10"/>
  <c r="AM100" i="10"/>
  <c r="AT100" i="10"/>
  <c r="AL100" i="10"/>
  <c r="BK79" i="10"/>
  <c r="BJ79" i="10"/>
  <c r="BR79" i="10"/>
  <c r="AM79" i="10"/>
  <c r="AL79" i="10"/>
  <c r="AT79" i="10"/>
  <c r="AL72" i="10"/>
  <c r="AT72" i="10"/>
  <c r="AM72" i="10"/>
  <c r="BK57" i="10"/>
  <c r="BR57" i="10"/>
  <c r="BJ57" i="10"/>
  <c r="BK82" i="10"/>
  <c r="BJ82" i="10"/>
  <c r="BR82" i="10"/>
  <c r="AL68" i="10"/>
  <c r="AT68" i="10"/>
  <c r="AM68" i="10"/>
  <c r="AT94" i="10"/>
  <c r="AM94" i="10"/>
  <c r="AL94" i="10"/>
  <c r="AM80" i="10"/>
  <c r="AL80" i="10"/>
  <c r="AT80" i="10"/>
  <c r="AT117" i="10"/>
  <c r="AM117" i="10"/>
  <c r="AL117" i="10"/>
  <c r="AT109" i="10"/>
  <c r="AM109" i="10"/>
  <c r="AL109" i="10"/>
  <c r="AT101" i="10"/>
  <c r="AM101" i="10"/>
  <c r="AL101" i="10"/>
  <c r="AT96" i="10"/>
  <c r="AL96" i="10"/>
  <c r="AM96" i="10"/>
  <c r="BK80" i="10"/>
  <c r="BJ80" i="10"/>
  <c r="BR80" i="10"/>
  <c r="BK78" i="10"/>
  <c r="BJ78" i="10"/>
  <c r="BR78" i="10"/>
  <c r="BJ116" i="10"/>
  <c r="BK116" i="10"/>
  <c r="BR116" i="10"/>
  <c r="AM97" i="10"/>
  <c r="AL97" i="10"/>
  <c r="AT97" i="10"/>
  <c r="AL70" i="10"/>
  <c r="AM70" i="10"/>
  <c r="AT70" i="10"/>
  <c r="AT112" i="10"/>
  <c r="AM112" i="10"/>
  <c r="AL112" i="10"/>
  <c r="AT108" i="10"/>
  <c r="AM108" i="10"/>
  <c r="AL108" i="10"/>
  <c r="AM76" i="10"/>
  <c r="AL76" i="10"/>
  <c r="AT76" i="10"/>
  <c r="AM52" i="10"/>
  <c r="AT52" i="10"/>
  <c r="AL52" i="10"/>
  <c r="AT59" i="10"/>
  <c r="AL59" i="10"/>
  <c r="AM59" i="10"/>
  <c r="AL67" i="10"/>
  <c r="AT67" i="10"/>
  <c r="AM67" i="10"/>
  <c r="AT105" i="10"/>
  <c r="AM105" i="10"/>
  <c r="AL105" i="10"/>
  <c r="AT111" i="10"/>
  <c r="AM111" i="10"/>
  <c r="AL111" i="10"/>
  <c r="AT103" i="10"/>
  <c r="AM103" i="10"/>
  <c r="AL103" i="10"/>
  <c r="AM98" i="10"/>
  <c r="AL98" i="10"/>
  <c r="AT98" i="10"/>
  <c r="AM88" i="10"/>
  <c r="AT88" i="10"/>
  <c r="AL88" i="10"/>
  <c r="AM75" i="10"/>
  <c r="AL75" i="10"/>
  <c r="AT75" i="10"/>
  <c r="AT116" i="10"/>
  <c r="AM116" i="10"/>
  <c r="AL116" i="10"/>
  <c r="AT104" i="10"/>
  <c r="AM104" i="10"/>
  <c r="AL104" i="10"/>
  <c r="AT91" i="10"/>
  <c r="AL91" i="10"/>
  <c r="AM91" i="10"/>
  <c r="BK77" i="10"/>
  <c r="BJ77" i="10"/>
  <c r="BR77" i="10"/>
  <c r="AT64" i="10"/>
  <c r="AM64" i="10"/>
  <c r="AL64" i="10"/>
  <c r="AT55" i="10"/>
  <c r="AL55" i="10"/>
  <c r="AM55" i="10"/>
  <c r="BK87" i="10"/>
  <c r="BR87" i="10"/>
  <c r="BJ87" i="10"/>
  <c r="BK75" i="10"/>
  <c r="BJ75" i="10"/>
  <c r="BR75" i="10"/>
  <c r="CO61" i="10"/>
  <c r="AK81" i="10"/>
  <c r="AJ81" i="10" s="1"/>
  <c r="BK59" i="10"/>
  <c r="BR59" i="10"/>
  <c r="BJ59" i="10"/>
  <c r="BK60" i="10"/>
  <c r="BR60" i="10"/>
  <c r="BJ60" i="10"/>
  <c r="CG60" i="10"/>
  <c r="DA55" i="10"/>
  <c r="DF55" i="10" s="1"/>
  <c r="CR55" i="10"/>
  <c r="DC55" i="10"/>
  <c r="CT55" i="10"/>
  <c r="CS55" i="10"/>
  <c r="CE60" i="10"/>
  <c r="DD55" i="10"/>
  <c r="CZ55" i="10"/>
  <c r="DE55" i="10" s="1"/>
  <c r="CQ55" i="10"/>
  <c r="CP55" i="10"/>
  <c r="CI60" i="10"/>
  <c r="DB55" i="10"/>
  <c r="CG83" i="10"/>
  <c r="CG64" i="10"/>
  <c r="CG57" i="10"/>
  <c r="CG79" i="10"/>
  <c r="BK51" i="10"/>
  <c r="BR51" i="10"/>
  <c r="BJ51" i="10"/>
  <c r="BK52" i="10"/>
  <c r="BR52" i="10"/>
  <c r="BJ52" i="10"/>
  <c r="CG73" i="10"/>
  <c r="CG103" i="10"/>
  <c r="CG72" i="10"/>
  <c r="CG53" i="10"/>
  <c r="CG109" i="10"/>
  <c r="CG59" i="10"/>
  <c r="CG80" i="10"/>
  <c r="CG102" i="10"/>
  <c r="CG110" i="10"/>
  <c r="CG99" i="10"/>
  <c r="DD53" i="10"/>
  <c r="CZ53" i="10"/>
  <c r="CR53" i="10"/>
  <c r="CP53" i="10"/>
  <c r="DA53" i="10"/>
  <c r="DF53" i="10" s="1"/>
  <c r="CS53" i="10"/>
  <c r="DC53" i="10"/>
  <c r="CQ53" i="10"/>
  <c r="CI52" i="10"/>
  <c r="CE52" i="10"/>
  <c r="DB53" i="10"/>
  <c r="CT53" i="10"/>
  <c r="CG52" i="10"/>
  <c r="CI51" i="10"/>
  <c r="BI104" i="10"/>
  <c r="BE104" i="10" s="1"/>
  <c r="AM83" i="10"/>
  <c r="AL83" i="10"/>
  <c r="AT83" i="10"/>
  <c r="AL65" i="10"/>
  <c r="AM65" i="10"/>
  <c r="AT65" i="10"/>
  <c r="AT58" i="10"/>
  <c r="AM58" i="10"/>
  <c r="AL58" i="10"/>
  <c r="AM78" i="10"/>
  <c r="AL78" i="10"/>
  <c r="AT78" i="10"/>
  <c r="AT92" i="10"/>
  <c r="AM92" i="10"/>
  <c r="AL92" i="10"/>
  <c r="AT102" i="10"/>
  <c r="AM102" i="10"/>
  <c r="AL102" i="10"/>
  <c r="AT106" i="10"/>
  <c r="AM106" i="10"/>
  <c r="AL106" i="10"/>
  <c r="AT110" i="10"/>
  <c r="AM110" i="10"/>
  <c r="AL110" i="10"/>
  <c r="AT114" i="10"/>
  <c r="AM114" i="10"/>
  <c r="AL114" i="10"/>
  <c r="BJ100" i="10"/>
  <c r="BR100" i="10"/>
  <c r="BK100" i="10"/>
  <c r="CG92" i="10"/>
  <c r="BR86" i="10"/>
  <c r="BJ86" i="10"/>
  <c r="BK86" i="10"/>
  <c r="BI117" i="10"/>
  <c r="BE117" i="10" s="1"/>
  <c r="BI109" i="10"/>
  <c r="BE109" i="10" s="1"/>
  <c r="BI101" i="10"/>
  <c r="BE101" i="10" s="1"/>
  <c r="BI98" i="10"/>
  <c r="BE98" i="10" s="1"/>
  <c r="BI95" i="10"/>
  <c r="BE95" i="10" s="1"/>
  <c r="BI96" i="10"/>
  <c r="BE96" i="10" s="1"/>
  <c r="BJ72" i="10"/>
  <c r="BR72" i="10"/>
  <c r="BK72" i="10"/>
  <c r="CG58" i="10"/>
  <c r="BJ108" i="10"/>
  <c r="BK108" i="10"/>
  <c r="BR108" i="10"/>
  <c r="CG87" i="10"/>
  <c r="AK74" i="10"/>
  <c r="AJ74" i="10" s="1"/>
  <c r="CO57" i="10"/>
  <c r="BI69" i="10"/>
  <c r="BE69" i="10" s="1"/>
  <c r="CO51" i="10"/>
  <c r="CG56" i="10"/>
  <c r="CG69" i="10"/>
  <c r="CG76" i="10"/>
  <c r="CG105" i="10"/>
  <c r="CG88" i="10"/>
  <c r="CG55" i="10"/>
  <c r="CG113" i="10"/>
  <c r="CG66" i="10"/>
  <c r="CI59" i="10"/>
  <c r="CG104" i="10"/>
  <c r="CG112" i="10"/>
  <c r="CG97" i="10"/>
  <c r="CG54" i="10"/>
  <c r="AM51" i="10"/>
  <c r="AL51" i="10"/>
  <c r="AT51" i="10"/>
  <c r="AL71" i="10"/>
  <c r="AT71" i="10"/>
  <c r="AM71" i="10"/>
  <c r="AT99" i="10"/>
  <c r="AM99" i="10"/>
  <c r="AL99" i="10"/>
  <c r="AT107" i="10"/>
  <c r="AM107" i="10"/>
  <c r="AL107" i="10"/>
  <c r="AM115" i="10"/>
  <c r="AK86" i="10"/>
  <c r="AJ86" i="10" s="1"/>
  <c r="CO53" i="10"/>
  <c r="BI111" i="10"/>
  <c r="BE111" i="10" s="1"/>
  <c r="BI103" i="10"/>
  <c r="BE103" i="10" s="1"/>
  <c r="AK95" i="10"/>
  <c r="AJ95" i="10" s="1"/>
  <c r="CO58" i="10"/>
  <c r="CG74" i="10"/>
  <c r="BI70" i="10"/>
  <c r="BE70" i="10" s="1"/>
  <c r="CI56" i="10"/>
  <c r="BI106" i="10"/>
  <c r="BE106" i="10" s="1"/>
  <c r="BI97" i="10"/>
  <c r="BE97" i="10" s="1"/>
  <c r="CG91" i="10"/>
  <c r="AK82" i="10"/>
  <c r="AJ82" i="10" s="1"/>
  <c r="CO62" i="10"/>
  <c r="CO56" i="10"/>
  <c r="AK73" i="10"/>
  <c r="AJ73" i="10" s="1"/>
  <c r="AK66" i="10"/>
  <c r="AJ66" i="10" s="1"/>
  <c r="CO52" i="10"/>
  <c r="BI53" i="10"/>
  <c r="BE53" i="10" s="1"/>
  <c r="CI54" i="10"/>
  <c r="CG81" i="10"/>
  <c r="CG111" i="10"/>
  <c r="CG86" i="10"/>
  <c r="CG68" i="10"/>
  <c r="CG115" i="10"/>
  <c r="CI53" i="10"/>
  <c r="CG70" i="10"/>
  <c r="CI87" i="10"/>
  <c r="CG106" i="10"/>
  <c r="CG114" i="10"/>
  <c r="CG98" i="10"/>
  <c r="BI68" i="10"/>
  <c r="BE68" i="10" s="1"/>
  <c r="BI55" i="10"/>
  <c r="BE55" i="10" s="1"/>
  <c r="BI67" i="10"/>
  <c r="BE67" i="10" s="1"/>
  <c r="AT53" i="10"/>
  <c r="AL53" i="10"/>
  <c r="AM53" i="10"/>
  <c r="BK83" i="10"/>
  <c r="BJ83" i="10"/>
  <c r="BR83" i="10"/>
  <c r="BJ115" i="10"/>
  <c r="BR94" i="10"/>
  <c r="BK94" i="10"/>
  <c r="BJ94" i="10"/>
  <c r="BR88" i="10"/>
  <c r="BK88" i="10"/>
  <c r="BJ88" i="10"/>
  <c r="BK74" i="10"/>
  <c r="BJ74" i="10"/>
  <c r="BR74" i="10"/>
  <c r="BJ110" i="10"/>
  <c r="BK110" i="10"/>
  <c r="BR110" i="10"/>
  <c r="BR92" i="10"/>
  <c r="BJ92" i="10"/>
  <c r="BK92" i="10"/>
  <c r="CG75" i="10"/>
  <c r="BJ71" i="10"/>
  <c r="BR71" i="10"/>
  <c r="BK71" i="10"/>
  <c r="BK58" i="10"/>
  <c r="BR58" i="10"/>
  <c r="BJ58" i="10"/>
  <c r="CG65" i="10"/>
  <c r="CG94" i="10"/>
  <c r="CI88" i="10"/>
  <c r="BI113" i="10"/>
  <c r="BE113" i="10" s="1"/>
  <c r="BI105" i="10"/>
  <c r="BE105" i="10" s="1"/>
  <c r="CG96" i="10"/>
  <c r="CI86" i="10"/>
  <c r="AK77" i="10"/>
  <c r="AJ77" i="10" s="1"/>
  <c r="CO54" i="10"/>
  <c r="BI99" i="10"/>
  <c r="BE99" i="10" s="1"/>
  <c r="CG95" i="10"/>
  <c r="CG78" i="10"/>
  <c r="BJ66" i="10"/>
  <c r="BR66" i="10"/>
  <c r="BK66" i="10"/>
  <c r="BI93" i="10"/>
  <c r="BE93" i="10" s="1"/>
  <c r="BI81" i="10"/>
  <c r="BE81" i="10" s="1"/>
  <c r="BI65" i="10"/>
  <c r="BE65" i="10" s="1"/>
  <c r="CI57" i="10"/>
  <c r="BI91" i="10"/>
  <c r="BE91" i="10" s="1"/>
  <c r="BK54" i="10"/>
  <c r="BR54" i="10"/>
  <c r="BJ54" i="10"/>
  <c r="BK73" i="10"/>
  <c r="BJ73" i="10"/>
  <c r="BR73" i="10"/>
  <c r="CI58" i="10"/>
  <c r="CG71" i="10"/>
  <c r="CG101" i="10"/>
  <c r="CG51" i="10"/>
  <c r="CG67" i="10"/>
  <c r="CG107" i="10"/>
  <c r="CG117" i="10"/>
  <c r="CI55" i="10"/>
  <c r="CG77" i="10"/>
  <c r="CG100" i="10"/>
  <c r="CG108" i="10"/>
  <c r="CG116" i="10"/>
  <c r="BR64" i="10"/>
  <c r="BK64" i="10"/>
  <c r="BJ64" i="10"/>
  <c r="AL57" i="10"/>
  <c r="AT57" i="10"/>
  <c r="AM57" i="10"/>
  <c r="AF111" i="9"/>
  <c r="AK111" i="9" s="1"/>
  <c r="AJ111" i="9" s="1"/>
  <c r="AT111" i="9" s="1"/>
  <c r="AK103" i="9"/>
  <c r="AJ103" i="9" s="1"/>
  <c r="AT103" i="9" s="1"/>
  <c r="AK92" i="9"/>
  <c r="AJ92" i="9" s="1"/>
  <c r="AT92" i="9" s="1"/>
  <c r="AK91" i="9"/>
  <c r="AJ91" i="9" s="1"/>
  <c r="AL91" i="9" s="1"/>
  <c r="AF65" i="9"/>
  <c r="AK65" i="9" s="1"/>
  <c r="AJ65" i="9" s="1"/>
  <c r="AM65" i="9" s="1"/>
  <c r="AK68" i="9"/>
  <c r="AJ68" i="9" s="1"/>
  <c r="AL68" i="9" s="1"/>
  <c r="AK58" i="9"/>
  <c r="AJ58" i="9" s="1"/>
  <c r="AL58" i="9" s="1"/>
  <c r="AK53" i="9"/>
  <c r="AJ53" i="9" s="1"/>
  <c r="AT53" i="9" s="1"/>
  <c r="AK83" i="9"/>
  <c r="AJ83" i="9" s="1"/>
  <c r="AT83" i="9" s="1"/>
  <c r="AK117" i="9"/>
  <c r="AJ117" i="9" s="1"/>
  <c r="AT117" i="9" s="1"/>
  <c r="CG116" i="9"/>
  <c r="AK99" i="9"/>
  <c r="AJ99" i="9" s="1"/>
  <c r="AK95" i="9"/>
  <c r="AJ95" i="9" s="1"/>
  <c r="AL95" i="9" s="1"/>
  <c r="CG91" i="9"/>
  <c r="AK86" i="9"/>
  <c r="AJ86" i="9" s="1"/>
  <c r="AM86" i="9" s="1"/>
  <c r="AK55" i="9"/>
  <c r="AJ55" i="9" s="1"/>
  <c r="AT55" i="9" s="1"/>
  <c r="AK113" i="9"/>
  <c r="AJ113" i="9" s="1"/>
  <c r="AT113" i="9" s="1"/>
  <c r="AK105" i="9"/>
  <c r="AJ105" i="9" s="1"/>
  <c r="AM105" i="9" s="1"/>
  <c r="AK98" i="9"/>
  <c r="AJ98" i="9" s="1"/>
  <c r="AL98" i="9" s="1"/>
  <c r="CE51" i="9"/>
  <c r="CG52" i="9"/>
  <c r="AK75" i="9"/>
  <c r="AJ75" i="9" s="1"/>
  <c r="AM75" i="9" s="1"/>
  <c r="BI113" i="9"/>
  <c r="BE113" i="9" s="1"/>
  <c r="CG109" i="9"/>
  <c r="BI94" i="9"/>
  <c r="BE94" i="9" s="1"/>
  <c r="BR94" i="9" s="1"/>
  <c r="CG74" i="9"/>
  <c r="CG102" i="9"/>
  <c r="CI86" i="9"/>
  <c r="CG108" i="9"/>
  <c r="AF101" i="9"/>
  <c r="AK101" i="9" s="1"/>
  <c r="AJ101" i="9" s="1"/>
  <c r="AM101" i="9" s="1"/>
  <c r="CI87" i="9"/>
  <c r="DA52" i="9"/>
  <c r="DF52" i="9" s="1"/>
  <c r="CG94" i="9"/>
  <c r="AK78" i="9"/>
  <c r="AJ78" i="9" s="1"/>
  <c r="AM78" i="9" s="1"/>
  <c r="CG117" i="9"/>
  <c r="BI109" i="9"/>
  <c r="BE109" i="9" s="1"/>
  <c r="BK109" i="9" s="1"/>
  <c r="AK100" i="9"/>
  <c r="AJ100" i="9" s="1"/>
  <c r="AM100" i="9" s="1"/>
  <c r="CG83" i="9"/>
  <c r="BI83" i="9"/>
  <c r="BE83" i="9" s="1"/>
  <c r="BK83" i="9" s="1"/>
  <c r="AK93" i="9"/>
  <c r="AJ93" i="9" s="1"/>
  <c r="AL93" i="9" s="1"/>
  <c r="AK79" i="9"/>
  <c r="AJ79" i="9" s="1"/>
  <c r="AT79" i="9" s="1"/>
  <c r="BI60" i="9"/>
  <c r="BE60" i="9" s="1"/>
  <c r="BK60" i="9" s="1"/>
  <c r="AF106" i="9"/>
  <c r="AK106" i="9" s="1"/>
  <c r="AJ106" i="9" s="1"/>
  <c r="AM106" i="9" s="1"/>
  <c r="CQ52" i="9"/>
  <c r="DB52" i="9"/>
  <c r="CG92" i="9"/>
  <c r="DA53" i="9"/>
  <c r="DF53" i="9" s="1"/>
  <c r="AK88" i="9"/>
  <c r="AJ88" i="9" s="1"/>
  <c r="AL88" i="9" s="1"/>
  <c r="AK67" i="9"/>
  <c r="AJ67" i="9" s="1"/>
  <c r="AM67" i="9" s="1"/>
  <c r="DC53" i="9"/>
  <c r="AK52" i="9"/>
  <c r="AJ52" i="9" s="1"/>
  <c r="AT52" i="9" s="1"/>
  <c r="AK116" i="9"/>
  <c r="AJ116" i="9" s="1"/>
  <c r="AM116" i="9" s="1"/>
  <c r="AK54" i="9"/>
  <c r="AJ54" i="9" s="1"/>
  <c r="AM54" i="9" s="1"/>
  <c r="AF80" i="9"/>
  <c r="BI80" i="9" s="1"/>
  <c r="BE80" i="9" s="1"/>
  <c r="AF81" i="9"/>
  <c r="BI81" i="9" s="1"/>
  <c r="BE81" i="9" s="1"/>
  <c r="BJ81" i="9" s="1"/>
  <c r="AF110" i="9"/>
  <c r="AK110" i="9" s="1"/>
  <c r="AJ110" i="9" s="1"/>
  <c r="AT110" i="9" s="1"/>
  <c r="AF74" i="9"/>
  <c r="CO57" i="9" s="1"/>
  <c r="AF51" i="9"/>
  <c r="AK51" i="9" s="1"/>
  <c r="AJ51" i="9" s="1"/>
  <c r="AL51" i="9" s="1"/>
  <c r="AK97" i="9"/>
  <c r="AJ97" i="9" s="1"/>
  <c r="AM97" i="9" s="1"/>
  <c r="CG93" i="9"/>
  <c r="BI67" i="9"/>
  <c r="BE67" i="9" s="1"/>
  <c r="BR67" i="9" s="1"/>
  <c r="BI68" i="9"/>
  <c r="BE68" i="9" s="1"/>
  <c r="AK66" i="9"/>
  <c r="AJ66" i="9" s="1"/>
  <c r="AL66" i="9" s="1"/>
  <c r="AK114" i="9"/>
  <c r="AJ114" i="9" s="1"/>
  <c r="AM114" i="9" s="1"/>
  <c r="AK59" i="9"/>
  <c r="AJ59" i="9" s="1"/>
  <c r="AM59" i="9" s="1"/>
  <c r="AF56" i="9"/>
  <c r="AK56" i="9" s="1"/>
  <c r="AJ56" i="9" s="1"/>
  <c r="AT56" i="9" s="1"/>
  <c r="BI70" i="9"/>
  <c r="BE70" i="9" s="1"/>
  <c r="BK70" i="9" s="1"/>
  <c r="BI116" i="9"/>
  <c r="BE116" i="9" s="1"/>
  <c r="BR116" i="9" s="1"/>
  <c r="BI75" i="9"/>
  <c r="BE75" i="9" s="1"/>
  <c r="BJ75" i="9" s="1"/>
  <c r="CG76" i="9"/>
  <c r="CG58" i="9"/>
  <c r="CG113" i="9"/>
  <c r="CG80" i="9"/>
  <c r="CG59" i="9"/>
  <c r="CG98" i="9"/>
  <c r="CG105" i="9"/>
  <c r="CG67" i="9"/>
  <c r="CG55" i="9"/>
  <c r="AF112" i="9"/>
  <c r="AK112" i="9" s="1"/>
  <c r="AJ112" i="9" s="1"/>
  <c r="AL112" i="9" s="1"/>
  <c r="AF57" i="9"/>
  <c r="AK57" i="9" s="1"/>
  <c r="AJ57" i="9" s="1"/>
  <c r="AT57" i="9" s="1"/>
  <c r="CG112" i="9"/>
  <c r="BI92" i="9"/>
  <c r="BE92" i="9" s="1"/>
  <c r="BR92" i="9" s="1"/>
  <c r="BI71" i="9"/>
  <c r="BE71" i="9" s="1"/>
  <c r="BK71" i="9" s="1"/>
  <c r="BI96" i="9"/>
  <c r="BE96" i="9" s="1"/>
  <c r="CG68" i="9"/>
  <c r="BI66" i="9"/>
  <c r="BE66" i="9" s="1"/>
  <c r="BK66" i="9" s="1"/>
  <c r="CG71" i="9"/>
  <c r="CG99" i="9"/>
  <c r="AF76" i="9"/>
  <c r="AK76" i="9" s="1"/>
  <c r="AJ76" i="9" s="1"/>
  <c r="AT76" i="9" s="1"/>
  <c r="DD52" i="9"/>
  <c r="CZ52" i="9"/>
  <c r="DE52" i="9" s="1"/>
  <c r="DC52" i="9"/>
  <c r="CR52" i="9"/>
  <c r="CG115" i="9"/>
  <c r="CG111" i="9"/>
  <c r="CG107" i="9"/>
  <c r="CG82" i="9"/>
  <c r="CI88" i="9"/>
  <c r="CG66" i="9"/>
  <c r="CG65" i="9"/>
  <c r="CG53" i="9"/>
  <c r="CG72" i="9"/>
  <c r="CI51" i="9"/>
  <c r="CG106" i="9"/>
  <c r="CG96" i="9"/>
  <c r="CG100" i="9"/>
  <c r="CG103" i="9"/>
  <c r="CG51" i="9"/>
  <c r="CG57" i="9"/>
  <c r="CI54" i="9"/>
  <c r="CG56" i="9"/>
  <c r="CG78" i="9"/>
  <c r="BI86" i="9"/>
  <c r="BE86" i="9" s="1"/>
  <c r="BK86" i="9" s="1"/>
  <c r="AF108" i="9"/>
  <c r="AK108" i="9" s="1"/>
  <c r="AJ108" i="9" s="1"/>
  <c r="AT108" i="9" s="1"/>
  <c r="CG114" i="9"/>
  <c r="CG110" i="9"/>
  <c r="CG81" i="9"/>
  <c r="CG88" i="9"/>
  <c r="BI82" i="9"/>
  <c r="BE82" i="9" s="1"/>
  <c r="BK82" i="9" s="1"/>
  <c r="AF104" i="9"/>
  <c r="AK104" i="9" s="1"/>
  <c r="AJ104" i="9" s="1"/>
  <c r="AT104" i="9" s="1"/>
  <c r="AK82" i="9"/>
  <c r="AJ82" i="9" s="1"/>
  <c r="AT82" i="9" s="1"/>
  <c r="CI59" i="9"/>
  <c r="BI95" i="9"/>
  <c r="BE95" i="9" s="1"/>
  <c r="BJ95" i="9" s="1"/>
  <c r="CG86" i="9"/>
  <c r="CG79" i="9"/>
  <c r="AF72" i="9"/>
  <c r="AK72" i="9" s="1"/>
  <c r="AJ72" i="9" s="1"/>
  <c r="AT72" i="9" s="1"/>
  <c r="BI77" i="9"/>
  <c r="BE77" i="9" s="1"/>
  <c r="BJ77" i="9" s="1"/>
  <c r="BI59" i="9"/>
  <c r="BE59" i="9" s="1"/>
  <c r="BR59" i="9" s="1"/>
  <c r="CI56" i="9"/>
  <c r="CP52" i="9"/>
  <c r="CG75" i="9"/>
  <c r="CS52" i="9"/>
  <c r="CG87" i="9"/>
  <c r="CG97" i="9"/>
  <c r="CG101" i="9"/>
  <c r="CG104" i="9"/>
  <c r="CI55" i="9"/>
  <c r="CG77" i="9"/>
  <c r="CG54" i="9"/>
  <c r="CG70" i="9"/>
  <c r="CG69" i="9"/>
  <c r="CP53" i="9"/>
  <c r="DE53" i="9"/>
  <c r="CI58" i="9"/>
  <c r="CI52" i="9"/>
  <c r="BI98" i="9"/>
  <c r="BE98" i="9" s="1"/>
  <c r="BI117" i="9"/>
  <c r="BE117" i="9" s="1"/>
  <c r="BR117" i="9" s="1"/>
  <c r="AM102" i="9"/>
  <c r="AT102" i="9"/>
  <c r="AL102" i="9"/>
  <c r="AM98" i="9"/>
  <c r="AT98" i="9"/>
  <c r="AT106" i="9"/>
  <c r="AT116" i="9"/>
  <c r="AL116" i="9"/>
  <c r="AL111" i="9"/>
  <c r="AT107" i="9"/>
  <c r="AL107" i="9"/>
  <c r="AM107" i="9"/>
  <c r="AL52" i="9"/>
  <c r="AL100" i="9"/>
  <c r="AM92" i="9"/>
  <c r="AM69" i="9"/>
  <c r="AL69" i="9"/>
  <c r="AT69" i="9"/>
  <c r="AM51" i="9"/>
  <c r="AM70" i="9"/>
  <c r="AL70" i="9"/>
  <c r="AT70" i="9"/>
  <c r="AM99" i="9"/>
  <c r="AT99" i="9"/>
  <c r="AL99" i="9"/>
  <c r="AL94" i="9"/>
  <c r="AM94" i="9"/>
  <c r="AT94" i="9"/>
  <c r="BJ82" i="9"/>
  <c r="BI102" i="9"/>
  <c r="BE102" i="9" s="1"/>
  <c r="BR114" i="9"/>
  <c r="BK114" i="9"/>
  <c r="BJ114" i="9"/>
  <c r="AL96" i="9"/>
  <c r="AT96" i="9"/>
  <c r="AM96" i="9"/>
  <c r="AT109" i="9"/>
  <c r="AM109" i="9"/>
  <c r="AL109" i="9"/>
  <c r="BI97" i="9"/>
  <c r="BE97" i="9" s="1"/>
  <c r="BR60" i="9"/>
  <c r="BJ71" i="9"/>
  <c r="BR71" i="9"/>
  <c r="AL73" i="9"/>
  <c r="AM73" i="9"/>
  <c r="BR52" i="9"/>
  <c r="BJ52" i="9"/>
  <c r="BK52" i="9"/>
  <c r="BR54" i="9"/>
  <c r="BJ54" i="9"/>
  <c r="BK54" i="9"/>
  <c r="BI73" i="9"/>
  <c r="BE73" i="9" s="1"/>
  <c r="BI64" i="9"/>
  <c r="BE64" i="9" s="1"/>
  <c r="AT114" i="9"/>
  <c r="AL114" i="9"/>
  <c r="BI107" i="9"/>
  <c r="BE107" i="9" s="1"/>
  <c r="BR55" i="9"/>
  <c r="BJ55" i="9"/>
  <c r="BK55" i="9"/>
  <c r="BI58" i="9"/>
  <c r="BE58" i="9" s="1"/>
  <c r="BR113" i="9"/>
  <c r="BK113" i="9"/>
  <c r="BJ113" i="9"/>
  <c r="BI87" i="9"/>
  <c r="BE87" i="9" s="1"/>
  <c r="BI103" i="9"/>
  <c r="BE103" i="9" s="1"/>
  <c r="BI91" i="9"/>
  <c r="BE91" i="9" s="1"/>
  <c r="AT95" i="9"/>
  <c r="AK60" i="9"/>
  <c r="AJ60" i="9" s="1"/>
  <c r="CO55" i="9"/>
  <c r="AM71" i="9"/>
  <c r="AL71" i="9"/>
  <c r="AT71" i="9"/>
  <c r="CI60" i="9"/>
  <c r="CE60" i="9"/>
  <c r="DB55" i="9"/>
  <c r="CS55" i="9"/>
  <c r="DC55" i="9"/>
  <c r="CT55" i="9"/>
  <c r="CP55" i="9"/>
  <c r="CG60" i="9"/>
  <c r="DA55" i="9"/>
  <c r="DF55" i="9" s="1"/>
  <c r="DD55" i="9"/>
  <c r="CQ55" i="9"/>
  <c r="CZ55" i="9"/>
  <c r="CR55" i="9"/>
  <c r="CI57" i="9"/>
  <c r="AL83" i="9"/>
  <c r="BI78" i="9"/>
  <c r="BE78" i="9" s="1"/>
  <c r="CG73" i="9"/>
  <c r="CG64" i="9"/>
  <c r="CI53" i="9"/>
  <c r="AL56" i="9"/>
  <c r="AT68" i="9"/>
  <c r="AT87" i="9"/>
  <c r="AL87" i="9"/>
  <c r="AM87" i="9"/>
  <c r="BI99" i="9"/>
  <c r="BE99" i="9" s="1"/>
  <c r="BK94" i="9"/>
  <c r="AK77" i="9"/>
  <c r="AJ77" i="9" s="1"/>
  <c r="CO54" i="9"/>
  <c r="BJ59" i="9"/>
  <c r="CU64" i="9"/>
  <c r="AK64" i="9"/>
  <c r="AJ64" i="9" s="1"/>
  <c r="BR70" i="9"/>
  <c r="BI93" i="9"/>
  <c r="BE93" i="9" s="1"/>
  <c r="AL86" i="9" l="1"/>
  <c r="AL55" i="9"/>
  <c r="AM115" i="9"/>
  <c r="AM53" i="9"/>
  <c r="AN53" i="9" s="1"/>
  <c r="BI65" i="9"/>
  <c r="BE65" i="9" s="1"/>
  <c r="BJ83" i="9"/>
  <c r="BR83" i="9"/>
  <c r="AM103" i="9"/>
  <c r="AL115" i="9"/>
  <c r="AL53" i="9"/>
  <c r="BR56" i="10"/>
  <c r="BK117" i="9"/>
  <c r="AT88" i="9"/>
  <c r="BK67" i="9"/>
  <c r="AL103" i="9"/>
  <c r="CO56" i="9"/>
  <c r="AL115" i="10"/>
  <c r="BK56" i="10"/>
  <c r="BX133" i="4"/>
  <c r="CD132" i="4"/>
  <c r="BZ132" i="4"/>
  <c r="CA132" i="4" s="1"/>
  <c r="BY132" i="4"/>
  <c r="CB132" i="4"/>
  <c r="CC132" i="4" s="1"/>
  <c r="AL101" i="9"/>
  <c r="AL92" i="9"/>
  <c r="AM93" i="9"/>
  <c r="AL67" i="9"/>
  <c r="AT91" i="9"/>
  <c r="AT51" i="9"/>
  <c r="BR107" i="10"/>
  <c r="CH67" i="10"/>
  <c r="AM88" i="9"/>
  <c r="AN88" i="9" s="1"/>
  <c r="CP64" i="10"/>
  <c r="BJ107" i="10"/>
  <c r="CH77" i="10"/>
  <c r="CJ58" i="10"/>
  <c r="CJ57" i="10"/>
  <c r="AM117" i="9"/>
  <c r="BR115" i="10"/>
  <c r="BR81" i="9"/>
  <c r="AL117" i="9"/>
  <c r="AL105" i="9"/>
  <c r="BI51" i="9"/>
  <c r="BE51" i="9" s="1"/>
  <c r="BR51" i="9" s="1"/>
  <c r="BJ112" i="10"/>
  <c r="AM56" i="9"/>
  <c r="AM83" i="9"/>
  <c r="AN83" i="9" s="1"/>
  <c r="AM95" i="9"/>
  <c r="AT67" i="9"/>
  <c r="BK81" i="9"/>
  <c r="AT78" i="9"/>
  <c r="AM91" i="9"/>
  <c r="AT105" i="9"/>
  <c r="AT101" i="9"/>
  <c r="AT58" i="9"/>
  <c r="AM68" i="9"/>
  <c r="AN68" i="9" s="1"/>
  <c r="AM55" i="9"/>
  <c r="BJ67" i="9"/>
  <c r="AT75" i="9"/>
  <c r="AL79" i="9"/>
  <c r="AM52" i="9"/>
  <c r="AN52" i="9" s="1"/>
  <c r="BJ79" i="9"/>
  <c r="BJ116" i="9"/>
  <c r="BR79" i="9"/>
  <c r="BR109" i="9"/>
  <c r="BR112" i="10"/>
  <c r="CH96" i="10"/>
  <c r="CH75" i="10"/>
  <c r="BL88" i="10"/>
  <c r="BU59" i="10"/>
  <c r="BT59" i="10"/>
  <c r="BW59" i="10"/>
  <c r="BV59" i="10"/>
  <c r="AN53" i="10"/>
  <c r="BR55" i="10"/>
  <c r="BJ55" i="10"/>
  <c r="BK55" i="10"/>
  <c r="CH115" i="10"/>
  <c r="AL66" i="10"/>
  <c r="AT66" i="10"/>
  <c r="AM66" i="10"/>
  <c r="AM82" i="10"/>
  <c r="AL82" i="10"/>
  <c r="AT82" i="10"/>
  <c r="AT95" i="10"/>
  <c r="AM95" i="10"/>
  <c r="AY58" i="10" s="1"/>
  <c r="AL95" i="10"/>
  <c r="CH54" i="10"/>
  <c r="CH88" i="10"/>
  <c r="AM74" i="10"/>
  <c r="AL74" i="10"/>
  <c r="AT74" i="10"/>
  <c r="CH110" i="10"/>
  <c r="CH73" i="10"/>
  <c r="BK33" i="10"/>
  <c r="CJ60" i="10"/>
  <c r="AN111" i="10"/>
  <c r="AN76" i="10"/>
  <c r="AN56" i="10"/>
  <c r="AN87" i="10"/>
  <c r="BL76" i="10"/>
  <c r="CH51" i="10"/>
  <c r="BJ65" i="10"/>
  <c r="BR65" i="10"/>
  <c r="BK65" i="10"/>
  <c r="CH65" i="10"/>
  <c r="BL92" i="10"/>
  <c r="BJ68" i="10"/>
  <c r="BR68" i="10"/>
  <c r="BK68" i="10"/>
  <c r="CJ87" i="10"/>
  <c r="CJ54" i="10"/>
  <c r="AL73" i="10"/>
  <c r="AT73" i="10"/>
  <c r="AM73" i="10"/>
  <c r="BJ103" i="10"/>
  <c r="BK103" i="10"/>
  <c r="BR103" i="10"/>
  <c r="AN107" i="10"/>
  <c r="CH97" i="10"/>
  <c r="CH105" i="10"/>
  <c r="CH87" i="10"/>
  <c r="BR96" i="10"/>
  <c r="BJ96" i="10"/>
  <c r="BK96" i="10"/>
  <c r="BJ104" i="10"/>
  <c r="BK104" i="10"/>
  <c r="BR104" i="10"/>
  <c r="CH102" i="10"/>
  <c r="CH64" i="10"/>
  <c r="BL59" i="10"/>
  <c r="BL75" i="10"/>
  <c r="AN55" i="10"/>
  <c r="BL77" i="10"/>
  <c r="BT54" i="10"/>
  <c r="BV54" i="10"/>
  <c r="BU54" i="10"/>
  <c r="BW54" i="10"/>
  <c r="AN116" i="10"/>
  <c r="AN75" i="10"/>
  <c r="AW58" i="10"/>
  <c r="AV58" i="10"/>
  <c r="AN67" i="10"/>
  <c r="AN52" i="10"/>
  <c r="AN70" i="10"/>
  <c r="AN97" i="10"/>
  <c r="AN117" i="10"/>
  <c r="AN80" i="10"/>
  <c r="BL57" i="10"/>
  <c r="AN100" i="10"/>
  <c r="AN93" i="10"/>
  <c r="CH108" i="10"/>
  <c r="CH117" i="10"/>
  <c r="CH101" i="10"/>
  <c r="BL54" i="10"/>
  <c r="BK81" i="10"/>
  <c r="BJ81" i="10"/>
  <c r="BR81" i="10"/>
  <c r="CH78" i="10"/>
  <c r="AM77" i="10"/>
  <c r="AL77" i="10"/>
  <c r="AT77" i="10"/>
  <c r="BJ113" i="10"/>
  <c r="BK113" i="10"/>
  <c r="BR113" i="10"/>
  <c r="CH82" i="10"/>
  <c r="BL115" i="10"/>
  <c r="BL83" i="10"/>
  <c r="CH98" i="10"/>
  <c r="CH70" i="10"/>
  <c r="CH86" i="10"/>
  <c r="BJ53" i="10"/>
  <c r="BK53" i="10"/>
  <c r="BR53" i="10"/>
  <c r="BR97" i="10"/>
  <c r="BK97" i="10"/>
  <c r="BJ97" i="10"/>
  <c r="CH74" i="10"/>
  <c r="BJ111" i="10"/>
  <c r="BK111" i="10"/>
  <c r="BR111" i="10"/>
  <c r="AN115" i="10"/>
  <c r="AN71" i="10"/>
  <c r="AN51" i="10"/>
  <c r="CH112" i="10"/>
  <c r="CH113" i="10"/>
  <c r="CH76" i="10"/>
  <c r="BJ69" i="10"/>
  <c r="BR69" i="10"/>
  <c r="BK69" i="10"/>
  <c r="BL72" i="10"/>
  <c r="BR95" i="10"/>
  <c r="BJ95" i="10"/>
  <c r="BK95" i="10"/>
  <c r="BJ117" i="10"/>
  <c r="BK117" i="10"/>
  <c r="BR117" i="10"/>
  <c r="CH92" i="10"/>
  <c r="AN110" i="10"/>
  <c r="CJ51" i="10"/>
  <c r="DE53" i="10"/>
  <c r="CZ64" i="10"/>
  <c r="CH80" i="10"/>
  <c r="CH72" i="10"/>
  <c r="BK35" i="10"/>
  <c r="BL51" i="10"/>
  <c r="CH83" i="10"/>
  <c r="BU55" i="10"/>
  <c r="BW55" i="10"/>
  <c r="BL60" i="10"/>
  <c r="BT55" i="10"/>
  <c r="BV55" i="10"/>
  <c r="AM81" i="10"/>
  <c r="AL81" i="10"/>
  <c r="AT81" i="10"/>
  <c r="AN91" i="10"/>
  <c r="AN104" i="10"/>
  <c r="AN112" i="10"/>
  <c r="BL80" i="10"/>
  <c r="AN109" i="10"/>
  <c r="BL82" i="10"/>
  <c r="AN72" i="10"/>
  <c r="BT60" i="10"/>
  <c r="BW60" i="10"/>
  <c r="BV60" i="10"/>
  <c r="BL79" i="10"/>
  <c r="BU60" i="10"/>
  <c r="BL114" i="10"/>
  <c r="AN113" i="10"/>
  <c r="BK99" i="10"/>
  <c r="BJ99" i="10"/>
  <c r="BR99" i="10"/>
  <c r="CH94" i="10"/>
  <c r="BL58" i="10"/>
  <c r="CH106" i="10"/>
  <c r="CH81" i="10"/>
  <c r="CJ56" i="10"/>
  <c r="AM86" i="10"/>
  <c r="AY53" i="10" s="1"/>
  <c r="AT86" i="10"/>
  <c r="AL86" i="10"/>
  <c r="AN99" i="10"/>
  <c r="AM34" i="10"/>
  <c r="CJ59" i="10"/>
  <c r="CH56" i="10"/>
  <c r="BJ101" i="10"/>
  <c r="BK101" i="10"/>
  <c r="BR101" i="10"/>
  <c r="AN102" i="10"/>
  <c r="AN65" i="10"/>
  <c r="AN83" i="10"/>
  <c r="CH109" i="10"/>
  <c r="CH57" i="10"/>
  <c r="BL87" i="10"/>
  <c r="AN88" i="10"/>
  <c r="AY59" i="10"/>
  <c r="AX59" i="10"/>
  <c r="AW59" i="10"/>
  <c r="AV59" i="10"/>
  <c r="AN59" i="10"/>
  <c r="CH116" i="10"/>
  <c r="CJ55" i="10"/>
  <c r="BL112" i="10"/>
  <c r="BJ105" i="10"/>
  <c r="BK105" i="10"/>
  <c r="BR105" i="10"/>
  <c r="BL71" i="10"/>
  <c r="BL110" i="10"/>
  <c r="BL74" i="10"/>
  <c r="CH68" i="10"/>
  <c r="CH91" i="10"/>
  <c r="BJ70" i="10"/>
  <c r="BR70" i="10"/>
  <c r="BK70" i="10"/>
  <c r="AM35" i="10"/>
  <c r="CH66" i="10"/>
  <c r="CH58" i="10"/>
  <c r="BJ109" i="10"/>
  <c r="BK109" i="10"/>
  <c r="BR109" i="10"/>
  <c r="AN106" i="10"/>
  <c r="AN58" i="10"/>
  <c r="BL56" i="10"/>
  <c r="CH53" i="10"/>
  <c r="BK34" i="10"/>
  <c r="BL107" i="10"/>
  <c r="AN64" i="10"/>
  <c r="AX51" i="10"/>
  <c r="AW51" i="10"/>
  <c r="AV51" i="10"/>
  <c r="AY51" i="10"/>
  <c r="AN103" i="10"/>
  <c r="AN68" i="10"/>
  <c r="AR57" i="10"/>
  <c r="AN57" i="10"/>
  <c r="BL64" i="10"/>
  <c r="CH100" i="10"/>
  <c r="CH107" i="10"/>
  <c r="CH71" i="10"/>
  <c r="BL73" i="10"/>
  <c r="BV56" i="10"/>
  <c r="BW56" i="10"/>
  <c r="BT56" i="10"/>
  <c r="BU56" i="10"/>
  <c r="BR91" i="10"/>
  <c r="BJ91" i="10"/>
  <c r="BK91" i="10"/>
  <c r="BR93" i="10"/>
  <c r="BK93" i="10"/>
  <c r="BJ93" i="10"/>
  <c r="BL66" i="10"/>
  <c r="CH95" i="10"/>
  <c r="CJ86" i="10"/>
  <c r="CJ88" i="10"/>
  <c r="BL94" i="10"/>
  <c r="CH93" i="10"/>
  <c r="BJ67" i="10"/>
  <c r="BR67" i="10"/>
  <c r="BK67" i="10"/>
  <c r="CH114" i="10"/>
  <c r="CJ53" i="10"/>
  <c r="CH111" i="10"/>
  <c r="BJ106" i="10"/>
  <c r="BK106" i="10"/>
  <c r="BR106" i="10"/>
  <c r="AM33" i="10"/>
  <c r="AM32" i="10"/>
  <c r="CH104" i="10"/>
  <c r="CH55" i="10"/>
  <c r="CH69" i="10"/>
  <c r="BL108" i="10"/>
  <c r="BR98" i="10"/>
  <c r="BK98" i="10"/>
  <c r="BJ98" i="10"/>
  <c r="BL86" i="10"/>
  <c r="BL100" i="10"/>
  <c r="AN114" i="10"/>
  <c r="AN92" i="10"/>
  <c r="AN78" i="10"/>
  <c r="CH52" i="10"/>
  <c r="CJ52" i="10"/>
  <c r="CH99" i="10"/>
  <c r="CH59" i="10"/>
  <c r="CH103" i="10"/>
  <c r="BL52" i="10"/>
  <c r="BK36" i="10"/>
  <c r="CH79" i="10"/>
  <c r="CH60" i="10"/>
  <c r="AN98" i="10"/>
  <c r="AN105" i="10"/>
  <c r="AN108" i="10"/>
  <c r="BL116" i="10"/>
  <c r="BL78" i="10"/>
  <c r="AN96" i="10"/>
  <c r="AN101" i="10"/>
  <c r="AN94" i="10"/>
  <c r="AN79" i="10"/>
  <c r="AX60" i="10"/>
  <c r="AW60" i="10"/>
  <c r="AV60" i="10"/>
  <c r="AY60" i="10"/>
  <c r="AN60" i="10"/>
  <c r="AY55" i="10"/>
  <c r="AV55" i="10"/>
  <c r="AX55" i="10"/>
  <c r="AW55" i="10"/>
  <c r="AR54" i="10"/>
  <c r="AN54" i="10"/>
  <c r="BL102" i="10"/>
  <c r="AN69" i="10"/>
  <c r="BR68" i="9"/>
  <c r="BJ68" i="9"/>
  <c r="BI53" i="9"/>
  <c r="BE53" i="9" s="1"/>
  <c r="BJ53" i="9" s="1"/>
  <c r="AT86" i="9"/>
  <c r="BK75" i="9"/>
  <c r="BJ94" i="9"/>
  <c r="AM113" i="9"/>
  <c r="AL75" i="9"/>
  <c r="BR66" i="9"/>
  <c r="BJ92" i="9"/>
  <c r="AT100" i="9"/>
  <c r="AM111" i="9"/>
  <c r="AN111" i="9" s="1"/>
  <c r="AM58" i="9"/>
  <c r="CO51" i="9"/>
  <c r="BR75" i="9"/>
  <c r="BJ109" i="9"/>
  <c r="AL113" i="9"/>
  <c r="AT66" i="9"/>
  <c r="BJ51" i="9"/>
  <c r="AL59" i="9"/>
  <c r="AM79" i="9"/>
  <c r="BJ60" i="9"/>
  <c r="AT59" i="9"/>
  <c r="AM110" i="9"/>
  <c r="AL97" i="9"/>
  <c r="BI100" i="9"/>
  <c r="BE100" i="9" s="1"/>
  <c r="BJ100" i="9" s="1"/>
  <c r="CO53" i="9"/>
  <c r="BI105" i="9"/>
  <c r="BE105" i="9" s="1"/>
  <c r="BJ105" i="9" s="1"/>
  <c r="BI101" i="9"/>
  <c r="BE101" i="9" s="1"/>
  <c r="BJ101" i="9" s="1"/>
  <c r="BI111" i="9"/>
  <c r="BE111" i="9" s="1"/>
  <c r="BK80" i="9"/>
  <c r="BW60" i="9" s="1"/>
  <c r="BJ80" i="9"/>
  <c r="BR80" i="9"/>
  <c r="CH64" i="9"/>
  <c r="CJ60" i="9"/>
  <c r="AL78" i="9"/>
  <c r="AT65" i="9"/>
  <c r="AT93" i="9"/>
  <c r="AL106" i="9"/>
  <c r="BI74" i="9"/>
  <c r="BE74" i="9" s="1"/>
  <c r="BI69" i="9"/>
  <c r="BE69" i="9" s="1"/>
  <c r="BR69" i="9" s="1"/>
  <c r="AT54" i="9"/>
  <c r="AM104" i="9"/>
  <c r="AN104" i="9" s="1"/>
  <c r="AM66" i="9"/>
  <c r="AN66" i="9" s="1"/>
  <c r="BK51" i="9"/>
  <c r="BJ86" i="9"/>
  <c r="AL76" i="9"/>
  <c r="AM57" i="9"/>
  <c r="AL110" i="9"/>
  <c r="AM112" i="9"/>
  <c r="AN112" i="9" s="1"/>
  <c r="AL65" i="9"/>
  <c r="AT97" i="9"/>
  <c r="AM72" i="9"/>
  <c r="AL82" i="9"/>
  <c r="AK74" i="9"/>
  <c r="AJ74" i="9" s="1"/>
  <c r="BI56" i="9"/>
  <c r="BE56" i="9" s="1"/>
  <c r="BI110" i="9"/>
  <c r="BE110" i="9" s="1"/>
  <c r="CO61" i="9"/>
  <c r="AK81" i="9"/>
  <c r="AJ81" i="9" s="1"/>
  <c r="BI115" i="9"/>
  <c r="BE115" i="9" s="1"/>
  <c r="BR115" i="9" s="1"/>
  <c r="CH111" i="9"/>
  <c r="BK68" i="9"/>
  <c r="BL68" i="9" s="1"/>
  <c r="AL54" i="9"/>
  <c r="AM76" i="9"/>
  <c r="AN76" i="9" s="1"/>
  <c r="BK59" i="9"/>
  <c r="BL59" i="9" s="1"/>
  <c r="BI106" i="9"/>
  <c r="BE106" i="9" s="1"/>
  <c r="BJ106" i="9" s="1"/>
  <c r="BJ117" i="9"/>
  <c r="AL104" i="9"/>
  <c r="BR86" i="9"/>
  <c r="AL57" i="9"/>
  <c r="AT112" i="9"/>
  <c r="CH96" i="9"/>
  <c r="CO60" i="9"/>
  <c r="AK80" i="9"/>
  <c r="AJ80" i="9" s="1"/>
  <c r="BK116" i="9"/>
  <c r="BL116" i="9" s="1"/>
  <c r="BK95" i="9"/>
  <c r="BL95" i="9" s="1"/>
  <c r="BJ66" i="9"/>
  <c r="BK77" i="9"/>
  <c r="BL77" i="9" s="1"/>
  <c r="BJ70" i="9"/>
  <c r="BR95" i="9"/>
  <c r="BR82" i="9"/>
  <c r="BK92" i="9"/>
  <c r="BL92" i="9" s="1"/>
  <c r="AM108" i="9"/>
  <c r="BR77" i="9"/>
  <c r="CO52" i="9"/>
  <c r="CO62" i="9"/>
  <c r="CO58" i="9"/>
  <c r="BI57" i="9"/>
  <c r="BE57" i="9" s="1"/>
  <c r="BI72" i="9"/>
  <c r="BE72" i="9" s="1"/>
  <c r="BI108" i="9"/>
  <c r="BE108" i="9" s="1"/>
  <c r="CH58" i="9"/>
  <c r="CH87" i="9"/>
  <c r="CH114" i="9"/>
  <c r="AL108" i="9"/>
  <c r="AL72" i="9"/>
  <c r="BI76" i="9"/>
  <c r="BE76" i="9" s="1"/>
  <c r="CH57" i="9"/>
  <c r="CH115" i="9"/>
  <c r="CH80" i="9"/>
  <c r="CP64" i="9"/>
  <c r="AM82" i="9"/>
  <c r="BI112" i="9"/>
  <c r="BE112" i="9" s="1"/>
  <c r="BI104" i="9"/>
  <c r="BE104" i="9" s="1"/>
  <c r="BJ96" i="9"/>
  <c r="BR96" i="9"/>
  <c r="BK96" i="9"/>
  <c r="BL94" i="9"/>
  <c r="AN87" i="9"/>
  <c r="AT60" i="9"/>
  <c r="AL60" i="9"/>
  <c r="AM60" i="9"/>
  <c r="CH76" i="9"/>
  <c r="CH105" i="9"/>
  <c r="CH66" i="9"/>
  <c r="BL71" i="9"/>
  <c r="BL60" i="9"/>
  <c r="BV55" i="9"/>
  <c r="BW55" i="9"/>
  <c r="BU55" i="9"/>
  <c r="BT55" i="9"/>
  <c r="BJ98" i="9"/>
  <c r="BR98" i="9"/>
  <c r="BK98" i="9"/>
  <c r="AN69" i="9"/>
  <c r="AN93" i="9"/>
  <c r="AN58" i="9"/>
  <c r="BL70" i="9"/>
  <c r="CH106" i="9"/>
  <c r="CH68" i="9"/>
  <c r="AN54" i="9"/>
  <c r="CH75" i="9"/>
  <c r="CH73" i="9"/>
  <c r="DE55" i="9"/>
  <c r="CZ64" i="9"/>
  <c r="CH71" i="9"/>
  <c r="CH74" i="9"/>
  <c r="BR107" i="9"/>
  <c r="BK107" i="9"/>
  <c r="BJ107" i="9"/>
  <c r="AN67" i="9"/>
  <c r="CH102" i="9"/>
  <c r="BJ97" i="9"/>
  <c r="BR97" i="9"/>
  <c r="BK97" i="9"/>
  <c r="CH70" i="9"/>
  <c r="CJ55" i="9"/>
  <c r="CH86" i="9"/>
  <c r="CH81" i="9"/>
  <c r="AN79" i="9"/>
  <c r="AN86" i="9"/>
  <c r="AL64" i="9"/>
  <c r="AM64" i="9"/>
  <c r="AT64" i="9"/>
  <c r="CJ51" i="9"/>
  <c r="CH82" i="9"/>
  <c r="AN113" i="9"/>
  <c r="CJ54" i="9"/>
  <c r="CH77" i="9"/>
  <c r="CH59" i="9"/>
  <c r="BJ78" i="9"/>
  <c r="BR78" i="9"/>
  <c r="BK78" i="9"/>
  <c r="CH94" i="9"/>
  <c r="BR88" i="9"/>
  <c r="BJ88" i="9"/>
  <c r="BK88" i="9"/>
  <c r="CJ87" i="9"/>
  <c r="CH108" i="9"/>
  <c r="CH112" i="9"/>
  <c r="BK69" i="9"/>
  <c r="CH100" i="9"/>
  <c r="CH72" i="9"/>
  <c r="AL77" i="9"/>
  <c r="AT77" i="9"/>
  <c r="AM77" i="9"/>
  <c r="BL79" i="9"/>
  <c r="BL83" i="9"/>
  <c r="CH107" i="9"/>
  <c r="CH113" i="9"/>
  <c r="CH101" i="9"/>
  <c r="CH93" i="9"/>
  <c r="AN56" i="9"/>
  <c r="CJ53" i="9"/>
  <c r="CJ57" i="9"/>
  <c r="CH99" i="9"/>
  <c r="CH65" i="9"/>
  <c r="AN95" i="9"/>
  <c r="BJ103" i="9"/>
  <c r="BR103" i="9"/>
  <c r="BK103" i="9"/>
  <c r="CH83" i="9"/>
  <c r="CH116" i="9"/>
  <c r="BK58" i="9"/>
  <c r="BJ58" i="9"/>
  <c r="BR58" i="9"/>
  <c r="CH78" i="9"/>
  <c r="CH55" i="9"/>
  <c r="CH92" i="9"/>
  <c r="BL86" i="9"/>
  <c r="CH117" i="9"/>
  <c r="CH52" i="9"/>
  <c r="AN109" i="9"/>
  <c r="AN78" i="9"/>
  <c r="CH104" i="9"/>
  <c r="BL82" i="9"/>
  <c r="AN117" i="9"/>
  <c r="AN99" i="9"/>
  <c r="AN70" i="9"/>
  <c r="AN103" i="9"/>
  <c r="AN65" i="9"/>
  <c r="AN106" i="9"/>
  <c r="AN98" i="9"/>
  <c r="BJ93" i="9"/>
  <c r="BR93" i="9"/>
  <c r="BK93" i="9"/>
  <c r="BL75" i="9"/>
  <c r="CH88" i="9"/>
  <c r="CH95" i="9"/>
  <c r="BL113" i="9"/>
  <c r="BL55" i="9"/>
  <c r="CJ86" i="9"/>
  <c r="CH91" i="9"/>
  <c r="BL81" i="9"/>
  <c r="CH56" i="9"/>
  <c r="CH97" i="9"/>
  <c r="AN91" i="9"/>
  <c r="AN105" i="9"/>
  <c r="AN92" i="9"/>
  <c r="CJ52" i="9"/>
  <c r="CH51" i="9"/>
  <c r="CJ56" i="9"/>
  <c r="CJ59" i="9"/>
  <c r="CJ88" i="9"/>
  <c r="BL109" i="9"/>
  <c r="CH69" i="9"/>
  <c r="CH60" i="9"/>
  <c r="CH67" i="9"/>
  <c r="BR87" i="9"/>
  <c r="BJ87" i="9"/>
  <c r="BK87" i="9"/>
  <c r="AN55" i="9"/>
  <c r="CH54" i="9"/>
  <c r="BL54" i="9"/>
  <c r="BL52" i="9"/>
  <c r="AN73" i="9"/>
  <c r="AN96" i="9"/>
  <c r="BJ102" i="9"/>
  <c r="BR102" i="9"/>
  <c r="BK102" i="9"/>
  <c r="BL66" i="9"/>
  <c r="AN101" i="9"/>
  <c r="CJ58" i="9"/>
  <c r="CH103" i="9"/>
  <c r="BJ99" i="9"/>
  <c r="BR99" i="9"/>
  <c r="BK99" i="9"/>
  <c r="CH79" i="9"/>
  <c r="BL117" i="9"/>
  <c r="CH53" i="9"/>
  <c r="AN71" i="9"/>
  <c r="BJ91" i="9"/>
  <c r="BK91" i="9"/>
  <c r="BR91" i="9"/>
  <c r="AN114" i="9"/>
  <c r="BJ64" i="9"/>
  <c r="BK64" i="9"/>
  <c r="BR64" i="9"/>
  <c r="BJ73" i="9"/>
  <c r="BR73" i="9"/>
  <c r="BK73" i="9"/>
  <c r="CH98" i="9"/>
  <c r="BR101" i="9"/>
  <c r="CH109" i="9"/>
  <c r="AN59" i="9"/>
  <c r="AN57" i="9"/>
  <c r="BK65" i="9"/>
  <c r="BJ65" i="9"/>
  <c r="BR65" i="9"/>
  <c r="BL114" i="9"/>
  <c r="CH110" i="9"/>
  <c r="BL67" i="9"/>
  <c r="AN75" i="9"/>
  <c r="AN94" i="9"/>
  <c r="AN110" i="9"/>
  <c r="AN51" i="9"/>
  <c r="AN100" i="9"/>
  <c r="AN107" i="9"/>
  <c r="AN115" i="9"/>
  <c r="AN97" i="9"/>
  <c r="AN116" i="9"/>
  <c r="AN102" i="9"/>
  <c r="BK100" i="9" l="1"/>
  <c r="AM33" i="9"/>
  <c r="AV58" i="9"/>
  <c r="BX134" i="4"/>
  <c r="CD133" i="4"/>
  <c r="CB133" i="4"/>
  <c r="CC133" i="4" s="1"/>
  <c r="BZ133" i="4"/>
  <c r="CA133" i="4" s="1"/>
  <c r="BY133" i="4"/>
  <c r="BJ115" i="9"/>
  <c r="BR106" i="9"/>
  <c r="AY52" i="9"/>
  <c r="AV52" i="9"/>
  <c r="AY59" i="9"/>
  <c r="BL41" i="10"/>
  <c r="D27" i="6" s="1"/>
  <c r="AR51" i="9"/>
  <c r="BL40" i="10"/>
  <c r="C27" i="6" s="1"/>
  <c r="AX59" i="9"/>
  <c r="BL80" i="9"/>
  <c r="AV59" i="9"/>
  <c r="AM35" i="9"/>
  <c r="BT60" i="9"/>
  <c r="AW59" i="9"/>
  <c r="AR54" i="9"/>
  <c r="AR59" i="10"/>
  <c r="AP91" i="10"/>
  <c r="AN41" i="10"/>
  <c r="D23" i="6" s="1"/>
  <c r="D35" i="6" s="1"/>
  <c r="AP83" i="10"/>
  <c r="AX58" i="10"/>
  <c r="AP99" i="10"/>
  <c r="AR53" i="10"/>
  <c r="BK42" i="10"/>
  <c r="AN40" i="10"/>
  <c r="C23" i="6" s="1"/>
  <c r="C35" i="6" s="1"/>
  <c r="AM40" i="9"/>
  <c r="E24" i="6" s="1"/>
  <c r="BU60" i="9"/>
  <c r="BK106" i="9"/>
  <c r="BV60" i="9"/>
  <c r="AY53" i="9"/>
  <c r="AL74" i="9"/>
  <c r="BL51" i="9"/>
  <c r="AM32" i="9"/>
  <c r="AW58" i="9"/>
  <c r="AM34" i="9"/>
  <c r="AX58" i="9"/>
  <c r="BV54" i="9"/>
  <c r="AW62" i="9"/>
  <c r="AW53" i="9"/>
  <c r="BN78" i="10"/>
  <c r="BW62" i="10"/>
  <c r="BK101" i="9"/>
  <c r="BU54" i="9"/>
  <c r="BK35" i="9"/>
  <c r="BN102" i="10"/>
  <c r="BK41" i="10"/>
  <c r="F27" i="6" s="1"/>
  <c r="D10" i="6" s="1"/>
  <c r="BP57" i="10"/>
  <c r="BK40" i="10"/>
  <c r="E27" i="6" s="1"/>
  <c r="C10" i="6" s="1"/>
  <c r="AR58" i="10"/>
  <c r="AW53" i="10"/>
  <c r="AP111" i="10"/>
  <c r="AP98" i="10"/>
  <c r="BV53" i="10"/>
  <c r="AR52" i="10"/>
  <c r="AR87" i="10"/>
  <c r="BN52" i="10"/>
  <c r="AR60" i="10"/>
  <c r="AR88" i="10"/>
  <c r="BU58" i="10"/>
  <c r="BM28" i="10"/>
  <c r="BW51" i="10"/>
  <c r="AR51" i="10"/>
  <c r="CD8" i="10"/>
  <c r="BN60" i="10"/>
  <c r="BN86" i="10"/>
  <c r="AP103" i="10"/>
  <c r="AP64" i="10"/>
  <c r="AP112" i="10"/>
  <c r="BN88" i="10"/>
  <c r="AM28" i="10"/>
  <c r="AP79" i="10"/>
  <c r="AP114" i="10"/>
  <c r="CG8" i="10"/>
  <c r="AP109" i="10"/>
  <c r="BV52" i="10"/>
  <c r="AX52" i="10"/>
  <c r="BL28" i="10"/>
  <c r="CE8" i="10"/>
  <c r="BL98" i="10"/>
  <c r="BN98" i="10"/>
  <c r="BN64" i="10"/>
  <c r="BN56" i="10"/>
  <c r="BN74" i="10"/>
  <c r="BN87" i="10"/>
  <c r="AP81" i="10"/>
  <c r="AX61" i="10"/>
  <c r="AW61" i="10"/>
  <c r="AY61" i="10"/>
  <c r="AV61" i="10"/>
  <c r="AN81" i="10"/>
  <c r="BN117" i="10"/>
  <c r="BL117" i="10"/>
  <c r="BN83" i="10"/>
  <c r="AP97" i="10"/>
  <c r="AP55" i="10"/>
  <c r="BN103" i="10"/>
  <c r="BL103" i="10"/>
  <c r="AP56" i="10"/>
  <c r="AP54" i="10"/>
  <c r="AP96" i="10"/>
  <c r="AP105" i="10"/>
  <c r="BL91" i="10"/>
  <c r="BN91" i="10"/>
  <c r="BN73" i="10"/>
  <c r="BN107" i="10"/>
  <c r="BN109" i="10"/>
  <c r="BL109" i="10"/>
  <c r="AN28" i="10"/>
  <c r="BN112" i="10"/>
  <c r="AP88" i="10"/>
  <c r="BN99" i="10"/>
  <c r="BL99" i="10"/>
  <c r="AP72" i="10"/>
  <c r="AV52" i="10"/>
  <c r="BN113" i="10"/>
  <c r="BL113" i="10"/>
  <c r="AP77" i="10"/>
  <c r="AN77" i="10"/>
  <c r="AX54" i="10"/>
  <c r="AW54" i="10"/>
  <c r="AV54" i="10"/>
  <c r="AY54" i="10"/>
  <c r="BN81" i="10"/>
  <c r="BL81" i="10"/>
  <c r="BV61" i="10"/>
  <c r="BU61" i="10"/>
  <c r="BT61" i="10"/>
  <c r="BW61" i="10"/>
  <c r="AP52" i="10"/>
  <c r="BN77" i="10"/>
  <c r="BP59" i="10"/>
  <c r="AP53" i="10"/>
  <c r="BN116" i="10"/>
  <c r="BP52" i="10"/>
  <c r="BU53" i="10"/>
  <c r="AP92" i="10"/>
  <c r="BP86" i="10"/>
  <c r="AP60" i="10"/>
  <c r="AP101" i="10"/>
  <c r="AP108" i="10"/>
  <c r="BT53" i="10"/>
  <c r="BN100" i="10"/>
  <c r="BN108" i="10"/>
  <c r="BN67" i="10"/>
  <c r="BL67" i="10"/>
  <c r="BN94" i="10"/>
  <c r="BL93" i="10"/>
  <c r="BN93" i="10"/>
  <c r="AP57" i="10"/>
  <c r="AP68" i="10"/>
  <c r="BN28" i="10"/>
  <c r="AP58" i="10"/>
  <c r="CF8" i="10"/>
  <c r="AP28" i="10"/>
  <c r="BP87" i="10"/>
  <c r="AP102" i="10"/>
  <c r="AP86" i="10"/>
  <c r="AN86" i="10"/>
  <c r="AR86" i="10"/>
  <c r="BP58" i="10"/>
  <c r="BN79" i="10"/>
  <c r="BV62" i="10"/>
  <c r="BN82" i="10"/>
  <c r="BN80" i="10"/>
  <c r="BP60" i="10"/>
  <c r="BW52" i="10"/>
  <c r="BT52" i="10"/>
  <c r="BN69" i="10"/>
  <c r="BL69" i="10"/>
  <c r="AM40" i="10"/>
  <c r="E23" i="6" s="1"/>
  <c r="AM41" i="10"/>
  <c r="F23" i="6" s="1"/>
  <c r="AP71" i="10"/>
  <c r="BN111" i="10"/>
  <c r="BL111" i="10"/>
  <c r="BL97" i="10"/>
  <c r="BN97" i="10"/>
  <c r="BN54" i="10"/>
  <c r="AP100" i="10"/>
  <c r="AV53" i="10"/>
  <c r="AP67" i="10"/>
  <c r="AR55" i="10"/>
  <c r="BN59" i="10"/>
  <c r="BL96" i="10"/>
  <c r="BN96" i="10"/>
  <c r="BN68" i="10"/>
  <c r="BL68" i="10"/>
  <c r="AP87" i="10"/>
  <c r="AR56" i="10"/>
  <c r="AP74" i="10"/>
  <c r="AN74" i="10"/>
  <c r="AN95" i="10"/>
  <c r="AP95" i="10"/>
  <c r="AP82" i="10"/>
  <c r="AV62" i="10"/>
  <c r="AY62" i="10"/>
  <c r="AN82" i="10"/>
  <c r="AX62" i="10"/>
  <c r="AW62" i="10"/>
  <c r="BK28" i="10"/>
  <c r="BN71" i="10"/>
  <c r="AP110" i="10"/>
  <c r="AP115" i="10"/>
  <c r="AP93" i="10"/>
  <c r="AP80" i="10"/>
  <c r="BW58" i="10"/>
  <c r="AP66" i="10"/>
  <c r="AN66" i="10"/>
  <c r="BP55" i="10"/>
  <c r="BL55" i="10"/>
  <c r="BN55" i="10"/>
  <c r="BP88" i="10"/>
  <c r="AP94" i="10"/>
  <c r="BW53" i="10"/>
  <c r="AP78" i="10"/>
  <c r="BN66" i="10"/>
  <c r="BU51" i="10"/>
  <c r="BT51" i="10"/>
  <c r="BN58" i="10"/>
  <c r="BN114" i="10"/>
  <c r="BN51" i="10"/>
  <c r="AP51" i="10"/>
  <c r="AP117" i="10"/>
  <c r="AP75" i="10"/>
  <c r="BV58" i="10"/>
  <c r="BT58" i="10"/>
  <c r="BN104" i="10"/>
  <c r="BL104" i="10"/>
  <c r="AP107" i="10"/>
  <c r="BN65" i="10"/>
  <c r="BL65" i="10"/>
  <c r="AP69" i="10"/>
  <c r="BN106" i="10"/>
  <c r="BL106" i="10"/>
  <c r="BV51" i="10"/>
  <c r="BP56" i="10"/>
  <c r="AP106" i="10"/>
  <c r="AO28" i="10"/>
  <c r="BN70" i="10"/>
  <c r="BL70" i="10"/>
  <c r="BN110" i="10"/>
  <c r="BN105" i="10"/>
  <c r="BL105" i="10"/>
  <c r="AP59" i="10"/>
  <c r="AP65" i="10"/>
  <c r="BN101" i="10"/>
  <c r="BL101" i="10"/>
  <c r="AP113" i="10"/>
  <c r="BU62" i="10"/>
  <c r="BT62" i="10"/>
  <c r="AP104" i="10"/>
  <c r="BP51" i="10"/>
  <c r="BU52" i="10"/>
  <c r="BL95" i="10"/>
  <c r="BN95" i="10"/>
  <c r="BN72" i="10"/>
  <c r="AW52" i="10"/>
  <c r="AY52" i="10"/>
  <c r="BP53" i="10"/>
  <c r="BL53" i="10"/>
  <c r="BN53" i="10"/>
  <c r="BN115" i="10"/>
  <c r="BP54" i="10"/>
  <c r="BN57" i="10"/>
  <c r="AP70" i="10"/>
  <c r="AX53" i="10"/>
  <c r="AP116" i="10"/>
  <c r="BN75" i="10"/>
  <c r="AP73" i="10"/>
  <c r="AN73" i="10"/>
  <c r="AY56" i="10"/>
  <c r="AV56" i="10"/>
  <c r="AX56" i="10"/>
  <c r="AW56" i="10"/>
  <c r="BN92" i="10"/>
  <c r="BN76" i="10"/>
  <c r="AP76" i="10"/>
  <c r="BR111" i="9"/>
  <c r="BK111" i="9"/>
  <c r="BL111" i="9" s="1"/>
  <c r="BJ111" i="9"/>
  <c r="AW52" i="9"/>
  <c r="BR100" i="9"/>
  <c r="AX53" i="9"/>
  <c r="BK33" i="9"/>
  <c r="BR53" i="9"/>
  <c r="BR105" i="9"/>
  <c r="BK105" i="9"/>
  <c r="BL105" i="9" s="1"/>
  <c r="AX52" i="9"/>
  <c r="AY58" i="9"/>
  <c r="BK53" i="9"/>
  <c r="AN72" i="9"/>
  <c r="BK57" i="9"/>
  <c r="BJ69" i="9"/>
  <c r="AR88" i="9"/>
  <c r="BR110" i="9"/>
  <c r="BJ110" i="9"/>
  <c r="BK110" i="9"/>
  <c r="BR56" i="9"/>
  <c r="BK56" i="9"/>
  <c r="BL56" i="9" s="1"/>
  <c r="BJ56" i="9"/>
  <c r="BK115" i="9"/>
  <c r="BL115" i="9" s="1"/>
  <c r="BR57" i="9"/>
  <c r="AT81" i="9"/>
  <c r="AM81" i="9"/>
  <c r="AP116" i="9" s="1"/>
  <c r="AL81" i="9"/>
  <c r="AM74" i="9"/>
  <c r="AT74" i="9"/>
  <c r="BR74" i="9"/>
  <c r="BJ74" i="9"/>
  <c r="BK74" i="9"/>
  <c r="BL74" i="9" s="1"/>
  <c r="AX62" i="9"/>
  <c r="AT80" i="9"/>
  <c r="AM80" i="9"/>
  <c r="AY60" i="9" s="1"/>
  <c r="AL80" i="9"/>
  <c r="BT54" i="9"/>
  <c r="AR87" i="9"/>
  <c r="BK36" i="9"/>
  <c r="BK34" i="9"/>
  <c r="AM41" i="9"/>
  <c r="F24" i="6" s="1"/>
  <c r="AR57" i="9"/>
  <c r="AR59" i="9"/>
  <c r="AN108" i="9"/>
  <c r="AR55" i="9"/>
  <c r="BJ57" i="9"/>
  <c r="AV62" i="9"/>
  <c r="AR56" i="9"/>
  <c r="BW54" i="9"/>
  <c r="AV53" i="9"/>
  <c r="AR52" i="9"/>
  <c r="AR53" i="9"/>
  <c r="AY62" i="9"/>
  <c r="AN82" i="9"/>
  <c r="AR86" i="9"/>
  <c r="AR58" i="9"/>
  <c r="BR76" i="9"/>
  <c r="BK76" i="9"/>
  <c r="BJ76" i="9"/>
  <c r="BR104" i="9"/>
  <c r="BK104" i="9"/>
  <c r="BN88" i="9" s="1"/>
  <c r="BJ104" i="9"/>
  <c r="BK112" i="9"/>
  <c r="BJ112" i="9"/>
  <c r="BR112" i="9"/>
  <c r="BR108" i="9"/>
  <c r="BK108" i="9"/>
  <c r="BJ108" i="9"/>
  <c r="BJ72" i="9"/>
  <c r="BR72" i="9"/>
  <c r="BK72" i="9"/>
  <c r="BU52" i="9" s="1"/>
  <c r="BL99" i="9"/>
  <c r="BL87" i="9"/>
  <c r="AN77" i="9"/>
  <c r="AV54" i="9"/>
  <c r="AW54" i="9"/>
  <c r="AX54" i="9"/>
  <c r="AY54" i="9"/>
  <c r="BL96" i="9"/>
  <c r="BL106" i="9"/>
  <c r="AN64" i="9"/>
  <c r="AY51" i="9"/>
  <c r="AV51" i="9"/>
  <c r="AW51" i="9"/>
  <c r="AX51" i="9"/>
  <c r="BL65" i="9"/>
  <c r="BL101" i="9"/>
  <c r="BL73" i="9"/>
  <c r="BU51" i="9"/>
  <c r="BV51" i="9"/>
  <c r="BL64" i="9"/>
  <c r="BW51" i="9"/>
  <c r="BT51" i="9"/>
  <c r="BL91" i="9"/>
  <c r="BL102" i="9"/>
  <c r="BL103" i="9"/>
  <c r="BL69" i="9"/>
  <c r="BL100" i="9"/>
  <c r="BL97" i="9"/>
  <c r="BL98" i="9"/>
  <c r="AR60" i="9"/>
  <c r="AV55" i="9"/>
  <c r="AN60" i="9"/>
  <c r="AW55" i="9"/>
  <c r="AY55" i="9"/>
  <c r="AX55" i="9"/>
  <c r="BL93" i="9"/>
  <c r="BL58" i="9"/>
  <c r="BL88" i="9"/>
  <c r="BW59" i="9"/>
  <c r="BV59" i="9"/>
  <c r="BU59" i="9"/>
  <c r="BT59" i="9"/>
  <c r="BL78" i="9"/>
  <c r="BL107" i="9"/>
  <c r="CG8" i="9" l="1"/>
  <c r="AP70" i="9"/>
  <c r="AP112" i="9"/>
  <c r="CC134" i="4"/>
  <c r="CB134" i="4"/>
  <c r="CD134" i="4"/>
  <c r="BY134" i="4"/>
  <c r="BZ134" i="4"/>
  <c r="CA134" i="4" s="1"/>
  <c r="BX135" i="4"/>
  <c r="BW56" i="9"/>
  <c r="AP79" i="9"/>
  <c r="BP53" i="9"/>
  <c r="BT56" i="9"/>
  <c r="CF8" i="9"/>
  <c r="BU56" i="9"/>
  <c r="BK42" i="9"/>
  <c r="CE8" i="9"/>
  <c r="BV56" i="9"/>
  <c r="BP88" i="9"/>
  <c r="AN41" i="9"/>
  <c r="D24" i="6" s="1"/>
  <c r="BL41" i="9"/>
  <c r="D28" i="6" s="1"/>
  <c r="AO28" i="9"/>
  <c r="C6" i="6"/>
  <c r="E35" i="6"/>
  <c r="F35" i="6"/>
  <c r="D6" i="6"/>
  <c r="AS59" i="10"/>
  <c r="AP68" i="9"/>
  <c r="AP57" i="9"/>
  <c r="AP113" i="9"/>
  <c r="C7" i="6"/>
  <c r="AP93" i="9"/>
  <c r="BN57" i="9"/>
  <c r="BL57" i="9"/>
  <c r="AM28" i="9"/>
  <c r="BN103" i="9"/>
  <c r="BN106" i="9"/>
  <c r="AP95" i="9"/>
  <c r="AP54" i="9"/>
  <c r="D7" i="6"/>
  <c r="BK41" i="9"/>
  <c r="F28" i="6" s="1"/>
  <c r="D11" i="6" s="1"/>
  <c r="AN40" i="9"/>
  <c r="C24" i="6" s="1"/>
  <c r="BL40" i="9"/>
  <c r="C28" i="6" s="1"/>
  <c r="BP57" i="9"/>
  <c r="BN100" i="9"/>
  <c r="BN87" i="9"/>
  <c r="BN99" i="9"/>
  <c r="BP59" i="9"/>
  <c r="BP58" i="9"/>
  <c r="BP51" i="9"/>
  <c r="BP54" i="9"/>
  <c r="BP52" i="9"/>
  <c r="BP86" i="9"/>
  <c r="BP55" i="9"/>
  <c r="BT58" i="9"/>
  <c r="BL53" i="9"/>
  <c r="BN96" i="9"/>
  <c r="BP87" i="9"/>
  <c r="BW53" i="9"/>
  <c r="BK40" i="9"/>
  <c r="E28" i="6" s="1"/>
  <c r="C11" i="6" s="1"/>
  <c r="AQ51" i="10"/>
  <c r="BO78" i="10"/>
  <c r="AS55" i="10"/>
  <c r="BQ60" i="10"/>
  <c r="BO115" i="10"/>
  <c r="BO52" i="10"/>
  <c r="BO101" i="10"/>
  <c r="AQ78" i="10"/>
  <c r="AQ66" i="10"/>
  <c r="AQ74" i="10"/>
  <c r="BO111" i="10"/>
  <c r="BO79" i="10"/>
  <c r="BQ52" i="10"/>
  <c r="AQ72" i="10"/>
  <c r="BO91" i="10"/>
  <c r="BO103" i="10"/>
  <c r="AQ81" i="10"/>
  <c r="BO74" i="10"/>
  <c r="AQ76" i="10"/>
  <c r="BO53" i="10"/>
  <c r="AQ65" i="10"/>
  <c r="AQ106" i="10"/>
  <c r="AQ107" i="10"/>
  <c r="AQ115" i="10"/>
  <c r="AQ99" i="10"/>
  <c r="AQ64" i="10"/>
  <c r="AS56" i="10"/>
  <c r="AQ67" i="10"/>
  <c r="AQ71" i="10"/>
  <c r="BO80" i="10"/>
  <c r="BQ58" i="10"/>
  <c r="AQ58" i="10"/>
  <c r="BO67" i="10"/>
  <c r="BQ86" i="10"/>
  <c r="BQ59" i="10"/>
  <c r="AQ55" i="10"/>
  <c r="BO56" i="10"/>
  <c r="BO88" i="10"/>
  <c r="BO102" i="10"/>
  <c r="BO75" i="10"/>
  <c r="BO72" i="10"/>
  <c r="BQ51" i="10"/>
  <c r="BO92" i="10"/>
  <c r="AQ116" i="10"/>
  <c r="BQ54" i="10"/>
  <c r="BQ53" i="10"/>
  <c r="BO95" i="10"/>
  <c r="AQ104" i="10"/>
  <c r="BO70" i="10"/>
  <c r="BO104" i="10"/>
  <c r="AQ117" i="10"/>
  <c r="BO58" i="10"/>
  <c r="BO66" i="10"/>
  <c r="BQ88" i="10"/>
  <c r="AQ80" i="10"/>
  <c r="AQ112" i="10"/>
  <c r="BO71" i="10"/>
  <c r="BO59" i="10"/>
  <c r="AQ100" i="10"/>
  <c r="AQ68" i="10"/>
  <c r="BO94" i="10"/>
  <c r="BO100" i="10"/>
  <c r="AQ60" i="10"/>
  <c r="AQ53" i="10"/>
  <c r="AQ52" i="10"/>
  <c r="AQ77" i="10"/>
  <c r="AS51" i="10"/>
  <c r="AQ88" i="10"/>
  <c r="BO109" i="10"/>
  <c r="BO73" i="10"/>
  <c r="AQ96" i="10"/>
  <c r="BQ57" i="10"/>
  <c r="AS88" i="10"/>
  <c r="BO64" i="10"/>
  <c r="AQ111" i="10"/>
  <c r="BO105" i="10"/>
  <c r="BO65" i="10"/>
  <c r="BO55" i="10"/>
  <c r="AQ93" i="10"/>
  <c r="AQ109" i="10"/>
  <c r="AQ82" i="10"/>
  <c r="BO68" i="10"/>
  <c r="BO54" i="10"/>
  <c r="AQ86" i="10"/>
  <c r="AQ57" i="10"/>
  <c r="AS54" i="10"/>
  <c r="AS87" i="10"/>
  <c r="BO112" i="10"/>
  <c r="AS58" i="10"/>
  <c r="AQ54" i="10"/>
  <c r="BO83" i="10"/>
  <c r="BO98" i="10"/>
  <c r="AQ98" i="10"/>
  <c r="AQ73" i="10"/>
  <c r="AQ70" i="10"/>
  <c r="BO110" i="10"/>
  <c r="BO106" i="10"/>
  <c r="BO51" i="10"/>
  <c r="AQ95" i="10"/>
  <c r="BO96" i="10"/>
  <c r="BO97" i="10"/>
  <c r="BO69" i="10"/>
  <c r="AQ102" i="10"/>
  <c r="BO93" i="10"/>
  <c r="AQ108" i="10"/>
  <c r="BO116" i="10"/>
  <c r="BO81" i="10"/>
  <c r="BO113" i="10"/>
  <c r="BO107" i="10"/>
  <c r="AS53" i="10"/>
  <c r="AQ91" i="10"/>
  <c r="BO76" i="10"/>
  <c r="BO57" i="10"/>
  <c r="AQ113" i="10"/>
  <c r="AQ59" i="10"/>
  <c r="BQ56" i="10"/>
  <c r="AQ69" i="10"/>
  <c r="AQ75" i="10"/>
  <c r="BO114" i="10"/>
  <c r="AQ94" i="10"/>
  <c r="BQ55" i="10"/>
  <c r="AS52" i="10"/>
  <c r="AQ110" i="10"/>
  <c r="AQ83" i="10"/>
  <c r="AQ114" i="10"/>
  <c r="AQ87" i="10"/>
  <c r="BO82" i="10"/>
  <c r="AS86" i="10"/>
  <c r="BQ87" i="10"/>
  <c r="BO108" i="10"/>
  <c r="AQ101" i="10"/>
  <c r="AQ92" i="10"/>
  <c r="AS60" i="10"/>
  <c r="BO77" i="10"/>
  <c r="BO99" i="10"/>
  <c r="AS57" i="10"/>
  <c r="AQ105" i="10"/>
  <c r="AQ56" i="10"/>
  <c r="AQ97" i="10"/>
  <c r="BO117" i="10"/>
  <c r="BO87" i="10"/>
  <c r="AQ103" i="10"/>
  <c r="BO86" i="10"/>
  <c r="BO60" i="10"/>
  <c r="AQ79" i="10"/>
  <c r="BN116" i="9"/>
  <c r="BN67" i="9"/>
  <c r="BN71" i="9"/>
  <c r="AP88" i="9"/>
  <c r="AP114" i="9"/>
  <c r="AP75" i="9"/>
  <c r="BN107" i="9"/>
  <c r="BN58" i="9"/>
  <c r="BN53" i="9"/>
  <c r="AP60" i="9"/>
  <c r="BN102" i="9"/>
  <c r="BN101" i="9"/>
  <c r="AS58" i="9"/>
  <c r="AP106" i="9"/>
  <c r="AP96" i="9"/>
  <c r="AP110" i="9"/>
  <c r="AP67" i="9"/>
  <c r="AP81" i="9"/>
  <c r="BN66" i="9"/>
  <c r="AP71" i="9"/>
  <c r="AP94" i="9"/>
  <c r="BN60" i="9"/>
  <c r="AW60" i="9"/>
  <c r="AP28" i="9"/>
  <c r="AP76" i="9"/>
  <c r="BN75" i="9"/>
  <c r="AP51" i="9"/>
  <c r="AP73" i="9"/>
  <c r="AS53" i="9"/>
  <c r="AS88" i="9"/>
  <c r="BN115" i="9"/>
  <c r="BN93" i="9"/>
  <c r="BN98" i="9"/>
  <c r="BN91" i="9"/>
  <c r="BN73" i="9"/>
  <c r="BN65" i="9"/>
  <c r="AP64" i="9"/>
  <c r="CD8" i="9"/>
  <c r="AP52" i="9"/>
  <c r="AP78" i="9"/>
  <c r="BP56" i="9"/>
  <c r="AP66" i="9"/>
  <c r="AP107" i="9"/>
  <c r="BN79" i="9"/>
  <c r="BN70" i="9"/>
  <c r="AP117" i="9"/>
  <c r="AP98" i="9"/>
  <c r="AS55" i="9"/>
  <c r="AP72" i="9"/>
  <c r="AS57" i="9"/>
  <c r="AP111" i="9"/>
  <c r="AS87" i="9"/>
  <c r="AP58" i="9"/>
  <c r="AP86" i="9"/>
  <c r="BN56" i="9"/>
  <c r="AW56" i="9"/>
  <c r="AX56" i="9"/>
  <c r="AP109" i="9"/>
  <c r="AP82" i="9"/>
  <c r="AP105" i="9"/>
  <c r="AP104" i="9"/>
  <c r="AY56" i="9"/>
  <c r="AP97" i="9"/>
  <c r="BP60" i="9"/>
  <c r="AP53" i="9"/>
  <c r="AP59" i="9"/>
  <c r="AS86" i="9"/>
  <c r="BN109" i="9"/>
  <c r="BW61" i="9"/>
  <c r="BV61" i="9"/>
  <c r="BU61" i="9"/>
  <c r="AP83" i="9"/>
  <c r="BN78" i="9"/>
  <c r="BN64" i="9"/>
  <c r="BN83" i="9"/>
  <c r="AP91" i="9"/>
  <c r="BN77" i="9"/>
  <c r="AP108" i="9"/>
  <c r="AP100" i="9"/>
  <c r="BN97" i="9"/>
  <c r="BN69" i="9"/>
  <c r="AP77" i="9"/>
  <c r="AP101" i="9"/>
  <c r="AP103" i="9"/>
  <c r="AP87" i="9"/>
  <c r="AS56" i="9"/>
  <c r="AP92" i="9"/>
  <c r="AP69" i="9"/>
  <c r="AP65" i="9"/>
  <c r="BN95" i="9"/>
  <c r="AN28" i="9"/>
  <c r="AP56" i="9"/>
  <c r="AP115" i="9"/>
  <c r="AP99" i="9"/>
  <c r="AP55" i="9"/>
  <c r="AP102" i="9"/>
  <c r="AX60" i="9"/>
  <c r="AN74" i="9"/>
  <c r="AV56" i="9"/>
  <c r="AP74" i="9"/>
  <c r="AN80" i="9"/>
  <c r="AV60" i="9"/>
  <c r="AP80" i="9"/>
  <c r="BT61" i="9"/>
  <c r="BL110" i="9"/>
  <c r="BT52" i="9"/>
  <c r="BN110" i="9"/>
  <c r="AN81" i="9"/>
  <c r="AW61" i="9"/>
  <c r="AX61" i="9"/>
  <c r="AY61" i="9"/>
  <c r="AV61" i="9"/>
  <c r="BM28" i="9"/>
  <c r="AS59" i="9"/>
  <c r="AS60" i="9"/>
  <c r="BW58" i="9"/>
  <c r="BV58" i="9"/>
  <c r="BU58" i="9"/>
  <c r="BN111" i="9"/>
  <c r="BN117" i="9"/>
  <c r="BN82" i="9"/>
  <c r="BN81" i="9"/>
  <c r="BN94" i="9"/>
  <c r="BN105" i="9"/>
  <c r="BN51" i="9"/>
  <c r="BN113" i="9"/>
  <c r="BN54" i="9"/>
  <c r="BV53" i="9"/>
  <c r="AS51" i="9"/>
  <c r="AS54" i="9"/>
  <c r="AS52" i="9"/>
  <c r="BK28" i="9"/>
  <c r="BV52" i="9"/>
  <c r="BN114" i="9"/>
  <c r="BW52" i="9"/>
  <c r="BU62" i="9"/>
  <c r="BW62" i="9"/>
  <c r="BV62" i="9"/>
  <c r="BN80" i="9"/>
  <c r="BU53" i="9"/>
  <c r="BN74" i="9"/>
  <c r="BN59" i="9"/>
  <c r="BN68" i="9"/>
  <c r="BN86" i="9"/>
  <c r="BN52" i="9"/>
  <c r="BN55" i="9"/>
  <c r="BN92" i="9"/>
  <c r="BL28" i="9"/>
  <c r="BN28" i="9"/>
  <c r="BL72" i="9"/>
  <c r="BN72" i="9"/>
  <c r="BN104" i="9"/>
  <c r="BL104" i="9"/>
  <c r="BN76" i="9"/>
  <c r="BL76" i="9"/>
  <c r="BL108" i="9"/>
  <c r="BN108" i="9"/>
  <c r="BL112" i="9"/>
  <c r="BN112" i="9"/>
  <c r="BT62" i="9"/>
  <c r="BT53" i="9"/>
  <c r="AQ83" i="9" l="1"/>
  <c r="AQ88" i="9"/>
  <c r="AQ93" i="9"/>
  <c r="BZ135" i="4"/>
  <c r="CA135" i="4" s="1"/>
  <c r="CD135" i="4"/>
  <c r="BX138" i="4"/>
  <c r="CB135" i="4"/>
  <c r="CC135" i="4" s="1"/>
  <c r="BY135" i="4"/>
  <c r="BQ55" i="9"/>
  <c r="D36" i="6"/>
  <c r="AQ114" i="9"/>
  <c r="AQ74" i="9"/>
  <c r="AQ91" i="9"/>
  <c r="AQ81" i="9"/>
  <c r="AQ113" i="9"/>
  <c r="AQ56" i="9"/>
  <c r="AQ103" i="9"/>
  <c r="BQ58" i="9"/>
  <c r="AQ58" i="9"/>
  <c r="AQ87" i="9"/>
  <c r="AQ55" i="9"/>
  <c r="AQ92" i="9"/>
  <c r="AQ99" i="9"/>
  <c r="AQ66" i="9"/>
  <c r="AQ60" i="9"/>
  <c r="AQ69" i="9"/>
  <c r="BQ86" i="9"/>
  <c r="AQ82" i="9"/>
  <c r="AQ95" i="9"/>
  <c r="F36" i="6"/>
  <c r="AQ75" i="9"/>
  <c r="AQ59" i="9"/>
  <c r="AQ65" i="9"/>
  <c r="AQ53" i="9"/>
  <c r="AQ64" i="9"/>
  <c r="C36" i="6"/>
  <c r="E36" i="6"/>
  <c r="AQ86" i="9"/>
  <c r="AQ96" i="9"/>
  <c r="AQ70" i="9"/>
  <c r="AQ104" i="9"/>
  <c r="AQ52" i="9"/>
  <c r="AQ101" i="9"/>
  <c r="BQ56" i="9"/>
  <c r="BQ54" i="9"/>
  <c r="AQ76" i="9"/>
  <c r="AQ106" i="9"/>
  <c r="BO104" i="9"/>
  <c r="BO53" i="9"/>
  <c r="AQ107" i="9"/>
  <c r="AQ68" i="9"/>
  <c r="BQ57" i="9"/>
  <c r="BO83" i="9"/>
  <c r="BQ88" i="9"/>
  <c r="BQ51" i="9"/>
  <c r="AQ67" i="9"/>
  <c r="AQ105" i="9"/>
  <c r="AQ116" i="9"/>
  <c r="AQ108" i="9"/>
  <c r="AQ57" i="9"/>
  <c r="AQ78" i="9"/>
  <c r="BQ87" i="9"/>
  <c r="AQ102" i="9"/>
  <c r="AQ109" i="9"/>
  <c r="AQ117" i="9"/>
  <c r="AQ80" i="9"/>
  <c r="AQ72" i="9"/>
  <c r="AQ100" i="9"/>
  <c r="AQ97" i="9"/>
  <c r="AQ73" i="9"/>
  <c r="AQ71" i="9"/>
  <c r="AQ79" i="9"/>
  <c r="AQ77" i="9"/>
  <c r="AQ115" i="9"/>
  <c r="AQ111" i="9"/>
  <c r="AQ112" i="9"/>
  <c r="AQ51" i="9"/>
  <c r="BQ60" i="9"/>
  <c r="AQ54" i="9"/>
  <c r="BQ53" i="9"/>
  <c r="BQ59" i="9"/>
  <c r="BQ52" i="9"/>
  <c r="AQ98" i="9"/>
  <c r="AQ94" i="9"/>
  <c r="AQ110" i="9"/>
  <c r="BO82" i="9"/>
  <c r="BO57" i="9"/>
  <c r="BO112" i="9"/>
  <c r="BO68" i="9"/>
  <c r="BO105" i="9"/>
  <c r="BO107" i="9"/>
  <c r="BO96" i="9"/>
  <c r="BO58" i="9"/>
  <c r="BO77" i="9"/>
  <c r="BO76" i="9"/>
  <c r="BO55" i="9"/>
  <c r="BO59" i="9"/>
  <c r="BO80" i="9"/>
  <c r="BO106" i="9"/>
  <c r="BO65" i="9"/>
  <c r="BO78" i="9"/>
  <c r="BO88" i="9"/>
  <c r="BO98" i="9"/>
  <c r="BO101" i="9"/>
  <c r="BO54" i="9"/>
  <c r="BO94" i="9"/>
  <c r="BO117" i="9"/>
  <c r="BO102" i="9"/>
  <c r="BO66" i="9"/>
  <c r="BO64" i="9"/>
  <c r="BO67" i="9"/>
  <c r="BO86" i="9"/>
  <c r="BO100" i="9"/>
  <c r="BO110" i="9"/>
  <c r="BO79" i="9"/>
  <c r="BO51" i="9"/>
  <c r="BO60" i="9"/>
  <c r="BO71" i="9"/>
  <c r="BO87" i="9"/>
  <c r="BO73" i="9"/>
  <c r="BO70" i="9"/>
  <c r="BO72" i="9"/>
  <c r="BO92" i="9"/>
  <c r="BO69" i="9"/>
  <c r="BO75" i="9"/>
  <c r="BO108" i="9"/>
  <c r="BO52" i="9"/>
  <c r="BO74" i="9"/>
  <c r="BO114" i="9"/>
  <c r="BO115" i="9"/>
  <c r="BO95" i="9"/>
  <c r="BO91" i="9"/>
  <c r="BO103" i="9"/>
  <c r="BO113" i="9"/>
  <c r="BO81" i="9"/>
  <c r="BO111" i="9"/>
  <c r="BO99" i="9"/>
  <c r="BO97" i="9"/>
  <c r="BO116" i="9"/>
  <c r="BO93" i="9"/>
  <c r="BO56" i="9"/>
  <c r="BO109" i="9"/>
  <c r="CD138" i="4" l="1"/>
  <c r="CB138" i="4"/>
  <c r="CC138" i="4" s="1"/>
  <c r="BX141" i="4"/>
  <c r="BY138" i="4"/>
  <c r="BZ138" i="4"/>
  <c r="CA138" i="4" s="1"/>
  <c r="CP57" i="7"/>
  <c r="AH169" i="7"/>
  <c r="AH158" i="7"/>
  <c r="AH52" i="7" s="1"/>
  <c r="AH151" i="7"/>
  <c r="AH51" i="7" s="1"/>
  <c r="CD51" i="7" s="1"/>
  <c r="CK117" i="7"/>
  <c r="CF117" i="7"/>
  <c r="CD117" i="7"/>
  <c r="CE117" i="7" s="1"/>
  <c r="BM117" i="7"/>
  <c r="AO117" i="7"/>
  <c r="CK116" i="7"/>
  <c r="CF116" i="7"/>
  <c r="CD116" i="7"/>
  <c r="BM116" i="7"/>
  <c r="AO116" i="7"/>
  <c r="CK115" i="7"/>
  <c r="CF115" i="7"/>
  <c r="CD115" i="7"/>
  <c r="CE115" i="7" s="1"/>
  <c r="BM115" i="7"/>
  <c r="AO115" i="7"/>
  <c r="CK114" i="7"/>
  <c r="CF114" i="7"/>
  <c r="CD114" i="7"/>
  <c r="BM114" i="7"/>
  <c r="AO114" i="7"/>
  <c r="CK113" i="7"/>
  <c r="CF113" i="7"/>
  <c r="CD113" i="7"/>
  <c r="CE113" i="7" s="1"/>
  <c r="BM113" i="7"/>
  <c r="AO113" i="7"/>
  <c r="CK112" i="7"/>
  <c r="CF112" i="7"/>
  <c r="CD112" i="7"/>
  <c r="BM112" i="7"/>
  <c r="AO112" i="7"/>
  <c r="CK111" i="7"/>
  <c r="CF111" i="7"/>
  <c r="CD111" i="7"/>
  <c r="CE111" i="7" s="1"/>
  <c r="BM111" i="7"/>
  <c r="AO111" i="7"/>
  <c r="CK110" i="7"/>
  <c r="CF110" i="7"/>
  <c r="CD110" i="7"/>
  <c r="BM110" i="7"/>
  <c r="AO110" i="7"/>
  <c r="CK109" i="7"/>
  <c r="CF109" i="7"/>
  <c r="CD109" i="7"/>
  <c r="BM109" i="7"/>
  <c r="AO109" i="7"/>
  <c r="CK108" i="7"/>
  <c r="CF108" i="7"/>
  <c r="CD108" i="7"/>
  <c r="BM108" i="7"/>
  <c r="AO108" i="7"/>
  <c r="CK107" i="7"/>
  <c r="CF107" i="7"/>
  <c r="CD107" i="7"/>
  <c r="CE107" i="7" s="1"/>
  <c r="BM107" i="7"/>
  <c r="AO107" i="7"/>
  <c r="CK106" i="7"/>
  <c r="CF106" i="7"/>
  <c r="CD106" i="7"/>
  <c r="CE106" i="7" s="1"/>
  <c r="BM106" i="7"/>
  <c r="AO106" i="7"/>
  <c r="CK105" i="7"/>
  <c r="CF105" i="7"/>
  <c r="CD105" i="7"/>
  <c r="BM105" i="7"/>
  <c r="AO105" i="7"/>
  <c r="AE105" i="7"/>
  <c r="CK104" i="7"/>
  <c r="CF104" i="7"/>
  <c r="CD104" i="7"/>
  <c r="CE104" i="7" s="1"/>
  <c r="BM104" i="7"/>
  <c r="AO104" i="7"/>
  <c r="AE104" i="7"/>
  <c r="AF104" i="7" s="1"/>
  <c r="CK103" i="7"/>
  <c r="CF103" i="7"/>
  <c r="CD103" i="7"/>
  <c r="CE103" i="7" s="1"/>
  <c r="BM103" i="7"/>
  <c r="AO103" i="7"/>
  <c r="CK102" i="7"/>
  <c r="CF102" i="7"/>
  <c r="CD102" i="7"/>
  <c r="CE102" i="7" s="1"/>
  <c r="BM102" i="7"/>
  <c r="AO102" i="7"/>
  <c r="AE102" i="7"/>
  <c r="CK101" i="7"/>
  <c r="CF101" i="7"/>
  <c r="CD101" i="7"/>
  <c r="CE101" i="7" s="1"/>
  <c r="BM101" i="7"/>
  <c r="AO101" i="7"/>
  <c r="AE101" i="7"/>
  <c r="CK100" i="7"/>
  <c r="CF100" i="7"/>
  <c r="CD100" i="7"/>
  <c r="CE100" i="7" s="1"/>
  <c r="BM100" i="7"/>
  <c r="AO100" i="7"/>
  <c r="CK99" i="7"/>
  <c r="CF99" i="7"/>
  <c r="CD99" i="7"/>
  <c r="CE99" i="7" s="1"/>
  <c r="BM99" i="7"/>
  <c r="AO99" i="7"/>
  <c r="CK98" i="7"/>
  <c r="CF98" i="7"/>
  <c r="CD98" i="7"/>
  <c r="BM98" i="7"/>
  <c r="AO98" i="7"/>
  <c r="CK97" i="7"/>
  <c r="CF97" i="7"/>
  <c r="CD97" i="7"/>
  <c r="CE97" i="7" s="1"/>
  <c r="BM97" i="7"/>
  <c r="AO97" i="7"/>
  <c r="AE97" i="7"/>
  <c r="CK96" i="7"/>
  <c r="CF96" i="7"/>
  <c r="CD96" i="7"/>
  <c r="BM96" i="7"/>
  <c r="AO96" i="7"/>
  <c r="CK95" i="7"/>
  <c r="CF95" i="7"/>
  <c r="CD95" i="7"/>
  <c r="CE95" i="7" s="1"/>
  <c r="BM95" i="7"/>
  <c r="AO95" i="7"/>
  <c r="CK94" i="7"/>
  <c r="CF94" i="7"/>
  <c r="CD94" i="7"/>
  <c r="CE94" i="7" s="1"/>
  <c r="BM94" i="7"/>
  <c r="AO94" i="7"/>
  <c r="CK93" i="7"/>
  <c r="CF93" i="7"/>
  <c r="CD93" i="7"/>
  <c r="BM93" i="7"/>
  <c r="AO93" i="7"/>
  <c r="CK92" i="7"/>
  <c r="CF92" i="7"/>
  <c r="CD92" i="7"/>
  <c r="CE92" i="7" s="1"/>
  <c r="BM92" i="7"/>
  <c r="AO92" i="7"/>
  <c r="CK91" i="7"/>
  <c r="CF91" i="7"/>
  <c r="CD91" i="7"/>
  <c r="CE91" i="7" s="1"/>
  <c r="BM91" i="7"/>
  <c r="AO91" i="7"/>
  <c r="CK88" i="7"/>
  <c r="CF88" i="7"/>
  <c r="CD88" i="7"/>
  <c r="DA59" i="7" s="1"/>
  <c r="DF59" i="7" s="1"/>
  <c r="BM88" i="7"/>
  <c r="AO88" i="7"/>
  <c r="CK87" i="7"/>
  <c r="CF87" i="7"/>
  <c r="CD87" i="7"/>
  <c r="CE87" i="7" s="1"/>
  <c r="BM87" i="7"/>
  <c r="AO87" i="7"/>
  <c r="CK86" i="7"/>
  <c r="CF86" i="7"/>
  <c r="CD86" i="7"/>
  <c r="CE86" i="7" s="1"/>
  <c r="BM86" i="7"/>
  <c r="AO86" i="7"/>
  <c r="CK83" i="7"/>
  <c r="CF83" i="7"/>
  <c r="CD83" i="7"/>
  <c r="CE83" i="7" s="1"/>
  <c r="BM83" i="7"/>
  <c r="AO83" i="7"/>
  <c r="CK82" i="7"/>
  <c r="CF82" i="7"/>
  <c r="CD82" i="7"/>
  <c r="BM82" i="7"/>
  <c r="AO82" i="7"/>
  <c r="CK81" i="7"/>
  <c r="CF81" i="7"/>
  <c r="CD81" i="7"/>
  <c r="BM81" i="7"/>
  <c r="AO81" i="7"/>
  <c r="AE81" i="7"/>
  <c r="CK80" i="7"/>
  <c r="CF80" i="7"/>
  <c r="CD80" i="7"/>
  <c r="BM80" i="7"/>
  <c r="AO80" i="7"/>
  <c r="CK79" i="7"/>
  <c r="CF79" i="7"/>
  <c r="CD79" i="7"/>
  <c r="CE79" i="7" s="1"/>
  <c r="BM79" i="7"/>
  <c r="AO79" i="7"/>
  <c r="CK78" i="7"/>
  <c r="CF78" i="7"/>
  <c r="CD78" i="7"/>
  <c r="CE78" i="7" s="1"/>
  <c r="BM78" i="7"/>
  <c r="AO78" i="7"/>
  <c r="AE78" i="7"/>
  <c r="CK77" i="7"/>
  <c r="CF77" i="7"/>
  <c r="CD77" i="7"/>
  <c r="CW54" i="7" s="1"/>
  <c r="BM77" i="7"/>
  <c r="AO77" i="7"/>
  <c r="CK76" i="7"/>
  <c r="CF76" i="7"/>
  <c r="CD76" i="7"/>
  <c r="BM76" i="7"/>
  <c r="AO76" i="7"/>
  <c r="CK75" i="7"/>
  <c r="CF75" i="7"/>
  <c r="CD75" i="7"/>
  <c r="BM75" i="7"/>
  <c r="AO75" i="7"/>
  <c r="CK74" i="7"/>
  <c r="CF74" i="7"/>
  <c r="CD74" i="7"/>
  <c r="BM74" i="7"/>
  <c r="AO74" i="7"/>
  <c r="CK73" i="7"/>
  <c r="CF73" i="7"/>
  <c r="CD73" i="7"/>
  <c r="CT56" i="7" s="1"/>
  <c r="BM73" i="7"/>
  <c r="AO73" i="7"/>
  <c r="AE73" i="7"/>
  <c r="CK72" i="7"/>
  <c r="CF72" i="7"/>
  <c r="CD72" i="7"/>
  <c r="BM72" i="7"/>
  <c r="AO72" i="7"/>
  <c r="AE72" i="7"/>
  <c r="CK71" i="7"/>
  <c r="CF71" i="7"/>
  <c r="CD71" i="7"/>
  <c r="CE71" i="7" s="1"/>
  <c r="BM71" i="7"/>
  <c r="AO71" i="7"/>
  <c r="CK70" i="7"/>
  <c r="CF70" i="7"/>
  <c r="CD70" i="7"/>
  <c r="CE70" i="7" s="1"/>
  <c r="BM70" i="7"/>
  <c r="AO70" i="7"/>
  <c r="CK69" i="7"/>
  <c r="CF69" i="7"/>
  <c r="CD69" i="7"/>
  <c r="BM69" i="7"/>
  <c r="AO69" i="7"/>
  <c r="CK68" i="7"/>
  <c r="CF68" i="7"/>
  <c r="CD68" i="7"/>
  <c r="BM68" i="7"/>
  <c r="AO68" i="7"/>
  <c r="CK67" i="7"/>
  <c r="CF67" i="7"/>
  <c r="CD67" i="7"/>
  <c r="CE67" i="7" s="1"/>
  <c r="BM67" i="7"/>
  <c r="AO67" i="7"/>
  <c r="CK66" i="7"/>
  <c r="CF66" i="7"/>
  <c r="CD66" i="7"/>
  <c r="BM66" i="7"/>
  <c r="AO66" i="7"/>
  <c r="CK65" i="7"/>
  <c r="CF65" i="7"/>
  <c r="CD65" i="7"/>
  <c r="CP51" i="7" s="1"/>
  <c r="BM65" i="7"/>
  <c r="AO65" i="7"/>
  <c r="AE65" i="7"/>
  <c r="CK64" i="7"/>
  <c r="CF64" i="7"/>
  <c r="CD64" i="7"/>
  <c r="BM64" i="7"/>
  <c r="AO64" i="7"/>
  <c r="CN62" i="7"/>
  <c r="CM62" i="7"/>
  <c r="CN61" i="7"/>
  <c r="CM61" i="7"/>
  <c r="CN60" i="7"/>
  <c r="CM60" i="7"/>
  <c r="CF60" i="7"/>
  <c r="BM60" i="7"/>
  <c r="AO60" i="7"/>
  <c r="AH60" i="7"/>
  <c r="AE60" i="7"/>
  <c r="CN59" i="7"/>
  <c r="CM59" i="7"/>
  <c r="CK59" i="7"/>
  <c r="CF59" i="7"/>
  <c r="CD59" i="7"/>
  <c r="CE59" i="7" s="1"/>
  <c r="BM59" i="7"/>
  <c r="AO59" i="7"/>
  <c r="CN58" i="7"/>
  <c r="CM58" i="7"/>
  <c r="CK58" i="7"/>
  <c r="CF58" i="7"/>
  <c r="CD58" i="7"/>
  <c r="CE58" i="7" s="1"/>
  <c r="BM58" i="7"/>
  <c r="AO58" i="7"/>
  <c r="CU57" i="7"/>
  <c r="DE57" i="7" s="1"/>
  <c r="CN57" i="7"/>
  <c r="CM57" i="7"/>
  <c r="CK57" i="7"/>
  <c r="CF57" i="7"/>
  <c r="CD57" i="7"/>
  <c r="CE57" i="7" s="1"/>
  <c r="BM57" i="7"/>
  <c r="AO57" i="7"/>
  <c r="CN56" i="7"/>
  <c r="CM56" i="7"/>
  <c r="CK56" i="7"/>
  <c r="CF56" i="7"/>
  <c r="CD56" i="7"/>
  <c r="BM56" i="7"/>
  <c r="AO56" i="7"/>
  <c r="AE56" i="7"/>
  <c r="CN55" i="7"/>
  <c r="CM55" i="7"/>
  <c r="CK55" i="7"/>
  <c r="CF55" i="7"/>
  <c r="CD55" i="7"/>
  <c r="BM55" i="7"/>
  <c r="AO55" i="7"/>
  <c r="CP54" i="7"/>
  <c r="CN54" i="7"/>
  <c r="CM54" i="7"/>
  <c r="CK54" i="7"/>
  <c r="CF54" i="7"/>
  <c r="CD54" i="7"/>
  <c r="BM54" i="7"/>
  <c r="AO54" i="7"/>
  <c r="AE54" i="7"/>
  <c r="CN53" i="7"/>
  <c r="CM53" i="7"/>
  <c r="CK53" i="7"/>
  <c r="CF53" i="7"/>
  <c r="CD53" i="7"/>
  <c r="CE53" i="7" s="1"/>
  <c r="BM53" i="7"/>
  <c r="AO53" i="7"/>
  <c r="CN52" i="7"/>
  <c r="CM52" i="7"/>
  <c r="CF52" i="7"/>
  <c r="BM52" i="7"/>
  <c r="AO52" i="7"/>
  <c r="CN51" i="7"/>
  <c r="CM51" i="7"/>
  <c r="CF51" i="7"/>
  <c r="BM51" i="7"/>
  <c r="AO51" i="7"/>
  <c r="E38" i="7"/>
  <c r="E32" i="7"/>
  <c r="E33" i="7" s="1"/>
  <c r="CE16" i="7"/>
  <c r="CD16" i="7"/>
  <c r="CE15" i="7"/>
  <c r="CD15" i="7"/>
  <c r="CE14" i="7"/>
  <c r="CD14" i="7"/>
  <c r="CE13" i="7"/>
  <c r="CD13" i="7"/>
  <c r="CD141" i="4" l="1"/>
  <c r="BY141" i="4"/>
  <c r="BZ141" i="4"/>
  <c r="CA141" i="4" s="1"/>
  <c r="CB141" i="4"/>
  <c r="CC141" i="4" s="1"/>
  <c r="BX142" i="4"/>
  <c r="CQ61" i="7"/>
  <c r="CW52" i="7"/>
  <c r="CW58" i="7"/>
  <c r="DB51" i="7"/>
  <c r="CX61" i="7"/>
  <c r="DC51" i="7"/>
  <c r="CW53" i="7"/>
  <c r="CT60" i="7"/>
  <c r="CX51" i="7"/>
  <c r="CY60" i="7"/>
  <c r="CR61" i="7"/>
  <c r="CE75" i="7"/>
  <c r="CU51" i="7"/>
  <c r="CS59" i="7"/>
  <c r="CV61" i="7"/>
  <c r="CT62" i="7"/>
  <c r="CE64" i="7"/>
  <c r="CY56" i="7"/>
  <c r="CU61" i="7"/>
  <c r="DE61" i="7" s="1"/>
  <c r="CV58" i="7"/>
  <c r="CX52" i="7"/>
  <c r="CQ56" i="7"/>
  <c r="CX62" i="7"/>
  <c r="DB52" i="7"/>
  <c r="CQ52" i="7"/>
  <c r="DC52" i="7"/>
  <c r="CE51" i="7"/>
  <c r="CS52" i="7"/>
  <c r="CE65" i="7"/>
  <c r="CW51" i="7"/>
  <c r="CS51" i="7"/>
  <c r="CV51" i="7"/>
  <c r="CR51" i="7"/>
  <c r="CT51" i="7"/>
  <c r="CP58" i="7"/>
  <c r="CD60" i="7"/>
  <c r="CS55" i="7" s="1"/>
  <c r="CK60" i="7"/>
  <c r="AE64" i="7"/>
  <c r="AF64" i="7" s="1"/>
  <c r="DC59" i="7"/>
  <c r="CR59" i="7"/>
  <c r="DB59" i="7"/>
  <c r="CP59" i="7"/>
  <c r="AE106" i="7"/>
  <c r="AF106" i="7" s="1"/>
  <c r="CV62" i="7"/>
  <c r="CP62" i="7"/>
  <c r="E40" i="7"/>
  <c r="E41" i="7"/>
  <c r="BI50" i="7" s="1"/>
  <c r="CV53" i="7"/>
  <c r="CU53" i="7"/>
  <c r="CE108" i="7"/>
  <c r="CY53" i="7"/>
  <c r="AE51" i="7"/>
  <c r="CQ51" i="7"/>
  <c r="CY51" i="7"/>
  <c r="AE93" i="7"/>
  <c r="AF93" i="7" s="1"/>
  <c r="AE108" i="7"/>
  <c r="AF108" i="7" s="1"/>
  <c r="AF65" i="7"/>
  <c r="AE68" i="7"/>
  <c r="AE80" i="7"/>
  <c r="AF80" i="7" s="1"/>
  <c r="AE107" i="7"/>
  <c r="AF107" i="7" s="1"/>
  <c r="CZ51" i="7"/>
  <c r="DE51" i="7" s="1"/>
  <c r="DD51" i="7"/>
  <c r="CU56" i="7"/>
  <c r="DE56" i="7" s="1"/>
  <c r="CT58" i="7"/>
  <c r="CT61" i="7"/>
  <c r="CY61" i="7"/>
  <c r="CR62" i="7"/>
  <c r="CW62" i="7"/>
  <c r="AE66" i="7"/>
  <c r="AF66" i="7" s="1"/>
  <c r="CE96" i="7"/>
  <c r="AE112" i="7"/>
  <c r="AF112" i="7" s="1"/>
  <c r="DA51" i="7"/>
  <c r="AE53" i="7"/>
  <c r="AE57" i="7"/>
  <c r="AF57" i="7" s="1"/>
  <c r="CP61" i="7"/>
  <c r="CS62" i="7"/>
  <c r="AE70" i="7"/>
  <c r="AF70" i="7" s="1"/>
  <c r="AE74" i="7"/>
  <c r="AF74" i="7" s="1"/>
  <c r="AE82" i="7"/>
  <c r="AF82" i="7" s="1"/>
  <c r="AE83" i="7"/>
  <c r="AF83" i="7" s="1"/>
  <c r="AE86" i="7"/>
  <c r="AE87" i="7"/>
  <c r="AE88" i="7"/>
  <c r="AE94" i="7"/>
  <c r="AF97" i="7"/>
  <c r="AE100" i="7"/>
  <c r="AF100" i="7" s="1"/>
  <c r="AE109" i="7"/>
  <c r="AE110" i="7"/>
  <c r="AF110" i="7" s="1"/>
  <c r="AF53" i="7"/>
  <c r="AF105" i="7"/>
  <c r="AE52" i="7"/>
  <c r="AF52" i="7" s="1"/>
  <c r="CK52" i="7"/>
  <c r="BL36" i="7"/>
  <c r="CD52" i="7"/>
  <c r="AN35" i="7"/>
  <c r="BL33" i="7"/>
  <c r="AN32" i="7"/>
  <c r="CE77" i="7"/>
  <c r="CV54" i="7"/>
  <c r="CR54" i="7"/>
  <c r="CY54" i="7"/>
  <c r="CT54" i="7"/>
  <c r="CX54" i="7"/>
  <c r="CS54" i="7"/>
  <c r="BL34" i="7"/>
  <c r="CQ54" i="7"/>
  <c r="AE55" i="7"/>
  <c r="AF55" i="7" s="1"/>
  <c r="AN33" i="7"/>
  <c r="BL35" i="7"/>
  <c r="CU54" i="7"/>
  <c r="DE54" i="7" s="1"/>
  <c r="CE72" i="7"/>
  <c r="AF101" i="7"/>
  <c r="X51" i="7"/>
  <c r="DD52" i="7"/>
  <c r="CZ52" i="7"/>
  <c r="CR52" i="7"/>
  <c r="CK51" i="7"/>
  <c r="CT52" i="7"/>
  <c r="CY52" i="7"/>
  <c r="CE55" i="7"/>
  <c r="AE58" i="7"/>
  <c r="AF58" i="7" s="1"/>
  <c r="CE66" i="7"/>
  <c r="CV52" i="7"/>
  <c r="AE69" i="7"/>
  <c r="AF69" i="7" s="1"/>
  <c r="AF73" i="7"/>
  <c r="CW60" i="7"/>
  <c r="CS60" i="7"/>
  <c r="CE80" i="7"/>
  <c r="CX60" i="7"/>
  <c r="CR60" i="7"/>
  <c r="CV60" i="7"/>
  <c r="CP60" i="7"/>
  <c r="CU60" i="7"/>
  <c r="DE60" i="7" s="1"/>
  <c r="AN34" i="7"/>
  <c r="CP52" i="7"/>
  <c r="CU52" i="7"/>
  <c r="DA52" i="7"/>
  <c r="CE54" i="7"/>
  <c r="AE59" i="7"/>
  <c r="AF59" i="7" s="1"/>
  <c r="CQ60" i="7"/>
  <c r="CE69" i="7"/>
  <c r="AF72" i="7"/>
  <c r="CE74" i="7"/>
  <c r="CX56" i="7"/>
  <c r="CS56" i="7"/>
  <c r="CW56" i="7"/>
  <c r="CP56" i="7"/>
  <c r="AE76" i="7"/>
  <c r="AE77" i="7"/>
  <c r="AF77" i="7" s="1"/>
  <c r="CE105" i="7"/>
  <c r="CY58" i="7"/>
  <c r="CU58" i="7"/>
  <c r="DE58" i="7" s="1"/>
  <c r="CQ58" i="7"/>
  <c r="CX58" i="7"/>
  <c r="CS58" i="7"/>
  <c r="CX53" i="7"/>
  <c r="CE56" i="7"/>
  <c r="CR58" i="7"/>
  <c r="DB55" i="7"/>
  <c r="CE68" i="7"/>
  <c r="CE76" i="7"/>
  <c r="CE88" i="7"/>
  <c r="DD59" i="7"/>
  <c r="CZ59" i="7"/>
  <c r="DE59" i="7" s="1"/>
  <c r="CQ59" i="7"/>
  <c r="CT59" i="7"/>
  <c r="AE67" i="7"/>
  <c r="CV56" i="7"/>
  <c r="CR56" i="7"/>
  <c r="CE73" i="7"/>
  <c r="AE75" i="7"/>
  <c r="CW61" i="7"/>
  <c r="CS61" i="7"/>
  <c r="CE81" i="7"/>
  <c r="AE99" i="7"/>
  <c r="AF99" i="7" s="1"/>
  <c r="AE71" i="7"/>
  <c r="AF71" i="7" s="1"/>
  <c r="AE79" i="7"/>
  <c r="AF79" i="7" s="1"/>
  <c r="CE82" i="7"/>
  <c r="CY62" i="7"/>
  <c r="CU62" i="7"/>
  <c r="DE62" i="7" s="1"/>
  <c r="CQ62" i="7"/>
  <c r="AE91" i="7"/>
  <c r="AE92" i="7"/>
  <c r="AF92" i="7" s="1"/>
  <c r="AE98" i="7"/>
  <c r="AF98" i="7" s="1"/>
  <c r="CE98" i="7"/>
  <c r="CE93" i="7"/>
  <c r="AE103" i="7"/>
  <c r="CE109" i="7"/>
  <c r="AE95" i="7"/>
  <c r="AE96" i="7"/>
  <c r="AF102" i="7"/>
  <c r="AE116" i="7"/>
  <c r="AF116" i="7" s="1"/>
  <c r="AE114" i="7"/>
  <c r="AF114" i="7" s="1"/>
  <c r="CE110" i="7"/>
  <c r="AE111" i="7"/>
  <c r="CE112" i="7"/>
  <c r="AE113" i="7"/>
  <c r="AF113" i="7" s="1"/>
  <c r="CE114" i="7"/>
  <c r="AE115" i="7"/>
  <c r="AF115" i="7" s="1"/>
  <c r="CE116" i="7"/>
  <c r="AE117" i="7"/>
  <c r="AF117" i="7" s="1"/>
  <c r="CD142" i="4" l="1"/>
  <c r="BY142" i="4"/>
  <c r="BX143" i="4"/>
  <c r="BZ142" i="4"/>
  <c r="CA142" i="4" s="1"/>
  <c r="CB142" i="4"/>
  <c r="CC142" i="4" s="1"/>
  <c r="CG97" i="7"/>
  <c r="BE50" i="7"/>
  <c r="CG64" i="7"/>
  <c r="CG87" i="7"/>
  <c r="CG71" i="7"/>
  <c r="BI105" i="7"/>
  <c r="BE105" i="7" s="1"/>
  <c r="BJ105" i="7" s="1"/>
  <c r="BI83" i="7"/>
  <c r="BE83" i="7" s="1"/>
  <c r="BK83" i="7" s="1"/>
  <c r="CR55" i="7"/>
  <c r="CG94" i="7"/>
  <c r="CG72" i="7"/>
  <c r="CI86" i="7"/>
  <c r="DC55" i="7"/>
  <c r="CG69" i="7"/>
  <c r="CG53" i="7"/>
  <c r="CG99" i="7"/>
  <c r="AK110" i="7"/>
  <c r="AJ110" i="7" s="1"/>
  <c r="AM110" i="7" s="1"/>
  <c r="AK74" i="7"/>
  <c r="AJ74" i="7" s="1"/>
  <c r="AL74" i="7" s="1"/>
  <c r="CG101" i="7"/>
  <c r="CG98" i="7"/>
  <c r="CI56" i="7"/>
  <c r="CG92" i="7"/>
  <c r="DF52" i="7"/>
  <c r="CG113" i="7"/>
  <c r="BI64" i="7"/>
  <c r="BE64" i="7" s="1"/>
  <c r="AK57" i="7"/>
  <c r="AJ57" i="7" s="1"/>
  <c r="AL57" i="7" s="1"/>
  <c r="AK97" i="7"/>
  <c r="AJ97" i="7" s="1"/>
  <c r="AL97" i="7" s="1"/>
  <c r="BI106" i="7"/>
  <c r="BE106" i="7" s="1"/>
  <c r="AF96" i="7"/>
  <c r="AK96" i="7" s="1"/>
  <c r="AJ96" i="7" s="1"/>
  <c r="BI104" i="7"/>
  <c r="BE104" i="7" s="1"/>
  <c r="BR104" i="7" s="1"/>
  <c r="BI65" i="7"/>
  <c r="BE65" i="7" s="1"/>
  <c r="BK65" i="7" s="1"/>
  <c r="BI79" i="7"/>
  <c r="BE79" i="7" s="1"/>
  <c r="BK79" i="7" s="1"/>
  <c r="BI82" i="7"/>
  <c r="BE82" i="7" s="1"/>
  <c r="BI93" i="7"/>
  <c r="BE93" i="7" s="1"/>
  <c r="BK93" i="7" s="1"/>
  <c r="AF109" i="7"/>
  <c r="CG116" i="7"/>
  <c r="CG114" i="7"/>
  <c r="CG107" i="7"/>
  <c r="BI112" i="7"/>
  <c r="BE112" i="7" s="1"/>
  <c r="BK112" i="7" s="1"/>
  <c r="CG108" i="7"/>
  <c r="AF95" i="7"/>
  <c r="AK95" i="7" s="1"/>
  <c r="AJ95" i="7" s="1"/>
  <c r="AF103" i="7"/>
  <c r="AK103" i="7" s="1"/>
  <c r="AJ103" i="7" s="1"/>
  <c r="AF91" i="7"/>
  <c r="AK91" i="7" s="1"/>
  <c r="AJ91" i="7" s="1"/>
  <c r="BI110" i="7"/>
  <c r="BE110" i="7" s="1"/>
  <c r="BR110" i="7" s="1"/>
  <c r="BI97" i="7"/>
  <c r="BE97" i="7" s="1"/>
  <c r="AF75" i="7"/>
  <c r="AK75" i="7" s="1"/>
  <c r="AJ75" i="7" s="1"/>
  <c r="AK112" i="7"/>
  <c r="AJ112" i="7" s="1"/>
  <c r="AM112" i="7" s="1"/>
  <c r="BI99" i="7"/>
  <c r="BE99" i="7" s="1"/>
  <c r="CI88" i="7"/>
  <c r="CG78" i="7"/>
  <c r="BI74" i="7"/>
  <c r="BE74" i="7" s="1"/>
  <c r="BJ74" i="7" s="1"/>
  <c r="CG51" i="7"/>
  <c r="AK104" i="7"/>
  <c r="AJ104" i="7" s="1"/>
  <c r="AT104" i="7" s="1"/>
  <c r="AF78" i="7"/>
  <c r="AK78" i="7" s="1"/>
  <c r="AJ78" i="7" s="1"/>
  <c r="CG91" i="7"/>
  <c r="CG59" i="7"/>
  <c r="CG106" i="7"/>
  <c r="CG117" i="7"/>
  <c r="BI101" i="7"/>
  <c r="BE101" i="7" s="1"/>
  <c r="BI100" i="7"/>
  <c r="BE100" i="7" s="1"/>
  <c r="BK100" i="7" s="1"/>
  <c r="BI57" i="7"/>
  <c r="BE57" i="7" s="1"/>
  <c r="BR57" i="7" s="1"/>
  <c r="DF51" i="7"/>
  <c r="AF111" i="7"/>
  <c r="CO62" i="7" s="1"/>
  <c r="BI109" i="7"/>
  <c r="BE109" i="7" s="1"/>
  <c r="BR109" i="7" s="1"/>
  <c r="BI116" i="7"/>
  <c r="BE116" i="7" s="1"/>
  <c r="BK116" i="7" s="1"/>
  <c r="BI92" i="7"/>
  <c r="BE92" i="7" s="1"/>
  <c r="BJ92" i="7" s="1"/>
  <c r="CG68" i="7"/>
  <c r="CG58" i="7"/>
  <c r="CG66" i="7"/>
  <c r="CG56" i="7"/>
  <c r="CG65" i="7"/>
  <c r="BI69" i="7"/>
  <c r="BE69" i="7" s="1"/>
  <c r="BI80" i="7"/>
  <c r="BE80" i="7" s="1"/>
  <c r="AK66" i="7"/>
  <c r="AJ66" i="7" s="1"/>
  <c r="AM66" i="7" s="1"/>
  <c r="CZ55" i="7"/>
  <c r="DE55" i="7" s="1"/>
  <c r="CT55" i="7"/>
  <c r="CE60" i="7"/>
  <c r="CP55" i="7"/>
  <c r="CQ55" i="7"/>
  <c r="DD55" i="7"/>
  <c r="DA55" i="7"/>
  <c r="DF55" i="7" s="1"/>
  <c r="AY57" i="7"/>
  <c r="AW57" i="7"/>
  <c r="AX57" i="7"/>
  <c r="AV57" i="7"/>
  <c r="AK117" i="7"/>
  <c r="AJ117" i="7" s="1"/>
  <c r="AK99" i="7"/>
  <c r="AJ99" i="7" s="1"/>
  <c r="AK102" i="7"/>
  <c r="AJ102" i="7" s="1"/>
  <c r="AK72" i="7"/>
  <c r="AJ72" i="7" s="1"/>
  <c r="AK73" i="7"/>
  <c r="AJ73" i="7" s="1"/>
  <c r="AK58" i="7"/>
  <c r="AJ58" i="7" s="1"/>
  <c r="AK101" i="7"/>
  <c r="AJ101" i="7" s="1"/>
  <c r="AK108" i="7"/>
  <c r="AJ108" i="7" s="1"/>
  <c r="AF81" i="7"/>
  <c r="AK55" i="7"/>
  <c r="AJ55" i="7" s="1"/>
  <c r="AF94" i="7"/>
  <c r="AF54" i="7"/>
  <c r="AK114" i="7"/>
  <c r="AJ114" i="7" s="1"/>
  <c r="BI114" i="7"/>
  <c r="BE114" i="7" s="1"/>
  <c r="AK107" i="7"/>
  <c r="AJ107" i="7" s="1"/>
  <c r="AK92" i="7"/>
  <c r="AJ92" i="7" s="1"/>
  <c r="AF86" i="7"/>
  <c r="BI113" i="7"/>
  <c r="BE113" i="7" s="1"/>
  <c r="AF60" i="7"/>
  <c r="AF68" i="7"/>
  <c r="AK64" i="7"/>
  <c r="AJ64" i="7" s="1"/>
  <c r="AK70" i="7"/>
  <c r="AJ70" i="7" s="1"/>
  <c r="AF87" i="7"/>
  <c r="AK80" i="7"/>
  <c r="AJ80" i="7" s="1"/>
  <c r="DB53" i="7"/>
  <c r="CT53" i="7"/>
  <c r="CP53" i="7"/>
  <c r="CP64" i="7" s="1"/>
  <c r="CI52" i="7"/>
  <c r="CE52" i="7"/>
  <c r="DD53" i="7"/>
  <c r="CS53" i="7"/>
  <c r="DC53" i="7"/>
  <c r="CR53" i="7"/>
  <c r="CI57" i="7"/>
  <c r="CG82" i="7"/>
  <c r="CG55" i="7"/>
  <c r="CQ53" i="7"/>
  <c r="CG115" i="7"/>
  <c r="CG57" i="7"/>
  <c r="CG54" i="7"/>
  <c r="DA53" i="7"/>
  <c r="DF53" i="7" s="1"/>
  <c r="CG52" i="7"/>
  <c r="CZ53" i="7"/>
  <c r="CI51" i="7"/>
  <c r="AK52" i="7"/>
  <c r="AJ52" i="7" s="1"/>
  <c r="BI53" i="7"/>
  <c r="BE53" i="7" s="1"/>
  <c r="BI52" i="7"/>
  <c r="BE52" i="7" s="1"/>
  <c r="AK113" i="7"/>
  <c r="AJ113" i="7" s="1"/>
  <c r="CG86" i="7"/>
  <c r="AK98" i="7"/>
  <c r="AJ98" i="7" s="1"/>
  <c r="AK79" i="7"/>
  <c r="AJ79" i="7" s="1"/>
  <c r="CO60" i="7"/>
  <c r="CG60" i="7"/>
  <c r="CG76" i="7"/>
  <c r="CG105" i="7"/>
  <c r="AK77" i="7"/>
  <c r="AJ77" i="7" s="1"/>
  <c r="CO54" i="7"/>
  <c r="CG74" i="7"/>
  <c r="BI71" i="7"/>
  <c r="BE71" i="7" s="1"/>
  <c r="CI59" i="7"/>
  <c r="CI54" i="7"/>
  <c r="CU64" i="7"/>
  <c r="DE52" i="7"/>
  <c r="CG95" i="7"/>
  <c r="CG80" i="7"/>
  <c r="CG70" i="7"/>
  <c r="CG67" i="7"/>
  <c r="CG73" i="7"/>
  <c r="CG102" i="7"/>
  <c r="CG79" i="7"/>
  <c r="CG103" i="7"/>
  <c r="BI115" i="7"/>
  <c r="BE115" i="7" s="1"/>
  <c r="AK65" i="7"/>
  <c r="AJ65" i="7" s="1"/>
  <c r="AK82" i="7"/>
  <c r="AJ82" i="7" s="1"/>
  <c r="BI77" i="7"/>
  <c r="BE77" i="7" s="1"/>
  <c r="CG77" i="7"/>
  <c r="BT57" i="7"/>
  <c r="AK100" i="7"/>
  <c r="AJ100" i="7" s="1"/>
  <c r="AF88" i="7"/>
  <c r="AK53" i="7"/>
  <c r="AJ53" i="7" s="1"/>
  <c r="AK115" i="7"/>
  <c r="AJ115" i="7" s="1"/>
  <c r="CG112" i="7"/>
  <c r="CG110" i="7"/>
  <c r="AK116" i="7"/>
  <c r="AJ116" i="7" s="1"/>
  <c r="CG100" i="7"/>
  <c r="CG109" i="7"/>
  <c r="CG93" i="7"/>
  <c r="CG104" i="7"/>
  <c r="CG96" i="7"/>
  <c r="AK71" i="7"/>
  <c r="AJ71" i="7" s="1"/>
  <c r="AF67" i="7"/>
  <c r="BI98" i="7"/>
  <c r="BE98" i="7" s="1"/>
  <c r="CG88" i="7"/>
  <c r="CI60" i="7"/>
  <c r="AK93" i="7"/>
  <c r="AJ93" i="7" s="1"/>
  <c r="CI87" i="7"/>
  <c r="AF76" i="7"/>
  <c r="AK59" i="7"/>
  <c r="AJ59" i="7" s="1"/>
  <c r="CI53" i="7"/>
  <c r="AK106" i="7"/>
  <c r="AJ106" i="7" s="1"/>
  <c r="AK83" i="7"/>
  <c r="AJ83" i="7" s="1"/>
  <c r="AK69" i="7"/>
  <c r="AJ69" i="7" s="1"/>
  <c r="BI66" i="7"/>
  <c r="BE66" i="7" s="1"/>
  <c r="BI59" i="7"/>
  <c r="BE59" i="7" s="1"/>
  <c r="CI55" i="7"/>
  <c r="CG75" i="7"/>
  <c r="CG81" i="7"/>
  <c r="CI58" i="7"/>
  <c r="CG83" i="7"/>
  <c r="CG111" i="7"/>
  <c r="BI72" i="7"/>
  <c r="BE72" i="7" s="1"/>
  <c r="AF56" i="7"/>
  <c r="BI70" i="7"/>
  <c r="BE70" i="7" s="1"/>
  <c r="AK105" i="7"/>
  <c r="AJ105" i="7" s="1"/>
  <c r="BI58" i="7"/>
  <c r="BE58" i="7" s="1"/>
  <c r="AF51" i="7"/>
  <c r="E38" i="4"/>
  <c r="CD143" i="4" l="1"/>
  <c r="BY143" i="4"/>
  <c r="BZ143" i="4"/>
  <c r="CA143" i="4" s="1"/>
  <c r="CB143" i="4"/>
  <c r="CC143" i="4" s="1"/>
  <c r="BX144" i="4"/>
  <c r="CJ53" i="7"/>
  <c r="BK57" i="7"/>
  <c r="BR79" i="7"/>
  <c r="CH111" i="7"/>
  <c r="BR74" i="7"/>
  <c r="BI76" i="7"/>
  <c r="BE76" i="7" s="1"/>
  <c r="CO51" i="7"/>
  <c r="BI56" i="7"/>
  <c r="BE56" i="7" s="1"/>
  <c r="AK111" i="7"/>
  <c r="AJ111" i="7" s="1"/>
  <c r="AM111" i="7" s="1"/>
  <c r="BJ79" i="7"/>
  <c r="BR112" i="7"/>
  <c r="BI107" i="7"/>
  <c r="BE107" i="7" s="1"/>
  <c r="BK107" i="7" s="1"/>
  <c r="BL107" i="7" s="1"/>
  <c r="BJ57" i="7"/>
  <c r="BI91" i="7"/>
  <c r="BE91" i="7" s="1"/>
  <c r="BK91" i="7" s="1"/>
  <c r="AM97" i="7"/>
  <c r="AN97" i="7" s="1"/>
  <c r="BI103" i="7"/>
  <c r="BE103" i="7" s="1"/>
  <c r="BJ103" i="7" s="1"/>
  <c r="BR93" i="7"/>
  <c r="BI78" i="7"/>
  <c r="BE78" i="7" s="1"/>
  <c r="BK78" i="7" s="1"/>
  <c r="BL78" i="7" s="1"/>
  <c r="BK74" i="7"/>
  <c r="BL74" i="7" s="1"/>
  <c r="BR83" i="7"/>
  <c r="AL112" i="7"/>
  <c r="BJ112" i="7"/>
  <c r="AT112" i="7"/>
  <c r="AL66" i="7"/>
  <c r="BK92" i="7"/>
  <c r="BL92" i="7" s="1"/>
  <c r="AT110" i="7"/>
  <c r="BR116" i="7"/>
  <c r="BR92" i="7"/>
  <c r="BJ83" i="7"/>
  <c r="AT66" i="7"/>
  <c r="AL110" i="7"/>
  <c r="AT74" i="7"/>
  <c r="BI96" i="7"/>
  <c r="BE96" i="7" s="1"/>
  <c r="BK96" i="7" s="1"/>
  <c r="BK104" i="7"/>
  <c r="BL104" i="7" s="1"/>
  <c r="AT57" i="7"/>
  <c r="BR64" i="7"/>
  <c r="BJ64" i="7"/>
  <c r="CH75" i="7"/>
  <c r="BI102" i="7"/>
  <c r="BE102" i="7" s="1"/>
  <c r="BJ102" i="7" s="1"/>
  <c r="BJ104" i="7"/>
  <c r="AT97" i="7"/>
  <c r="BK110" i="7"/>
  <c r="BR100" i="7"/>
  <c r="BK105" i="7"/>
  <c r="BL105" i="7" s="1"/>
  <c r="AM57" i="7"/>
  <c r="AN57" i="7" s="1"/>
  <c r="AM74" i="7"/>
  <c r="AN74" i="7" s="1"/>
  <c r="AL104" i="7"/>
  <c r="BJ109" i="7"/>
  <c r="BI75" i="7"/>
  <c r="BE75" i="7" s="1"/>
  <c r="BJ75" i="7" s="1"/>
  <c r="BJ110" i="7"/>
  <c r="BK109" i="7"/>
  <c r="BL109" i="7" s="1"/>
  <c r="BJ69" i="7"/>
  <c r="BK69" i="7"/>
  <c r="BL69" i="7" s="1"/>
  <c r="BR69" i="7"/>
  <c r="BK97" i="7"/>
  <c r="BL97" i="7" s="1"/>
  <c r="BR97" i="7"/>
  <c r="BJ97" i="7"/>
  <c r="BJ116" i="7"/>
  <c r="CO58" i="7"/>
  <c r="AM104" i="7"/>
  <c r="AN104" i="7" s="1"/>
  <c r="BJ100" i="7"/>
  <c r="BJ93" i="7"/>
  <c r="BR105" i="7"/>
  <c r="BR65" i="7"/>
  <c r="BI54" i="7"/>
  <c r="BE54" i="7" s="1"/>
  <c r="BR54" i="7" s="1"/>
  <c r="AK109" i="7"/>
  <c r="AJ109" i="7" s="1"/>
  <c r="CJ87" i="7"/>
  <c r="CO57" i="7"/>
  <c r="BK64" i="7"/>
  <c r="BL64" i="7" s="1"/>
  <c r="BJ65" i="7"/>
  <c r="BJ70" i="7"/>
  <c r="BR70" i="7"/>
  <c r="BK70" i="7"/>
  <c r="CH104" i="7"/>
  <c r="CH110" i="7"/>
  <c r="AT100" i="7"/>
  <c r="AL100" i="7"/>
  <c r="AM100" i="7"/>
  <c r="CH80" i="7"/>
  <c r="CJ54" i="7"/>
  <c r="AM77" i="7"/>
  <c r="AT77" i="7"/>
  <c r="AL77" i="7"/>
  <c r="CH52" i="7"/>
  <c r="CJ57" i="7"/>
  <c r="BR101" i="7"/>
  <c r="BK101" i="7"/>
  <c r="BJ101" i="7"/>
  <c r="CH56" i="7"/>
  <c r="CH78" i="7"/>
  <c r="AK60" i="7"/>
  <c r="AJ60" i="7" s="1"/>
  <c r="CO55" i="7"/>
  <c r="CH97" i="7"/>
  <c r="AT114" i="7"/>
  <c r="AL114" i="7"/>
  <c r="AM114" i="7"/>
  <c r="CH114" i="7"/>
  <c r="AK94" i="7"/>
  <c r="AJ94" i="7" s="1"/>
  <c r="AM58" i="7"/>
  <c r="AT58" i="7"/>
  <c r="AL58" i="7"/>
  <c r="CH58" i="7"/>
  <c r="CH68" i="7"/>
  <c r="CH107" i="7"/>
  <c r="AM117" i="7"/>
  <c r="AT117" i="7"/>
  <c r="AL117" i="7"/>
  <c r="AN110" i="7"/>
  <c r="AK56" i="7"/>
  <c r="AJ56" i="7" s="1"/>
  <c r="CJ55" i="7"/>
  <c r="AT83" i="7"/>
  <c r="AL83" i="7"/>
  <c r="AM83" i="7"/>
  <c r="CH100" i="7"/>
  <c r="CH112" i="7"/>
  <c r="AT53" i="7"/>
  <c r="AM53" i="7"/>
  <c r="AL53" i="7"/>
  <c r="AL82" i="7"/>
  <c r="AM82" i="7"/>
  <c r="AT82" i="7"/>
  <c r="BK115" i="7"/>
  <c r="BJ115" i="7"/>
  <c r="BR115" i="7"/>
  <c r="CH73" i="7"/>
  <c r="CH95" i="7"/>
  <c r="CJ59" i="7"/>
  <c r="AL79" i="7"/>
  <c r="AM79" i="7"/>
  <c r="AT79" i="7"/>
  <c r="BR52" i="7"/>
  <c r="BK52" i="7"/>
  <c r="BJ52" i="7"/>
  <c r="AT52" i="7"/>
  <c r="AL52" i="7"/>
  <c r="AM52" i="7"/>
  <c r="BL57" i="7"/>
  <c r="AT107" i="7"/>
  <c r="AM107" i="7"/>
  <c r="AL107" i="7"/>
  <c r="CH116" i="7"/>
  <c r="AT101" i="7"/>
  <c r="AM101" i="7"/>
  <c r="AL101" i="7"/>
  <c r="CH106" i="7"/>
  <c r="CO56" i="7"/>
  <c r="BI81" i="7"/>
  <c r="BE81" i="7" s="1"/>
  <c r="BI94" i="7"/>
  <c r="BE94" i="7" s="1"/>
  <c r="BL112" i="7"/>
  <c r="AL105" i="7"/>
  <c r="AT105" i="7"/>
  <c r="AM105" i="7"/>
  <c r="BR72" i="7"/>
  <c r="BJ72" i="7"/>
  <c r="BK72" i="7"/>
  <c r="CJ58" i="7"/>
  <c r="BK59" i="7"/>
  <c r="BR59" i="7"/>
  <c r="BJ59" i="7"/>
  <c r="AL78" i="7"/>
  <c r="AM78" i="7"/>
  <c r="AT78" i="7"/>
  <c r="AT59" i="7"/>
  <c r="AM59" i="7"/>
  <c r="AL59" i="7"/>
  <c r="CH88" i="7"/>
  <c r="AL116" i="7"/>
  <c r="AT116" i="7"/>
  <c r="AM116" i="7"/>
  <c r="AM115" i="7"/>
  <c r="AT115" i="7"/>
  <c r="AL115" i="7"/>
  <c r="AK88" i="7"/>
  <c r="AJ88" i="7" s="1"/>
  <c r="CO59" i="7"/>
  <c r="CH77" i="7"/>
  <c r="BJ82" i="7"/>
  <c r="BK82" i="7"/>
  <c r="BR82" i="7"/>
  <c r="CH103" i="7"/>
  <c r="CH67" i="7"/>
  <c r="BR71" i="7"/>
  <c r="BK71" i="7"/>
  <c r="BJ71" i="7"/>
  <c r="CH74" i="7"/>
  <c r="CH105" i="7"/>
  <c r="CH86" i="7"/>
  <c r="BI95" i="7"/>
  <c r="BE95" i="7" s="1"/>
  <c r="BI111" i="7"/>
  <c r="BE111" i="7" s="1"/>
  <c r="BR53" i="7"/>
  <c r="BJ53" i="7"/>
  <c r="BK53" i="7"/>
  <c r="CJ51" i="7"/>
  <c r="CH54" i="7"/>
  <c r="CH55" i="7"/>
  <c r="CJ52" i="7"/>
  <c r="AT80" i="7"/>
  <c r="AL80" i="7"/>
  <c r="AM80" i="7"/>
  <c r="BI51" i="7"/>
  <c r="BE51" i="7" s="1"/>
  <c r="CH65" i="7"/>
  <c r="AM64" i="7"/>
  <c r="AT64" i="7"/>
  <c r="AL64" i="7"/>
  <c r="BI73" i="7"/>
  <c r="BE73" i="7" s="1"/>
  <c r="AK68" i="7"/>
  <c r="AJ68" i="7" s="1"/>
  <c r="BI60" i="7"/>
  <c r="BE60" i="7" s="1"/>
  <c r="AK86" i="7"/>
  <c r="AJ86" i="7" s="1"/>
  <c r="AT92" i="7"/>
  <c r="AM92" i="7"/>
  <c r="AL92" i="7"/>
  <c r="BI108" i="7"/>
  <c r="BE108" i="7" s="1"/>
  <c r="AT111" i="7"/>
  <c r="AK54" i="7"/>
  <c r="AJ54" i="7" s="1"/>
  <c r="BI55" i="7"/>
  <c r="BE55" i="7" s="1"/>
  <c r="AT55" i="7"/>
  <c r="AL55" i="7"/>
  <c r="AM55" i="7"/>
  <c r="BL79" i="7"/>
  <c r="CH87" i="7"/>
  <c r="AM73" i="7"/>
  <c r="AL73" i="7"/>
  <c r="AT73" i="7"/>
  <c r="AT72" i="7"/>
  <c r="AM72" i="7"/>
  <c r="AL72" i="7"/>
  <c r="AM102" i="7"/>
  <c r="AL102" i="7"/>
  <c r="AT102" i="7"/>
  <c r="CJ56" i="7"/>
  <c r="BI67" i="7"/>
  <c r="BE67" i="7" s="1"/>
  <c r="BI88" i="7"/>
  <c r="BE88" i="7" s="1"/>
  <c r="CH98" i="7"/>
  <c r="BI117" i="7"/>
  <c r="BE117" i="7" s="1"/>
  <c r="AN66" i="7"/>
  <c r="AN112" i="7"/>
  <c r="BK58" i="7"/>
  <c r="BR58" i="7"/>
  <c r="BJ58" i="7"/>
  <c r="AM69" i="7"/>
  <c r="AT69" i="7"/>
  <c r="AL69" i="7"/>
  <c r="AK67" i="7"/>
  <c r="AJ67" i="7" s="1"/>
  <c r="AL71" i="7"/>
  <c r="AM71" i="7"/>
  <c r="AT71" i="7"/>
  <c r="CH109" i="7"/>
  <c r="CH102" i="7"/>
  <c r="CH60" i="7"/>
  <c r="BL110" i="7"/>
  <c r="AM98" i="7"/>
  <c r="AL98" i="7"/>
  <c r="AT98" i="7"/>
  <c r="AL103" i="7"/>
  <c r="AM103" i="7"/>
  <c r="AT103" i="7"/>
  <c r="AM113" i="7"/>
  <c r="AT113" i="7"/>
  <c r="AL113" i="7"/>
  <c r="CH115" i="7"/>
  <c r="AK87" i="7"/>
  <c r="AJ87" i="7" s="1"/>
  <c r="CH71" i="7"/>
  <c r="CH66" i="7"/>
  <c r="AT108" i="7"/>
  <c r="AM108" i="7"/>
  <c r="AL108" i="7"/>
  <c r="CH72" i="7"/>
  <c r="CH99" i="7"/>
  <c r="CH91" i="7"/>
  <c r="BL83" i="7"/>
  <c r="CH108" i="7"/>
  <c r="CH83" i="7"/>
  <c r="CJ60" i="7"/>
  <c r="CH93" i="7"/>
  <c r="BR80" i="7"/>
  <c r="BJ80" i="7"/>
  <c r="BK80" i="7"/>
  <c r="BL100" i="7"/>
  <c r="CH94" i="7"/>
  <c r="BK113" i="7"/>
  <c r="BJ113" i="7"/>
  <c r="BR113" i="7"/>
  <c r="AL95" i="7"/>
  <c r="AM95" i="7"/>
  <c r="AT95" i="7"/>
  <c r="CH69" i="7"/>
  <c r="CH92" i="7"/>
  <c r="AL99" i="7"/>
  <c r="AT99" i="7"/>
  <c r="AM99" i="7"/>
  <c r="CH101" i="7"/>
  <c r="AK51" i="7"/>
  <c r="AJ51" i="7" s="1"/>
  <c r="CO52" i="7"/>
  <c r="BK106" i="7"/>
  <c r="BJ106" i="7"/>
  <c r="BR106" i="7"/>
  <c r="CH81" i="7"/>
  <c r="BJ66" i="7"/>
  <c r="BK66" i="7"/>
  <c r="BR66" i="7"/>
  <c r="AT106" i="7"/>
  <c r="AL106" i="7"/>
  <c r="AM106" i="7"/>
  <c r="AK76" i="7"/>
  <c r="AJ76" i="7" s="1"/>
  <c r="AT93" i="7"/>
  <c r="AM93" i="7"/>
  <c r="AL93" i="7"/>
  <c r="BK98" i="7"/>
  <c r="BJ98" i="7"/>
  <c r="BR98" i="7"/>
  <c r="CH96" i="7"/>
  <c r="BL116" i="7"/>
  <c r="BK77" i="7"/>
  <c r="BR77" i="7"/>
  <c r="BJ77" i="7"/>
  <c r="AM65" i="7"/>
  <c r="AL65" i="7"/>
  <c r="AT65" i="7"/>
  <c r="CH79" i="7"/>
  <c r="CH70" i="7"/>
  <c r="CH76" i="7"/>
  <c r="AT75" i="7"/>
  <c r="AM75" i="7"/>
  <c r="AL75" i="7"/>
  <c r="AT91" i="7"/>
  <c r="AM91" i="7"/>
  <c r="AL91" i="7"/>
  <c r="CO53" i="7"/>
  <c r="DE53" i="7"/>
  <c r="CZ64" i="7"/>
  <c r="CH57" i="7"/>
  <c r="CH82" i="7"/>
  <c r="AL70" i="7"/>
  <c r="AM70" i="7"/>
  <c r="AT70" i="7"/>
  <c r="CH113" i="7"/>
  <c r="CH64" i="7"/>
  <c r="CH51" i="7"/>
  <c r="BI68" i="7"/>
  <c r="BE68" i="7" s="1"/>
  <c r="BJ99" i="7"/>
  <c r="BR99" i="7"/>
  <c r="BK99" i="7"/>
  <c r="BI86" i="7"/>
  <c r="BE86" i="7" s="1"/>
  <c r="CJ86" i="7"/>
  <c r="BR114" i="7"/>
  <c r="BJ114" i="7"/>
  <c r="BK114" i="7"/>
  <c r="BL93" i="7"/>
  <c r="CO61" i="7"/>
  <c r="AK81" i="7"/>
  <c r="AJ81" i="7" s="1"/>
  <c r="BL65" i="7"/>
  <c r="CH117" i="7"/>
  <c r="CH59" i="7"/>
  <c r="CH53" i="7"/>
  <c r="CJ88" i="7"/>
  <c r="BI87" i="7"/>
  <c r="BE87" i="7" s="1"/>
  <c r="AT96" i="7"/>
  <c r="AL96" i="7"/>
  <c r="AM96" i="7"/>
  <c r="E32" i="4"/>
  <c r="E33" i="4" s="1"/>
  <c r="E40" i="4" s="1"/>
  <c r="BR107" i="7" l="1"/>
  <c r="CD144" i="4"/>
  <c r="CB144" i="4"/>
  <c r="CC144" i="4" s="1"/>
  <c r="BY144" i="4"/>
  <c r="BX145" i="4"/>
  <c r="BZ144" i="4"/>
  <c r="CA144" i="4" s="1"/>
  <c r="AL111" i="7"/>
  <c r="BK102" i="7"/>
  <c r="BJ96" i="7"/>
  <c r="BJ78" i="7"/>
  <c r="BR56" i="7"/>
  <c r="BJ56" i="7"/>
  <c r="BK76" i="7"/>
  <c r="BJ76" i="7"/>
  <c r="BK103" i="7"/>
  <c r="BJ91" i="7"/>
  <c r="BR78" i="7"/>
  <c r="BJ107" i="7"/>
  <c r="BR91" i="7"/>
  <c r="BR103" i="7"/>
  <c r="BR75" i="7"/>
  <c r="BK75" i="7"/>
  <c r="BL75" i="7" s="1"/>
  <c r="BK56" i="7"/>
  <c r="BL56" i="7" s="1"/>
  <c r="BR76" i="7"/>
  <c r="BR96" i="7"/>
  <c r="BJ54" i="7"/>
  <c r="BR102" i="7"/>
  <c r="BK54" i="7"/>
  <c r="AT109" i="7"/>
  <c r="AM109" i="7"/>
  <c r="AN109" i="7" s="1"/>
  <c r="AL109" i="7"/>
  <c r="BR68" i="7"/>
  <c r="BJ68" i="7"/>
  <c r="BK68" i="7"/>
  <c r="AN75" i="7"/>
  <c r="AM35" i="7"/>
  <c r="AM34" i="7"/>
  <c r="AM33" i="7"/>
  <c r="AT51" i="7"/>
  <c r="AM51" i="7"/>
  <c r="AM32" i="7"/>
  <c r="AL51" i="7"/>
  <c r="BL96" i="7"/>
  <c r="BL80" i="7"/>
  <c r="AN108" i="7"/>
  <c r="AN80" i="7"/>
  <c r="BK111" i="7"/>
  <c r="BJ111" i="7"/>
  <c r="BR111" i="7"/>
  <c r="AN116" i="7"/>
  <c r="AN78" i="7"/>
  <c r="BL59" i="7"/>
  <c r="AN52" i="7"/>
  <c r="BL91" i="7"/>
  <c r="AN83" i="7"/>
  <c r="BL102" i="7"/>
  <c r="AN100" i="7"/>
  <c r="BL99" i="7"/>
  <c r="AN91" i="7"/>
  <c r="BL103" i="7"/>
  <c r="AN93" i="7"/>
  <c r="BL66" i="7"/>
  <c r="AN113" i="7"/>
  <c r="AN69" i="7"/>
  <c r="AT54" i="7"/>
  <c r="AL54" i="7"/>
  <c r="AM54" i="7"/>
  <c r="BR108" i="7"/>
  <c r="BK108" i="7"/>
  <c r="BJ108" i="7"/>
  <c r="AN64" i="7"/>
  <c r="BJ95" i="7"/>
  <c r="BR95" i="7"/>
  <c r="BK95" i="7"/>
  <c r="AN59" i="7"/>
  <c r="AN105" i="7"/>
  <c r="BL76" i="7"/>
  <c r="BL70" i="7"/>
  <c r="BJ87" i="7"/>
  <c r="BK87" i="7"/>
  <c r="BR87" i="7"/>
  <c r="AM81" i="7"/>
  <c r="AL81" i="7"/>
  <c r="AT81" i="7"/>
  <c r="BL114" i="7"/>
  <c r="BR86" i="7"/>
  <c r="BJ86" i="7"/>
  <c r="BK86" i="7"/>
  <c r="BL77" i="7"/>
  <c r="BU54" i="7"/>
  <c r="BW54" i="7"/>
  <c r="BV54" i="7"/>
  <c r="BT54" i="7"/>
  <c r="BL106" i="7"/>
  <c r="AT67" i="7"/>
  <c r="AM67" i="7"/>
  <c r="AL67" i="7"/>
  <c r="BJ67" i="7"/>
  <c r="BK67" i="7"/>
  <c r="BR67" i="7"/>
  <c r="AN102" i="7"/>
  <c r="BT60" i="7"/>
  <c r="AM86" i="7"/>
  <c r="AL86" i="7"/>
  <c r="AT86" i="7"/>
  <c r="BK73" i="7"/>
  <c r="BJ73" i="7"/>
  <c r="BR73" i="7"/>
  <c r="BL71" i="7"/>
  <c r="BL72" i="7"/>
  <c r="BK94" i="7"/>
  <c r="BJ94" i="7"/>
  <c r="BR94" i="7"/>
  <c r="BL115" i="7"/>
  <c r="AN117" i="7"/>
  <c r="AN58" i="7"/>
  <c r="AN114" i="7"/>
  <c r="BL58" i="7"/>
  <c r="AN72" i="7"/>
  <c r="AN73" i="7"/>
  <c r="AN55" i="7"/>
  <c r="AN111" i="7"/>
  <c r="AT68" i="7"/>
  <c r="AM68" i="7"/>
  <c r="AL68" i="7"/>
  <c r="AM88" i="7"/>
  <c r="AT88" i="7"/>
  <c r="AL88" i="7"/>
  <c r="BL52" i="7"/>
  <c r="AV62" i="7"/>
  <c r="AN82" i="7"/>
  <c r="AY62" i="7"/>
  <c r="AX62" i="7"/>
  <c r="AW62" i="7"/>
  <c r="BL101" i="7"/>
  <c r="AN70" i="7"/>
  <c r="AN106" i="7"/>
  <c r="BK88" i="7"/>
  <c r="BR88" i="7"/>
  <c r="BJ88" i="7"/>
  <c r="BW60" i="7"/>
  <c r="BL53" i="7"/>
  <c r="AN107" i="7"/>
  <c r="AT56" i="7"/>
  <c r="AL56" i="7"/>
  <c r="AM56" i="7"/>
  <c r="AN96" i="7"/>
  <c r="AN65" i="7"/>
  <c r="BL98" i="7"/>
  <c r="AT76" i="7"/>
  <c r="AM76" i="7"/>
  <c r="AW58" i="7" s="1"/>
  <c r="AL76" i="7"/>
  <c r="AN99" i="7"/>
  <c r="AN95" i="7"/>
  <c r="BL113" i="7"/>
  <c r="AT87" i="7"/>
  <c r="AL87" i="7"/>
  <c r="AM87" i="7"/>
  <c r="AV51" i="7" s="1"/>
  <c r="AN103" i="7"/>
  <c r="AN98" i="7"/>
  <c r="AN71" i="7"/>
  <c r="BK117" i="7"/>
  <c r="BR117" i="7"/>
  <c r="BJ117" i="7"/>
  <c r="BU60" i="7"/>
  <c r="BV60" i="7"/>
  <c r="BR55" i="7"/>
  <c r="BK55" i="7"/>
  <c r="BJ55" i="7"/>
  <c r="AN92" i="7"/>
  <c r="BJ60" i="7"/>
  <c r="BR60" i="7"/>
  <c r="BK60" i="7"/>
  <c r="BK51" i="7"/>
  <c r="BJ51" i="7"/>
  <c r="BK35" i="7"/>
  <c r="BK36" i="7"/>
  <c r="BK34" i="7"/>
  <c r="BR51" i="7"/>
  <c r="BK33" i="7"/>
  <c r="BL82" i="7"/>
  <c r="AN115" i="7"/>
  <c r="BK81" i="7"/>
  <c r="BJ81" i="7"/>
  <c r="BR81" i="7"/>
  <c r="AN101" i="7"/>
  <c r="AV60" i="7"/>
  <c r="AN79" i="7"/>
  <c r="AW60" i="7"/>
  <c r="AX60" i="7"/>
  <c r="AY60" i="7"/>
  <c r="AN53" i="7"/>
  <c r="AM94" i="7"/>
  <c r="AW56" i="7" s="1"/>
  <c r="AL94" i="7"/>
  <c r="AT94" i="7"/>
  <c r="AM60" i="7"/>
  <c r="AT60" i="7"/>
  <c r="AL60" i="7"/>
  <c r="AN77" i="7"/>
  <c r="AY54" i="7"/>
  <c r="AW54" i="7"/>
  <c r="AV54" i="7"/>
  <c r="AX54" i="7"/>
  <c r="E41" i="4"/>
  <c r="BI50" i="4" s="1"/>
  <c r="BE50" i="4" s="1"/>
  <c r="CD145" i="4" l="1"/>
  <c r="BX146" i="4"/>
  <c r="CB145" i="4"/>
  <c r="CC145" i="4" s="1"/>
  <c r="BZ145" i="4"/>
  <c r="CA145" i="4" s="1"/>
  <c r="BY145" i="4"/>
  <c r="BL41" i="7"/>
  <c r="BL40" i="7"/>
  <c r="BK42" i="7"/>
  <c r="AN41" i="7"/>
  <c r="AN40" i="7"/>
  <c r="BP58" i="7"/>
  <c r="BW58" i="7"/>
  <c r="BU62" i="7"/>
  <c r="BV62" i="7"/>
  <c r="AV58" i="7"/>
  <c r="AP73" i="7"/>
  <c r="BV53" i="7"/>
  <c r="BL54" i="7"/>
  <c r="AX58" i="7"/>
  <c r="BT53" i="7"/>
  <c r="AX51" i="7"/>
  <c r="BT62" i="7"/>
  <c r="BT58" i="7"/>
  <c r="AY56" i="7"/>
  <c r="BN59" i="7"/>
  <c r="AP108" i="7"/>
  <c r="AP114" i="7"/>
  <c r="BV58" i="7"/>
  <c r="AP79" i="7"/>
  <c r="BW62" i="7"/>
  <c r="AP95" i="7"/>
  <c r="AP65" i="7"/>
  <c r="AP70" i="7"/>
  <c r="AP82" i="7"/>
  <c r="AR59" i="7"/>
  <c r="BP53" i="7"/>
  <c r="BW53" i="7"/>
  <c r="BN115" i="7"/>
  <c r="AX56" i="7"/>
  <c r="AP69" i="7"/>
  <c r="BN66" i="7"/>
  <c r="BN99" i="7"/>
  <c r="AP80" i="7"/>
  <c r="AP53" i="7"/>
  <c r="BK28" i="7"/>
  <c r="BN28" i="7"/>
  <c r="BM28" i="7"/>
  <c r="BL28" i="7"/>
  <c r="AP71" i="7"/>
  <c r="AP99" i="7"/>
  <c r="AP96" i="7"/>
  <c r="AP106" i="7"/>
  <c r="BN70" i="7"/>
  <c r="BN95" i="7"/>
  <c r="BL95" i="7"/>
  <c r="AP75" i="7"/>
  <c r="AP101" i="7"/>
  <c r="BV61" i="7"/>
  <c r="BL81" i="7"/>
  <c r="BU61" i="7"/>
  <c r="BN81" i="7"/>
  <c r="BW61" i="7"/>
  <c r="BT61" i="7"/>
  <c r="BU52" i="7"/>
  <c r="BK41" i="7"/>
  <c r="BT52" i="7"/>
  <c r="BP51" i="7"/>
  <c r="BN51" i="7"/>
  <c r="BW52" i="7"/>
  <c r="BV52" i="7"/>
  <c r="BL51" i="7"/>
  <c r="BK40" i="7"/>
  <c r="BP57" i="7"/>
  <c r="BN104" i="7"/>
  <c r="BN83" i="7"/>
  <c r="BN97" i="7"/>
  <c r="BN57" i="7"/>
  <c r="BN78" i="7"/>
  <c r="BN79" i="7"/>
  <c r="BN116" i="7"/>
  <c r="BN65" i="7"/>
  <c r="BN69" i="7"/>
  <c r="BN105" i="7"/>
  <c r="BN100" i="7"/>
  <c r="BN92" i="7"/>
  <c r="BN109" i="7"/>
  <c r="BN74" i="7"/>
  <c r="BN112" i="7"/>
  <c r="BN64" i="7"/>
  <c r="BN107" i="7"/>
  <c r="BN110" i="7"/>
  <c r="BN93" i="7"/>
  <c r="AP92" i="7"/>
  <c r="AP87" i="7"/>
  <c r="AN87" i="7"/>
  <c r="AR87" i="7"/>
  <c r="BN98" i="7"/>
  <c r="AP107" i="7"/>
  <c r="BN53" i="7"/>
  <c r="AR55" i="7"/>
  <c r="AP72" i="7"/>
  <c r="BN58" i="7"/>
  <c r="AP117" i="7"/>
  <c r="AR86" i="7"/>
  <c r="AN86" i="7"/>
  <c r="AP86" i="7"/>
  <c r="AN67" i="7"/>
  <c r="AP67" i="7"/>
  <c r="BN106" i="7"/>
  <c r="BP87" i="7"/>
  <c r="BL87" i="7"/>
  <c r="BN87" i="7"/>
  <c r="BV51" i="7"/>
  <c r="BW51" i="7"/>
  <c r="BU51" i="7"/>
  <c r="BT51" i="7"/>
  <c r="BN76" i="7"/>
  <c r="AP59" i="7"/>
  <c r="AW51" i="7"/>
  <c r="AP113" i="7"/>
  <c r="AP100" i="7"/>
  <c r="BN91" i="7"/>
  <c r="AR52" i="7"/>
  <c r="AP78" i="7"/>
  <c r="BN96" i="7"/>
  <c r="AY52" i="7"/>
  <c r="AM40" i="7"/>
  <c r="AX52" i="7"/>
  <c r="AM41" i="7"/>
  <c r="AW52" i="7"/>
  <c r="AR51" i="7"/>
  <c r="AN51" i="7"/>
  <c r="AP51" i="7"/>
  <c r="AV52" i="7"/>
  <c r="AP110" i="7"/>
  <c r="AP104" i="7"/>
  <c r="AP57" i="7"/>
  <c r="AP109" i="7"/>
  <c r="AP66" i="7"/>
  <c r="AP74" i="7"/>
  <c r="AP112" i="7"/>
  <c r="AP97" i="7"/>
  <c r="AR57" i="7"/>
  <c r="BN94" i="7"/>
  <c r="BL94" i="7"/>
  <c r="BN114" i="7"/>
  <c r="AX61" i="7"/>
  <c r="AP81" i="7"/>
  <c r="AV61" i="7"/>
  <c r="AY61" i="7"/>
  <c r="AW61" i="7"/>
  <c r="AN81" i="7"/>
  <c r="BN103" i="7"/>
  <c r="AP52" i="7"/>
  <c r="AP116" i="7"/>
  <c r="BN80" i="7"/>
  <c r="BP55" i="7"/>
  <c r="BL55" i="7"/>
  <c r="BN55" i="7"/>
  <c r="AP103" i="7"/>
  <c r="BN113" i="7"/>
  <c r="BN54" i="7"/>
  <c r="BN101" i="7"/>
  <c r="BN52" i="7"/>
  <c r="AN68" i="7"/>
  <c r="AP68" i="7"/>
  <c r="AP58" i="7"/>
  <c r="BN72" i="7"/>
  <c r="AP102" i="7"/>
  <c r="BN86" i="7"/>
  <c r="BP86" i="7"/>
  <c r="BL86" i="7"/>
  <c r="AP105" i="7"/>
  <c r="AP64" i="7"/>
  <c r="AP54" i="7"/>
  <c r="AN54" i="7"/>
  <c r="AR54" i="7"/>
  <c r="AP93" i="7"/>
  <c r="AP91" i="7"/>
  <c r="BN102" i="7"/>
  <c r="AX53" i="7"/>
  <c r="AW53" i="7"/>
  <c r="BP56" i="7"/>
  <c r="BL68" i="7"/>
  <c r="BN68" i="7"/>
  <c r="AP77" i="7"/>
  <c r="AP94" i="7"/>
  <c r="AN94" i="7"/>
  <c r="AP60" i="7"/>
  <c r="AY55" i="7"/>
  <c r="AN60" i="7"/>
  <c r="AX55" i="7"/>
  <c r="AW55" i="7"/>
  <c r="AR60" i="7"/>
  <c r="AV55" i="7"/>
  <c r="BU58" i="7"/>
  <c r="BN75" i="7"/>
  <c r="AR53" i="7"/>
  <c r="AP115" i="7"/>
  <c r="BN82" i="7"/>
  <c r="BP60" i="7"/>
  <c r="BL60" i="7"/>
  <c r="BU55" i="7"/>
  <c r="BN60" i="7"/>
  <c r="BT55" i="7"/>
  <c r="BV55" i="7"/>
  <c r="BW55" i="7"/>
  <c r="BL117" i="7"/>
  <c r="BN117" i="7"/>
  <c r="AP98" i="7"/>
  <c r="BP54" i="7"/>
  <c r="AN76" i="7"/>
  <c r="AP76" i="7"/>
  <c r="AP56" i="7"/>
  <c r="AN56" i="7"/>
  <c r="AR56" i="7"/>
  <c r="BT59" i="7"/>
  <c r="BN88" i="7"/>
  <c r="BP88" i="7"/>
  <c r="BL88" i="7"/>
  <c r="BU59" i="7"/>
  <c r="BW59" i="7"/>
  <c r="BV59" i="7"/>
  <c r="BU53" i="7"/>
  <c r="BP52" i="7"/>
  <c r="AP88" i="7"/>
  <c r="AX59" i="7"/>
  <c r="AR88" i="7"/>
  <c r="AN88" i="7"/>
  <c r="AY59" i="7"/>
  <c r="AV59" i="7"/>
  <c r="AW59" i="7"/>
  <c r="AP111" i="7"/>
  <c r="AP55" i="7"/>
  <c r="AV56" i="7"/>
  <c r="AR58" i="7"/>
  <c r="BN71" i="7"/>
  <c r="BU56" i="7"/>
  <c r="BL73" i="7"/>
  <c r="BW56" i="7"/>
  <c r="BN73" i="7"/>
  <c r="BV56" i="7"/>
  <c r="BT56" i="7"/>
  <c r="BN67" i="7"/>
  <c r="BL67" i="7"/>
  <c r="BN77" i="7"/>
  <c r="AY51" i="7"/>
  <c r="BL108" i="7"/>
  <c r="BN108" i="7"/>
  <c r="AP83" i="7"/>
  <c r="AY53" i="7"/>
  <c r="AV53" i="7"/>
  <c r="BP59" i="7"/>
  <c r="BL111" i="7"/>
  <c r="BN111" i="7"/>
  <c r="BN56" i="7"/>
  <c r="AM28" i="7"/>
  <c r="CD8" i="7"/>
  <c r="AO28" i="7"/>
  <c r="CE8" i="7"/>
  <c r="AN28" i="7"/>
  <c r="AP28" i="7"/>
  <c r="CG8" i="7"/>
  <c r="CF8" i="7"/>
  <c r="AY58" i="7"/>
  <c r="AC117" i="4"/>
  <c r="AB117" i="4"/>
  <c r="AA117" i="4"/>
  <c r="Y117" i="4"/>
  <c r="V117" i="4"/>
  <c r="U117" i="4"/>
  <c r="S117" i="4"/>
  <c r="T117" i="4" s="1"/>
  <c r="R117" i="4"/>
  <c r="AC116" i="4"/>
  <c r="AB116" i="4"/>
  <c r="AA116" i="4"/>
  <c r="Y116" i="4"/>
  <c r="V116" i="4"/>
  <c r="U116" i="4"/>
  <c r="S116" i="4"/>
  <c r="T116" i="4" s="1"/>
  <c r="R116" i="4"/>
  <c r="AC115" i="4"/>
  <c r="AB115" i="4"/>
  <c r="AA115" i="4"/>
  <c r="Y115" i="4"/>
  <c r="V115" i="4"/>
  <c r="U115" i="4"/>
  <c r="S115" i="4"/>
  <c r="T115" i="4" s="1"/>
  <c r="R115" i="4"/>
  <c r="AC114" i="4"/>
  <c r="AB114" i="4"/>
  <c r="AA114" i="4"/>
  <c r="Y114" i="4"/>
  <c r="V114" i="4"/>
  <c r="U114" i="4"/>
  <c r="S114" i="4"/>
  <c r="T114" i="4" s="1"/>
  <c r="R114" i="4"/>
  <c r="AC113" i="4"/>
  <c r="AB113" i="4"/>
  <c r="AA113" i="4"/>
  <c r="Y113" i="4"/>
  <c r="V113" i="4"/>
  <c r="U113" i="4"/>
  <c r="S113" i="4"/>
  <c r="T113" i="4" s="1"/>
  <c r="R113" i="4"/>
  <c r="AC112" i="4"/>
  <c r="AB112" i="4"/>
  <c r="AA112" i="4"/>
  <c r="Y112" i="4"/>
  <c r="V112" i="4"/>
  <c r="U112" i="4"/>
  <c r="S112" i="4"/>
  <c r="T112" i="4" s="1"/>
  <c r="R112" i="4"/>
  <c r="AC111" i="4"/>
  <c r="AB111" i="4"/>
  <c r="AA111" i="4"/>
  <c r="Y111" i="4"/>
  <c r="V111" i="4"/>
  <c r="U111" i="4"/>
  <c r="S111" i="4"/>
  <c r="T111" i="4" s="1"/>
  <c r="R111" i="4"/>
  <c r="AC110" i="4"/>
  <c r="AB110" i="4"/>
  <c r="AA110" i="4"/>
  <c r="Y110" i="4"/>
  <c r="V110" i="4"/>
  <c r="U110" i="4"/>
  <c r="S110" i="4"/>
  <c r="T110" i="4" s="1"/>
  <c r="R110" i="4"/>
  <c r="AC109" i="4"/>
  <c r="AB109" i="4"/>
  <c r="AA109" i="4"/>
  <c r="Y109" i="4"/>
  <c r="V109" i="4"/>
  <c r="U109" i="4"/>
  <c r="S109" i="4"/>
  <c r="T109" i="4" s="1"/>
  <c r="R109" i="4"/>
  <c r="AC108" i="4"/>
  <c r="AB108" i="4"/>
  <c r="AA108" i="4"/>
  <c r="Y108" i="4"/>
  <c r="V108" i="4"/>
  <c r="U108" i="4"/>
  <c r="S108" i="4"/>
  <c r="T108" i="4" s="1"/>
  <c r="R108" i="4"/>
  <c r="AC107" i="4"/>
  <c r="AB107" i="4"/>
  <c r="AA107" i="4"/>
  <c r="Y107" i="4"/>
  <c r="V107" i="4"/>
  <c r="U107" i="4"/>
  <c r="S107" i="4"/>
  <c r="T107" i="4" s="1"/>
  <c r="R107" i="4"/>
  <c r="AC106" i="4"/>
  <c r="AB106" i="4"/>
  <c r="AA106" i="4"/>
  <c r="Y106" i="4"/>
  <c r="V106" i="4"/>
  <c r="U106" i="4"/>
  <c r="S106" i="4"/>
  <c r="T106" i="4" s="1"/>
  <c r="R106" i="4"/>
  <c r="AC105" i="4"/>
  <c r="AB105" i="4"/>
  <c r="AA105" i="4"/>
  <c r="Y105" i="4"/>
  <c r="V105" i="4"/>
  <c r="U105" i="4"/>
  <c r="S105" i="4"/>
  <c r="T105" i="4" s="1"/>
  <c r="R105" i="4"/>
  <c r="AC104" i="4"/>
  <c r="AB104" i="4"/>
  <c r="AA104" i="4"/>
  <c r="Y104" i="4"/>
  <c r="V104" i="4"/>
  <c r="U104" i="4"/>
  <c r="S104" i="4"/>
  <c r="T104" i="4" s="1"/>
  <c r="R104" i="4"/>
  <c r="AC103" i="4"/>
  <c r="AB103" i="4"/>
  <c r="AA103" i="4"/>
  <c r="Y103" i="4"/>
  <c r="V103" i="4"/>
  <c r="U103" i="4"/>
  <c r="S103" i="4"/>
  <c r="T103" i="4" s="1"/>
  <c r="R103" i="4"/>
  <c r="AC102" i="4"/>
  <c r="AB102" i="4"/>
  <c r="AA102" i="4"/>
  <c r="Y102" i="4"/>
  <c r="V102" i="4"/>
  <c r="U102" i="4"/>
  <c r="S102" i="4"/>
  <c r="T102" i="4" s="1"/>
  <c r="R102" i="4"/>
  <c r="AC101" i="4"/>
  <c r="AB101" i="4"/>
  <c r="AA101" i="4"/>
  <c r="Y101" i="4"/>
  <c r="V101" i="4"/>
  <c r="U101" i="4"/>
  <c r="S101" i="4"/>
  <c r="T101" i="4" s="1"/>
  <c r="R101" i="4"/>
  <c r="AC100" i="4"/>
  <c r="AB100" i="4"/>
  <c r="AA100" i="4"/>
  <c r="Y100" i="4"/>
  <c r="V100" i="4"/>
  <c r="U100" i="4"/>
  <c r="S100" i="4"/>
  <c r="T100" i="4" s="1"/>
  <c r="R100" i="4"/>
  <c r="AC99" i="4"/>
  <c r="AB99" i="4"/>
  <c r="AA99" i="4"/>
  <c r="Y99" i="4"/>
  <c r="V99" i="4"/>
  <c r="U99" i="4"/>
  <c r="S99" i="4"/>
  <c r="T99" i="4" s="1"/>
  <c r="R99" i="4"/>
  <c r="AC98" i="4"/>
  <c r="AB98" i="4"/>
  <c r="AA98" i="4"/>
  <c r="Y98" i="4"/>
  <c r="V98" i="4"/>
  <c r="U98" i="4"/>
  <c r="S98" i="4"/>
  <c r="T98" i="4" s="1"/>
  <c r="R98" i="4"/>
  <c r="AC97" i="4"/>
  <c r="AB97" i="4"/>
  <c r="AA97" i="4"/>
  <c r="Y97" i="4"/>
  <c r="V97" i="4"/>
  <c r="U97" i="4"/>
  <c r="S97" i="4"/>
  <c r="T97" i="4" s="1"/>
  <c r="R97" i="4"/>
  <c r="AC96" i="4"/>
  <c r="AB96" i="4"/>
  <c r="AA96" i="4"/>
  <c r="Y96" i="4"/>
  <c r="V96" i="4"/>
  <c r="U96" i="4"/>
  <c r="S96" i="4"/>
  <c r="T96" i="4" s="1"/>
  <c r="R96" i="4"/>
  <c r="AC95" i="4"/>
  <c r="AB95" i="4"/>
  <c r="AA95" i="4"/>
  <c r="Y95" i="4"/>
  <c r="V95" i="4"/>
  <c r="U95" i="4"/>
  <c r="S95" i="4"/>
  <c r="T95" i="4" s="1"/>
  <c r="R95" i="4"/>
  <c r="AC94" i="4"/>
  <c r="AB94" i="4"/>
  <c r="AA94" i="4"/>
  <c r="Y94" i="4"/>
  <c r="V94" i="4"/>
  <c r="U94" i="4"/>
  <c r="S94" i="4"/>
  <c r="T94" i="4" s="1"/>
  <c r="R94" i="4"/>
  <c r="AC93" i="4"/>
  <c r="AB93" i="4"/>
  <c r="AA93" i="4"/>
  <c r="Y93" i="4"/>
  <c r="V93" i="4"/>
  <c r="U93" i="4"/>
  <c r="S93" i="4"/>
  <c r="T93" i="4" s="1"/>
  <c r="R93" i="4"/>
  <c r="AC92" i="4"/>
  <c r="AB92" i="4"/>
  <c r="AA92" i="4"/>
  <c r="Y92" i="4"/>
  <c r="V92" i="4"/>
  <c r="U92" i="4"/>
  <c r="S92" i="4"/>
  <c r="T92" i="4" s="1"/>
  <c r="R92" i="4"/>
  <c r="AC91" i="4"/>
  <c r="AB91" i="4"/>
  <c r="AA91" i="4"/>
  <c r="Y91" i="4"/>
  <c r="V91" i="4"/>
  <c r="U91" i="4"/>
  <c r="S91" i="4"/>
  <c r="T91" i="4" s="1"/>
  <c r="R91" i="4"/>
  <c r="AC88" i="4"/>
  <c r="AB88" i="4"/>
  <c r="AA88" i="4"/>
  <c r="Y88" i="4"/>
  <c r="V88" i="4"/>
  <c r="U88" i="4"/>
  <c r="S88" i="4"/>
  <c r="T88" i="4" s="1"/>
  <c r="R88" i="4"/>
  <c r="AC87" i="4"/>
  <c r="AB87" i="4"/>
  <c r="AA87" i="4"/>
  <c r="Y87" i="4"/>
  <c r="V87" i="4"/>
  <c r="U87" i="4"/>
  <c r="S87" i="4"/>
  <c r="T87" i="4" s="1"/>
  <c r="R87" i="4"/>
  <c r="AC86" i="4"/>
  <c r="AB86" i="4"/>
  <c r="AA86" i="4"/>
  <c r="Y86" i="4"/>
  <c r="V86" i="4"/>
  <c r="U86" i="4"/>
  <c r="S86" i="4"/>
  <c r="T86" i="4" s="1"/>
  <c r="R86" i="4"/>
  <c r="AC83" i="4"/>
  <c r="AB83" i="4"/>
  <c r="AA83" i="4"/>
  <c r="Y83" i="4"/>
  <c r="V83" i="4"/>
  <c r="U83" i="4"/>
  <c r="S83" i="4"/>
  <c r="T83" i="4" s="1"/>
  <c r="R83" i="4"/>
  <c r="AC82" i="4"/>
  <c r="AB82" i="4"/>
  <c r="AA82" i="4"/>
  <c r="Y82" i="4"/>
  <c r="V82" i="4"/>
  <c r="U82" i="4"/>
  <c r="S82" i="4"/>
  <c r="T82" i="4" s="1"/>
  <c r="R82" i="4"/>
  <c r="AC81" i="4"/>
  <c r="AB81" i="4"/>
  <c r="AA81" i="4"/>
  <c r="Y81" i="4"/>
  <c r="V81" i="4"/>
  <c r="U81" i="4"/>
  <c r="S81" i="4"/>
  <c r="T81" i="4" s="1"/>
  <c r="R81" i="4"/>
  <c r="AC80" i="4"/>
  <c r="AB80" i="4"/>
  <c r="AA80" i="4"/>
  <c r="Y80" i="4"/>
  <c r="V80" i="4"/>
  <c r="U80" i="4"/>
  <c r="S80" i="4"/>
  <c r="T80" i="4" s="1"/>
  <c r="R80" i="4"/>
  <c r="AC79" i="4"/>
  <c r="AB79" i="4"/>
  <c r="AA79" i="4"/>
  <c r="Y79" i="4"/>
  <c r="V79" i="4"/>
  <c r="U79" i="4"/>
  <c r="S79" i="4"/>
  <c r="T79" i="4" s="1"/>
  <c r="R79" i="4"/>
  <c r="AC78" i="4"/>
  <c r="AB78" i="4"/>
  <c r="AA78" i="4"/>
  <c r="Y78" i="4"/>
  <c r="V78" i="4"/>
  <c r="U78" i="4"/>
  <c r="S78" i="4"/>
  <c r="T78" i="4" s="1"/>
  <c r="R78" i="4"/>
  <c r="AC77" i="4"/>
  <c r="AB77" i="4"/>
  <c r="AA77" i="4"/>
  <c r="Y77" i="4"/>
  <c r="V77" i="4"/>
  <c r="U77" i="4"/>
  <c r="S77" i="4"/>
  <c r="T77" i="4" s="1"/>
  <c r="R77" i="4"/>
  <c r="AC76" i="4"/>
  <c r="AB76" i="4"/>
  <c r="AA76" i="4"/>
  <c r="Y76" i="4"/>
  <c r="V76" i="4"/>
  <c r="U76" i="4"/>
  <c r="S76" i="4"/>
  <c r="T76" i="4" s="1"/>
  <c r="R76" i="4"/>
  <c r="AC75" i="4"/>
  <c r="AB75" i="4"/>
  <c r="AA75" i="4"/>
  <c r="Y75" i="4"/>
  <c r="V75" i="4"/>
  <c r="U75" i="4"/>
  <c r="S75" i="4"/>
  <c r="T75" i="4" s="1"/>
  <c r="R75" i="4"/>
  <c r="AC74" i="4"/>
  <c r="AB74" i="4"/>
  <c r="AA74" i="4"/>
  <c r="Y74" i="4"/>
  <c r="V74" i="4"/>
  <c r="U74" i="4"/>
  <c r="S74" i="4"/>
  <c r="T74" i="4" s="1"/>
  <c r="R74" i="4"/>
  <c r="AC73" i="4"/>
  <c r="AB73" i="4"/>
  <c r="AA73" i="4"/>
  <c r="Y73" i="4"/>
  <c r="V73" i="4"/>
  <c r="U73" i="4"/>
  <c r="S73" i="4"/>
  <c r="T73" i="4" s="1"/>
  <c r="R73" i="4"/>
  <c r="AC72" i="4"/>
  <c r="AB72" i="4"/>
  <c r="AA72" i="4"/>
  <c r="Y72" i="4"/>
  <c r="V72" i="4"/>
  <c r="U72" i="4"/>
  <c r="S72" i="4"/>
  <c r="T72" i="4" s="1"/>
  <c r="R72" i="4"/>
  <c r="AC71" i="4"/>
  <c r="AB71" i="4"/>
  <c r="AA71" i="4"/>
  <c r="Y71" i="4"/>
  <c r="V71" i="4"/>
  <c r="U71" i="4"/>
  <c r="S71" i="4"/>
  <c r="T71" i="4" s="1"/>
  <c r="R71" i="4"/>
  <c r="AC70" i="4"/>
  <c r="AB70" i="4"/>
  <c r="AA70" i="4"/>
  <c r="Y70" i="4"/>
  <c r="V70" i="4"/>
  <c r="U70" i="4"/>
  <c r="S70" i="4"/>
  <c r="T70" i="4" s="1"/>
  <c r="R70" i="4"/>
  <c r="AC69" i="4"/>
  <c r="AB69" i="4"/>
  <c r="AA69" i="4"/>
  <c r="Y69" i="4"/>
  <c r="V69" i="4"/>
  <c r="U69" i="4"/>
  <c r="S69" i="4"/>
  <c r="T69" i="4" s="1"/>
  <c r="R69" i="4"/>
  <c r="AC68" i="4"/>
  <c r="AB68" i="4"/>
  <c r="AA68" i="4"/>
  <c r="Y68" i="4"/>
  <c r="V68" i="4"/>
  <c r="U68" i="4"/>
  <c r="S68" i="4"/>
  <c r="T68" i="4" s="1"/>
  <c r="R68" i="4"/>
  <c r="AC67" i="4"/>
  <c r="AB67" i="4"/>
  <c r="AA67" i="4"/>
  <c r="Y67" i="4"/>
  <c r="V67" i="4"/>
  <c r="U67" i="4"/>
  <c r="S67" i="4"/>
  <c r="T67" i="4" s="1"/>
  <c r="R67" i="4"/>
  <c r="AC66" i="4"/>
  <c r="AB66" i="4"/>
  <c r="AA66" i="4"/>
  <c r="Y66" i="4"/>
  <c r="V66" i="4"/>
  <c r="U66" i="4"/>
  <c r="S66" i="4"/>
  <c r="T66" i="4" s="1"/>
  <c r="R66" i="4"/>
  <c r="AC65" i="4"/>
  <c r="AB65" i="4"/>
  <c r="AA65" i="4"/>
  <c r="Y65" i="4"/>
  <c r="V65" i="4"/>
  <c r="U65" i="4"/>
  <c r="S65" i="4"/>
  <c r="T65" i="4" s="1"/>
  <c r="R65" i="4"/>
  <c r="AC64" i="4"/>
  <c r="AB64" i="4"/>
  <c r="AA64" i="4"/>
  <c r="Y64" i="4"/>
  <c r="V64" i="4"/>
  <c r="U64" i="4"/>
  <c r="S64" i="4"/>
  <c r="T64" i="4" s="1"/>
  <c r="R64" i="4"/>
  <c r="AC60" i="4"/>
  <c r="AB60" i="4"/>
  <c r="AA60" i="4"/>
  <c r="Y60" i="4"/>
  <c r="V60" i="4"/>
  <c r="U60" i="4"/>
  <c r="S60" i="4"/>
  <c r="T60" i="4" s="1"/>
  <c r="R60" i="4"/>
  <c r="AC59" i="4"/>
  <c r="AB59" i="4"/>
  <c r="AA59" i="4"/>
  <c r="Y59" i="4"/>
  <c r="V59" i="4"/>
  <c r="U59" i="4"/>
  <c r="S59" i="4"/>
  <c r="T59" i="4" s="1"/>
  <c r="R59" i="4"/>
  <c r="AC58" i="4"/>
  <c r="AB58" i="4"/>
  <c r="AA58" i="4"/>
  <c r="Y58" i="4"/>
  <c r="V58" i="4"/>
  <c r="U58" i="4"/>
  <c r="S58" i="4"/>
  <c r="T58" i="4" s="1"/>
  <c r="R58" i="4"/>
  <c r="AC57" i="4"/>
  <c r="AB57" i="4"/>
  <c r="AA57" i="4"/>
  <c r="Y57" i="4"/>
  <c r="V57" i="4"/>
  <c r="U57" i="4"/>
  <c r="S57" i="4"/>
  <c r="T57" i="4" s="1"/>
  <c r="R57" i="4"/>
  <c r="AC56" i="4"/>
  <c r="AB56" i="4"/>
  <c r="AA56" i="4"/>
  <c r="Y56" i="4"/>
  <c r="V56" i="4"/>
  <c r="U56" i="4"/>
  <c r="S56" i="4"/>
  <c r="T56" i="4" s="1"/>
  <c r="R56" i="4"/>
  <c r="AC55" i="4"/>
  <c r="AB55" i="4"/>
  <c r="AA55" i="4"/>
  <c r="Y55" i="4"/>
  <c r="V55" i="4"/>
  <c r="U55" i="4"/>
  <c r="S55" i="4"/>
  <c r="T55" i="4" s="1"/>
  <c r="R55" i="4"/>
  <c r="AC54" i="4"/>
  <c r="AB54" i="4"/>
  <c r="AA54" i="4"/>
  <c r="Y54" i="4"/>
  <c r="V54" i="4"/>
  <c r="U54" i="4"/>
  <c r="S54" i="4"/>
  <c r="T54" i="4" s="1"/>
  <c r="R54" i="4"/>
  <c r="AC53" i="4"/>
  <c r="AB53" i="4"/>
  <c r="AA53" i="4"/>
  <c r="Y53" i="4"/>
  <c r="V53" i="4"/>
  <c r="U53" i="4"/>
  <c r="S53" i="4"/>
  <c r="T53" i="4" s="1"/>
  <c r="R53" i="4"/>
  <c r="AC52" i="4"/>
  <c r="AB52" i="4"/>
  <c r="AA52" i="4"/>
  <c r="Y52" i="4"/>
  <c r="V52" i="4"/>
  <c r="U52" i="4"/>
  <c r="S52" i="4"/>
  <c r="T52" i="4" s="1"/>
  <c r="R52" i="4"/>
  <c r="V51" i="4"/>
  <c r="Y51" i="4"/>
  <c r="CD146" i="4" l="1"/>
  <c r="BZ146" i="4"/>
  <c r="CA146" i="4" s="1"/>
  <c r="BX147" i="4"/>
  <c r="BY146" i="4"/>
  <c r="CB146" i="4"/>
  <c r="CC146" i="4" s="1"/>
  <c r="AQ82" i="7"/>
  <c r="AS86" i="7"/>
  <c r="AQ83" i="7"/>
  <c r="BO77" i="7"/>
  <c r="BQ60" i="7"/>
  <c r="AS59" i="7"/>
  <c r="BO117" i="7"/>
  <c r="BO68" i="7"/>
  <c r="AQ54" i="7"/>
  <c r="AQ58" i="7"/>
  <c r="BO55" i="7"/>
  <c r="BQ53" i="7"/>
  <c r="AQ57" i="7"/>
  <c r="BO91" i="7"/>
  <c r="BO87" i="7"/>
  <c r="BO93" i="7"/>
  <c r="BO112" i="7"/>
  <c r="BO116" i="7"/>
  <c r="BO51" i="7"/>
  <c r="AQ75" i="7"/>
  <c r="AQ106" i="7"/>
  <c r="AQ53" i="7"/>
  <c r="BO108" i="7"/>
  <c r="BO73" i="7"/>
  <c r="AQ55" i="7"/>
  <c r="AS56" i="7"/>
  <c r="BO82" i="7"/>
  <c r="BO102" i="7"/>
  <c r="BO86" i="7"/>
  <c r="BO54" i="7"/>
  <c r="BO94" i="7"/>
  <c r="AQ74" i="7"/>
  <c r="BO53" i="7"/>
  <c r="BO74" i="7"/>
  <c r="BO79" i="7"/>
  <c r="BQ51" i="7"/>
  <c r="AQ96" i="7"/>
  <c r="AQ80" i="7"/>
  <c r="BO59" i="7"/>
  <c r="BO56" i="7"/>
  <c r="BO67" i="7"/>
  <c r="AS58" i="7"/>
  <c r="AQ111" i="7"/>
  <c r="BQ52" i="7"/>
  <c r="BO88" i="7"/>
  <c r="BQ54" i="7"/>
  <c r="AQ115" i="7"/>
  <c r="AQ94" i="7"/>
  <c r="BQ56" i="7"/>
  <c r="AS54" i="7"/>
  <c r="AQ105" i="7"/>
  <c r="AQ102" i="7"/>
  <c r="BO113" i="7"/>
  <c r="BQ55" i="7"/>
  <c r="AQ52" i="7"/>
  <c r="AS57" i="7"/>
  <c r="AQ66" i="7"/>
  <c r="AQ110" i="7"/>
  <c r="AS51" i="7"/>
  <c r="AQ78" i="7"/>
  <c r="AQ100" i="7"/>
  <c r="AQ59" i="7"/>
  <c r="BQ87" i="7"/>
  <c r="AQ86" i="7"/>
  <c r="BO58" i="7"/>
  <c r="AQ107" i="7"/>
  <c r="AQ87" i="7"/>
  <c r="BO107" i="7"/>
  <c r="BO109" i="7"/>
  <c r="BO69" i="7"/>
  <c r="BO78" i="7"/>
  <c r="BO104" i="7"/>
  <c r="BO95" i="7"/>
  <c r="AQ99" i="7"/>
  <c r="BO99" i="7"/>
  <c r="AQ65" i="7"/>
  <c r="AQ76" i="7"/>
  <c r="BO75" i="7"/>
  <c r="AQ60" i="7"/>
  <c r="AQ93" i="7"/>
  <c r="BQ86" i="7"/>
  <c r="BO101" i="7"/>
  <c r="BO80" i="7"/>
  <c r="AQ112" i="7"/>
  <c r="AQ51" i="7"/>
  <c r="BO96" i="7"/>
  <c r="AQ113" i="7"/>
  <c r="AQ67" i="7"/>
  <c r="AS55" i="7"/>
  <c r="AS87" i="7"/>
  <c r="BO100" i="7"/>
  <c r="BO97" i="7"/>
  <c r="AQ69" i="7"/>
  <c r="AQ73" i="7"/>
  <c r="AQ108" i="7"/>
  <c r="BQ59" i="7"/>
  <c r="BO71" i="7"/>
  <c r="AQ88" i="7"/>
  <c r="BQ88" i="7"/>
  <c r="BO60" i="7"/>
  <c r="AQ64" i="7"/>
  <c r="AQ68" i="7"/>
  <c r="AQ116" i="7"/>
  <c r="AQ81" i="7"/>
  <c r="AQ79" i="7"/>
  <c r="AQ104" i="7"/>
  <c r="AQ117" i="7"/>
  <c r="BO110" i="7"/>
  <c r="BO105" i="7"/>
  <c r="BO83" i="7"/>
  <c r="AQ70" i="7"/>
  <c r="BO111" i="7"/>
  <c r="AS88" i="7"/>
  <c r="AQ56" i="7"/>
  <c r="AQ98" i="7"/>
  <c r="AS53" i="7"/>
  <c r="AS60" i="7"/>
  <c r="AQ77" i="7"/>
  <c r="AQ91" i="7"/>
  <c r="BO72" i="7"/>
  <c r="BO52" i="7"/>
  <c r="AQ103" i="7"/>
  <c r="BO103" i="7"/>
  <c r="BO114" i="7"/>
  <c r="BQ58" i="7"/>
  <c r="AQ97" i="7"/>
  <c r="AQ109" i="7"/>
  <c r="AS52" i="7"/>
  <c r="BO76" i="7"/>
  <c r="BO106" i="7"/>
  <c r="AQ72" i="7"/>
  <c r="BO98" i="7"/>
  <c r="AQ92" i="7"/>
  <c r="BO64" i="7"/>
  <c r="BO92" i="7"/>
  <c r="BO65" i="7"/>
  <c r="BO57" i="7"/>
  <c r="BQ57" i="7"/>
  <c r="BO81" i="7"/>
  <c r="AQ101" i="7"/>
  <c r="BO70" i="7"/>
  <c r="AQ71" i="7"/>
  <c r="BO66" i="7"/>
  <c r="BO115" i="7"/>
  <c r="AQ95" i="7"/>
  <c r="AQ114" i="7"/>
  <c r="AD77" i="4"/>
  <c r="AE77" i="4" s="1"/>
  <c r="W78" i="4"/>
  <c r="AD110" i="4"/>
  <c r="AE110" i="4" s="1"/>
  <c r="W65" i="4"/>
  <c r="AD97" i="4"/>
  <c r="AE97" i="4" s="1"/>
  <c r="W98" i="4"/>
  <c r="W72" i="4"/>
  <c r="AD74" i="4"/>
  <c r="AE74" i="4" s="1"/>
  <c r="W55" i="4"/>
  <c r="W58" i="4"/>
  <c r="AD58" i="4"/>
  <c r="AE58" i="4" s="1"/>
  <c r="W59" i="4"/>
  <c r="AD66" i="4"/>
  <c r="AE66" i="4" s="1"/>
  <c r="AD88" i="4"/>
  <c r="AE88" i="4" s="1"/>
  <c r="AD91" i="4"/>
  <c r="AE91" i="4" s="1"/>
  <c r="W92" i="4"/>
  <c r="AD94" i="4"/>
  <c r="AE94" i="4" s="1"/>
  <c r="AD65" i="4"/>
  <c r="AE65" i="4" s="1"/>
  <c r="AD75" i="4"/>
  <c r="AE75" i="4" s="1"/>
  <c r="AD95" i="4"/>
  <c r="AE95" i="4" s="1"/>
  <c r="AD114" i="4"/>
  <c r="AE114" i="4" s="1"/>
  <c r="AD53" i="4"/>
  <c r="AE53" i="4" s="1"/>
  <c r="W54" i="4"/>
  <c r="AD70" i="4"/>
  <c r="AE70" i="4" s="1"/>
  <c r="AD78" i="4"/>
  <c r="AE78" i="4" s="1"/>
  <c r="AD79" i="4"/>
  <c r="AE79" i="4" s="1"/>
  <c r="W80" i="4"/>
  <c r="AD98" i="4"/>
  <c r="AE98" i="4" s="1"/>
  <c r="AD99" i="4"/>
  <c r="AE99" i="4" s="1"/>
  <c r="W100" i="4"/>
  <c r="W75" i="4"/>
  <c r="W76" i="4"/>
  <c r="W95" i="4"/>
  <c r="W96" i="4"/>
  <c r="W115" i="4"/>
  <c r="AD54" i="4"/>
  <c r="AE54" i="4" s="1"/>
  <c r="AD57" i="4"/>
  <c r="AE57" i="4" s="1"/>
  <c r="W71" i="4"/>
  <c r="AD82" i="4"/>
  <c r="AE82" i="4" s="1"/>
  <c r="W83" i="4"/>
  <c r="AD83" i="4"/>
  <c r="AE83" i="4" s="1"/>
  <c r="W86" i="4"/>
  <c r="W88" i="4"/>
  <c r="AD102" i="4"/>
  <c r="AE102" i="4" s="1"/>
  <c r="W103" i="4"/>
  <c r="W107" i="4"/>
  <c r="AD109" i="4"/>
  <c r="AE109" i="4" s="1"/>
  <c r="W110" i="4"/>
  <c r="AD72" i="4"/>
  <c r="AE72" i="4" s="1"/>
  <c r="AD80" i="4"/>
  <c r="AE80" i="4" s="1"/>
  <c r="AD92" i="4"/>
  <c r="AE92" i="4" s="1"/>
  <c r="W67" i="4"/>
  <c r="W52" i="4"/>
  <c r="AD64" i="4"/>
  <c r="AE64" i="4" s="1"/>
  <c r="AD104" i="4"/>
  <c r="AE104" i="4" s="1"/>
  <c r="W106" i="4"/>
  <c r="W116" i="4"/>
  <c r="AD67" i="4"/>
  <c r="AE67" i="4" s="1"/>
  <c r="AD73" i="4"/>
  <c r="AE73" i="4" s="1"/>
  <c r="AD76" i="4"/>
  <c r="AE76" i="4" s="1"/>
  <c r="AD81" i="4"/>
  <c r="AE81" i="4" s="1"/>
  <c r="AD86" i="4"/>
  <c r="AE86" i="4" s="1"/>
  <c r="AD93" i="4"/>
  <c r="AE93" i="4" s="1"/>
  <c r="AD96" i="4"/>
  <c r="AE96" i="4" s="1"/>
  <c r="W99" i="4"/>
  <c r="W102" i="4"/>
  <c r="AD106" i="4"/>
  <c r="AE106" i="4" s="1"/>
  <c r="W111" i="4"/>
  <c r="AD117" i="4"/>
  <c r="AE117" i="4" s="1"/>
  <c r="AD100" i="4"/>
  <c r="AE100" i="4" s="1"/>
  <c r="AD59" i="4"/>
  <c r="AE59" i="4" s="1"/>
  <c r="W68" i="4"/>
  <c r="W74" i="4"/>
  <c r="W79" i="4"/>
  <c r="W82" i="4"/>
  <c r="W91" i="4"/>
  <c r="W94" i="4"/>
  <c r="AD101" i="4"/>
  <c r="AE101" i="4" s="1"/>
  <c r="AD69" i="4"/>
  <c r="AE69" i="4" s="1"/>
  <c r="W108" i="4"/>
  <c r="AD112" i="4"/>
  <c r="AE112" i="4" s="1"/>
  <c r="AD113" i="4"/>
  <c r="AE113" i="4" s="1"/>
  <c r="W114" i="4"/>
  <c r="AD52" i="4"/>
  <c r="AE52" i="4" s="1"/>
  <c r="W57" i="4"/>
  <c r="AD55" i="4"/>
  <c r="AE55" i="4" s="1"/>
  <c r="AD60" i="4"/>
  <c r="AE60" i="4" s="1"/>
  <c r="W64" i="4"/>
  <c r="W66" i="4"/>
  <c r="AD71" i="4"/>
  <c r="AE71" i="4" s="1"/>
  <c r="AD87" i="4"/>
  <c r="AE87" i="4" s="1"/>
  <c r="W53" i="4"/>
  <c r="W56" i="4"/>
  <c r="AD56" i="4"/>
  <c r="AE56" i="4" s="1"/>
  <c r="W60" i="4"/>
  <c r="W70" i="4"/>
  <c r="AD105" i="4"/>
  <c r="AE105" i="4" s="1"/>
  <c r="W105" i="4"/>
  <c r="AD107" i="4"/>
  <c r="AE107" i="4" s="1"/>
  <c r="W113" i="4"/>
  <c r="AD115" i="4"/>
  <c r="AE115" i="4" s="1"/>
  <c r="W69" i="4"/>
  <c r="W73" i="4"/>
  <c r="W77" i="4"/>
  <c r="W81" i="4"/>
  <c r="W87" i="4"/>
  <c r="W93" i="4"/>
  <c r="W97" i="4"/>
  <c r="W101" i="4"/>
  <c r="W104" i="4"/>
  <c r="AD108" i="4"/>
  <c r="AE108" i="4" s="1"/>
  <c r="W112" i="4"/>
  <c r="AD116" i="4"/>
  <c r="AE116" i="4" s="1"/>
  <c r="AD68" i="4"/>
  <c r="AE68" i="4" s="1"/>
  <c r="AD103" i="4"/>
  <c r="AE103" i="4" s="1"/>
  <c r="W109" i="4"/>
  <c r="AD111" i="4"/>
  <c r="AE111" i="4" s="1"/>
  <c r="W117" i="4"/>
  <c r="CD147" i="4" l="1"/>
  <c r="BZ147" i="4"/>
  <c r="CA147" i="4" s="1"/>
  <c r="BX148" i="4"/>
  <c r="CB147" i="4"/>
  <c r="CC147" i="4" s="1"/>
  <c r="BY147" i="4"/>
  <c r="X65" i="4"/>
  <c r="BF65" i="4"/>
  <c r="X87" i="4"/>
  <c r="AF87" i="4" s="1"/>
  <c r="BF87" i="4"/>
  <c r="X117" i="4"/>
  <c r="BF117" i="4"/>
  <c r="X104" i="4"/>
  <c r="AF104" i="4" s="1"/>
  <c r="BF104" i="4"/>
  <c r="X107" i="4"/>
  <c r="BF107" i="4"/>
  <c r="X71" i="4"/>
  <c r="AF71" i="4" s="1"/>
  <c r="BF71" i="4"/>
  <c r="X98" i="4"/>
  <c r="BF98" i="4"/>
  <c r="X101" i="4"/>
  <c r="AF101" i="4" s="1"/>
  <c r="BF101" i="4"/>
  <c r="X56" i="4"/>
  <c r="BF56" i="4"/>
  <c r="X74" i="4"/>
  <c r="AF74" i="4" s="1"/>
  <c r="BF74" i="4"/>
  <c r="X103" i="4"/>
  <c r="BF103" i="4"/>
  <c r="X109" i="4"/>
  <c r="AF109" i="4" s="1"/>
  <c r="BF109" i="4"/>
  <c r="X112" i="4"/>
  <c r="BF112" i="4"/>
  <c r="X97" i="4"/>
  <c r="BF97" i="4"/>
  <c r="X77" i="4"/>
  <c r="BF77" i="4"/>
  <c r="X113" i="4"/>
  <c r="AF113" i="4" s="1"/>
  <c r="BF113" i="4"/>
  <c r="X70" i="4"/>
  <c r="BF70" i="4"/>
  <c r="X53" i="4"/>
  <c r="AF53" i="4" s="1"/>
  <c r="BF53" i="4"/>
  <c r="X64" i="4"/>
  <c r="BF64" i="4"/>
  <c r="X108" i="4"/>
  <c r="AF108" i="4" s="1"/>
  <c r="BF108" i="4"/>
  <c r="X91" i="4"/>
  <c r="BF91" i="4"/>
  <c r="X68" i="4"/>
  <c r="AF68" i="4" s="1"/>
  <c r="BF68" i="4"/>
  <c r="X111" i="4"/>
  <c r="BF111" i="4"/>
  <c r="X106" i="4"/>
  <c r="AF106" i="4" s="1"/>
  <c r="BF106" i="4"/>
  <c r="X67" i="4"/>
  <c r="BF67" i="4"/>
  <c r="X110" i="4"/>
  <c r="AF110" i="4" s="1"/>
  <c r="BF110" i="4"/>
  <c r="X83" i="4"/>
  <c r="AF83" i="4" s="1"/>
  <c r="BF83" i="4"/>
  <c r="X76" i="4"/>
  <c r="AF76" i="4" s="1"/>
  <c r="BF76" i="4"/>
  <c r="X92" i="4"/>
  <c r="BF92" i="4"/>
  <c r="X59" i="4"/>
  <c r="AF59" i="4" s="1"/>
  <c r="BF59" i="4"/>
  <c r="X69" i="4"/>
  <c r="AF69" i="4" s="1"/>
  <c r="BF69" i="4"/>
  <c r="X105" i="4"/>
  <c r="AF105" i="4" s="1"/>
  <c r="BF105" i="4"/>
  <c r="X79" i="4"/>
  <c r="AF79" i="4" s="1"/>
  <c r="BF79" i="4"/>
  <c r="X102" i="4"/>
  <c r="AF102" i="4" s="1"/>
  <c r="BF102" i="4"/>
  <c r="X86" i="4"/>
  <c r="BF86" i="4"/>
  <c r="X96" i="4"/>
  <c r="AF96" i="4" s="1"/>
  <c r="BF96" i="4"/>
  <c r="X100" i="4"/>
  <c r="AF100" i="4" s="1"/>
  <c r="BF100" i="4"/>
  <c r="X58" i="4"/>
  <c r="AF58" i="4" s="1"/>
  <c r="BF58" i="4"/>
  <c r="X78" i="4"/>
  <c r="BF78" i="4"/>
  <c r="X81" i="4"/>
  <c r="AF81" i="4" s="1"/>
  <c r="BF81" i="4"/>
  <c r="X66" i="4"/>
  <c r="BF66" i="4"/>
  <c r="X57" i="4"/>
  <c r="AF57" i="4" s="1"/>
  <c r="BF57" i="4"/>
  <c r="X94" i="4"/>
  <c r="BF94" i="4"/>
  <c r="X99" i="4"/>
  <c r="AF99" i="4" s="1"/>
  <c r="BF99" i="4"/>
  <c r="X116" i="4"/>
  <c r="AF116" i="4" s="1"/>
  <c r="BF116" i="4"/>
  <c r="X52" i="4"/>
  <c r="AF52" i="4" s="1"/>
  <c r="BF52" i="4"/>
  <c r="X95" i="4"/>
  <c r="AF95" i="4" s="1"/>
  <c r="BF95" i="4"/>
  <c r="X55" i="4"/>
  <c r="AF55" i="4" s="1"/>
  <c r="BF55" i="4"/>
  <c r="X93" i="4"/>
  <c r="AF93" i="4" s="1"/>
  <c r="BF93" i="4"/>
  <c r="X73" i="4"/>
  <c r="BF73" i="4"/>
  <c r="X60" i="4"/>
  <c r="AF60" i="4" s="1"/>
  <c r="BF60" i="4"/>
  <c r="X114" i="4"/>
  <c r="AF114" i="4" s="1"/>
  <c r="BF114" i="4"/>
  <c r="X82" i="4"/>
  <c r="AF82" i="4" s="1"/>
  <c r="BF82" i="4"/>
  <c r="X88" i="4"/>
  <c r="AF88" i="4" s="1"/>
  <c r="BF88" i="4"/>
  <c r="X115" i="4"/>
  <c r="AF115" i="4" s="1"/>
  <c r="BF115" i="4"/>
  <c r="X75" i="4"/>
  <c r="AF75" i="4" s="1"/>
  <c r="BF75" i="4"/>
  <c r="X80" i="4"/>
  <c r="AF80" i="4" s="1"/>
  <c r="BF80" i="4"/>
  <c r="X54" i="4"/>
  <c r="AF54" i="4" s="1"/>
  <c r="BF54" i="4"/>
  <c r="X72" i="4"/>
  <c r="BF72" i="4"/>
  <c r="AF97" i="4"/>
  <c r="AF77" i="4"/>
  <c r="AF98" i="4"/>
  <c r="AF73" i="4"/>
  <c r="AF66" i="4"/>
  <c r="AF94" i="4"/>
  <c r="AF65" i="4"/>
  <c r="AF72" i="4"/>
  <c r="AF67" i="4"/>
  <c r="AF103" i="4"/>
  <c r="AF91" i="4"/>
  <c r="AF92" i="4"/>
  <c r="AF111" i="4"/>
  <c r="AF78" i="4"/>
  <c r="AF70" i="4"/>
  <c r="AF56" i="4"/>
  <c r="AF117" i="4"/>
  <c r="AF112" i="4"/>
  <c r="AF64" i="4"/>
  <c r="AF107" i="4"/>
  <c r="AF86" i="4"/>
  <c r="CD148" i="4" l="1"/>
  <c r="BZ148" i="4"/>
  <c r="CA148" i="4" s="1"/>
  <c r="BY148" i="4"/>
  <c r="CB148" i="4"/>
  <c r="CC148" i="4" s="1"/>
  <c r="BI52" i="4"/>
  <c r="BE52" i="4" s="1"/>
  <c r="BI57" i="4"/>
  <c r="BE57" i="4" s="1"/>
  <c r="BI82" i="4"/>
  <c r="BE82" i="4" s="1"/>
  <c r="J38" i="5" s="1"/>
  <c r="BI60" i="4"/>
  <c r="BE60" i="4" s="1"/>
  <c r="BI92" i="4"/>
  <c r="BE92" i="4" s="1"/>
  <c r="J48" i="5" s="1"/>
  <c r="BI106" i="4"/>
  <c r="BE106" i="4" s="1"/>
  <c r="J62" i="5" s="1"/>
  <c r="BI112" i="4"/>
  <c r="BE112" i="4" s="1"/>
  <c r="J68" i="5" s="1"/>
  <c r="BI117" i="4"/>
  <c r="BE117" i="4" s="1"/>
  <c r="J73" i="5" s="1"/>
  <c r="BI74" i="4"/>
  <c r="BE74" i="4" s="1"/>
  <c r="J30" i="5" s="1"/>
  <c r="BI81" i="4"/>
  <c r="BE81" i="4" s="1"/>
  <c r="J37" i="5" s="1"/>
  <c r="BI78" i="4"/>
  <c r="BE78" i="4" s="1"/>
  <c r="J34" i="5" s="1"/>
  <c r="BI58" i="4"/>
  <c r="BE58" i="4" s="1"/>
  <c r="BI96" i="4"/>
  <c r="BE96" i="4" s="1"/>
  <c r="J52" i="5" s="1"/>
  <c r="BI102" i="4"/>
  <c r="BE102" i="4" s="1"/>
  <c r="J58" i="5" s="1"/>
  <c r="BI105" i="4"/>
  <c r="BE105" i="4" s="1"/>
  <c r="J61" i="5" s="1"/>
  <c r="BI72" i="4"/>
  <c r="BE72" i="4" s="1"/>
  <c r="J28" i="5" s="1"/>
  <c r="BI56" i="4"/>
  <c r="BE56" i="4" s="1"/>
  <c r="BI101" i="4"/>
  <c r="BE101" i="4" s="1"/>
  <c r="J57" i="5" s="1"/>
  <c r="BI98" i="4"/>
  <c r="BE98" i="4" s="1"/>
  <c r="J54" i="5" s="1"/>
  <c r="BI87" i="4"/>
  <c r="BE87" i="4" s="1"/>
  <c r="BI83" i="4"/>
  <c r="BE83" i="4" s="1"/>
  <c r="J39" i="5" s="1"/>
  <c r="BI55" i="4"/>
  <c r="BE55" i="4" s="1"/>
  <c r="BI103" i="4"/>
  <c r="BE103" i="4" s="1"/>
  <c r="J59" i="5" s="1"/>
  <c r="BI54" i="4"/>
  <c r="BE54" i="4" s="1"/>
  <c r="BI114" i="4"/>
  <c r="BE114" i="4" s="1"/>
  <c r="J70" i="5" s="1"/>
  <c r="BI111" i="4"/>
  <c r="BE111" i="4" s="1"/>
  <c r="J67" i="5" s="1"/>
  <c r="BI70" i="4"/>
  <c r="BE70" i="4" s="1"/>
  <c r="J26" i="5" s="1"/>
  <c r="BI104" i="4"/>
  <c r="BE104" i="4" s="1"/>
  <c r="J60" i="5" s="1"/>
  <c r="BI95" i="4"/>
  <c r="BE95" i="4" s="1"/>
  <c r="J51" i="5" s="1"/>
  <c r="BI99" i="4"/>
  <c r="BE99" i="4" s="1"/>
  <c r="J55" i="5" s="1"/>
  <c r="BI80" i="4"/>
  <c r="BE80" i="4" s="1"/>
  <c r="J36" i="5" s="1"/>
  <c r="BI115" i="4"/>
  <c r="BE115" i="4" s="1"/>
  <c r="J71" i="5" s="1"/>
  <c r="BI94" i="4"/>
  <c r="BE94" i="4" s="1"/>
  <c r="J50" i="5" s="1"/>
  <c r="BI100" i="4"/>
  <c r="BE100" i="4" s="1"/>
  <c r="J56" i="5" s="1"/>
  <c r="BI71" i="4"/>
  <c r="BE71" i="4" s="1"/>
  <c r="J27" i="5" s="1"/>
  <c r="BI107" i="4"/>
  <c r="BE107" i="4" s="1"/>
  <c r="J63" i="5" s="1"/>
  <c r="BI79" i="4"/>
  <c r="BE79" i="4" s="1"/>
  <c r="J35" i="5" s="1"/>
  <c r="BI73" i="4"/>
  <c r="BE73" i="4" s="1"/>
  <c r="J29" i="5" s="1"/>
  <c r="BI93" i="4"/>
  <c r="BE93" i="4" s="1"/>
  <c r="J49" i="5" s="1"/>
  <c r="BI97" i="4"/>
  <c r="BE97" i="4" s="1"/>
  <c r="J53" i="5" s="1"/>
  <c r="BI116" i="4"/>
  <c r="BE116" i="4" s="1"/>
  <c r="J72" i="5" s="1"/>
  <c r="BI66" i="4"/>
  <c r="BE66" i="4" s="1"/>
  <c r="J22" i="5" s="1"/>
  <c r="BI86" i="4"/>
  <c r="BE86" i="4" s="1"/>
  <c r="BI75" i="4"/>
  <c r="BE75" i="4" s="1"/>
  <c r="J31" i="5" s="1"/>
  <c r="BI88" i="4"/>
  <c r="BE88" i="4" s="1"/>
  <c r="BI59" i="4"/>
  <c r="BE59" i="4" s="1"/>
  <c r="BI76" i="4"/>
  <c r="BE76" i="4" s="1"/>
  <c r="J32" i="5" s="1"/>
  <c r="BI67" i="4"/>
  <c r="BE67" i="4" s="1"/>
  <c r="J23" i="5" s="1"/>
  <c r="BI91" i="4"/>
  <c r="BE91" i="4" s="1"/>
  <c r="J47" i="5" s="1"/>
  <c r="BI64" i="4"/>
  <c r="BE64" i="4" s="1"/>
  <c r="J20" i="5" s="1"/>
  <c r="BI77" i="4"/>
  <c r="BE77" i="4" s="1"/>
  <c r="J33" i="5" s="1"/>
  <c r="BI109" i="4"/>
  <c r="BE109" i="4" s="1"/>
  <c r="J65" i="5" s="1"/>
  <c r="BI65" i="4"/>
  <c r="BE65" i="4" s="1"/>
  <c r="J21" i="5" s="1"/>
  <c r="BI110" i="4"/>
  <c r="BE110" i="4" s="1"/>
  <c r="J66" i="5" s="1"/>
  <c r="BI68" i="4"/>
  <c r="BE68" i="4" s="1"/>
  <c r="J24" i="5" s="1"/>
  <c r="BI108" i="4"/>
  <c r="BE108" i="4" s="1"/>
  <c r="J64" i="5" s="1"/>
  <c r="BI53" i="4"/>
  <c r="BE53" i="4" s="1"/>
  <c r="BI113" i="4"/>
  <c r="BE113" i="4" s="1"/>
  <c r="J69" i="5" s="1"/>
  <c r="BI69" i="4"/>
  <c r="BE69" i="4" s="1"/>
  <c r="J25" i="5" s="1"/>
  <c r="U51" i="4"/>
  <c r="AB51" i="4"/>
  <c r="S51" i="4"/>
  <c r="T51" i="4" s="1"/>
  <c r="R51" i="4"/>
  <c r="AC51" i="4"/>
  <c r="J10" i="5" l="1"/>
  <c r="BK54" i="4"/>
  <c r="J43" i="5"/>
  <c r="BK87" i="4"/>
  <c r="J14" i="5"/>
  <c r="BK58" i="4"/>
  <c r="J16" i="5"/>
  <c r="BK60" i="4"/>
  <c r="J42" i="5"/>
  <c r="BK86" i="4"/>
  <c r="J15" i="5"/>
  <c r="BK59" i="4"/>
  <c r="J11" i="5"/>
  <c r="BK55" i="4"/>
  <c r="J13" i="5"/>
  <c r="BK57" i="4"/>
  <c r="J9" i="5"/>
  <c r="BK53" i="4"/>
  <c r="J44" i="5"/>
  <c r="BK88" i="4"/>
  <c r="J12" i="5"/>
  <c r="BK56" i="4"/>
  <c r="J8" i="5"/>
  <c r="W51" i="4"/>
  <c r="AA51" i="4"/>
  <c r="BK144" i="4" l="1"/>
  <c r="BL144" i="4" s="1"/>
  <c r="BK126" i="4"/>
  <c r="BL126" i="4" s="1"/>
  <c r="BS126" i="4" s="1"/>
  <c r="BK155" i="4"/>
  <c r="BL155" i="4" s="1"/>
  <c r="BK132" i="4"/>
  <c r="BL132" i="4" s="1"/>
  <c r="BK157" i="4"/>
  <c r="BL157" i="4" s="1"/>
  <c r="BK134" i="4"/>
  <c r="BL134" i="4" s="1"/>
  <c r="BK150" i="4"/>
  <c r="BL150" i="4" s="1"/>
  <c r="BK127" i="4"/>
  <c r="BL127" i="4" s="1"/>
  <c r="BS127" i="4" s="1"/>
  <c r="BK143" i="4"/>
  <c r="BL143" i="4" s="1"/>
  <c r="BK125" i="4"/>
  <c r="BL125" i="4" s="1"/>
  <c r="BS125" i="4" s="1"/>
  <c r="BK142" i="4"/>
  <c r="BL142" i="4" s="1"/>
  <c r="BK124" i="4"/>
  <c r="BL124" i="4" s="1"/>
  <c r="BS124" i="4" s="1"/>
  <c r="BK141" i="4"/>
  <c r="BL141" i="4" s="1"/>
  <c r="BK123" i="4"/>
  <c r="BL123" i="4" s="1"/>
  <c r="BS123" i="4" s="1"/>
  <c r="BK173" i="4"/>
  <c r="BL173" i="4" s="1"/>
  <c r="BK135" i="4"/>
  <c r="BL135" i="4" s="1"/>
  <c r="BK154" i="4"/>
  <c r="BL154" i="4" s="1"/>
  <c r="BK131" i="4"/>
  <c r="BL131" i="4" s="1"/>
  <c r="BK156" i="4"/>
  <c r="BL156" i="4" s="1"/>
  <c r="BK133" i="4"/>
  <c r="BL133" i="4" s="1"/>
  <c r="BK174" i="4"/>
  <c r="BL174" i="4" s="1"/>
  <c r="BK136" i="4"/>
  <c r="BL136" i="4" s="1"/>
  <c r="X51" i="4"/>
  <c r="W41" i="4"/>
  <c r="AD51" i="4"/>
  <c r="CD91" i="4"/>
  <c r="I47" i="5" s="1"/>
  <c r="AE51" i="4" l="1"/>
  <c r="AF51" i="4" s="1"/>
  <c r="AD41" i="4"/>
  <c r="BF51" i="4"/>
  <c r="EA51" i="4"/>
  <c r="AO51" i="4"/>
  <c r="BM51" i="4"/>
  <c r="CF51" i="4"/>
  <c r="CM47" i="4"/>
  <c r="CN47" i="4"/>
  <c r="EA52" i="4"/>
  <c r="AO52" i="4"/>
  <c r="BM52" i="4"/>
  <c r="CF52" i="4"/>
  <c r="CM48" i="4"/>
  <c r="CN48" i="4"/>
  <c r="EA60" i="4"/>
  <c r="AO60" i="4"/>
  <c r="BM60" i="4"/>
  <c r="CF60" i="4"/>
  <c r="CM56" i="4"/>
  <c r="CN56" i="4"/>
  <c r="EA87" i="4"/>
  <c r="EB87" i="4"/>
  <c r="AO87" i="4"/>
  <c r="BM87" i="4"/>
  <c r="CD87" i="4"/>
  <c r="CF87" i="4"/>
  <c r="CK87" i="4"/>
  <c r="CE87" i="4" l="1"/>
  <c r="I43" i="5"/>
  <c r="BI51" i="4"/>
  <c r="BE51" i="4" s="1"/>
  <c r="DD47" i="4"/>
  <c r="DB47" i="4"/>
  <c r="CZ47" i="4"/>
  <c r="DC47" i="4"/>
  <c r="DA47" i="4"/>
  <c r="J7" i="5" l="1"/>
  <c r="BK36" i="4"/>
  <c r="BK33" i="4"/>
  <c r="BK35" i="4"/>
  <c r="BJ87" i="4"/>
  <c r="BM117" i="4"/>
  <c r="BM116" i="4"/>
  <c r="BM115" i="4"/>
  <c r="BM114" i="4"/>
  <c r="BM113" i="4"/>
  <c r="BM112" i="4"/>
  <c r="BM111" i="4"/>
  <c r="BM110" i="4"/>
  <c r="BM109" i="4"/>
  <c r="BM108" i="4"/>
  <c r="BM107" i="4"/>
  <c r="BM106" i="4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91" i="4"/>
  <c r="BM88" i="4"/>
  <c r="BM86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68" i="4"/>
  <c r="BM67" i="4"/>
  <c r="BM66" i="4"/>
  <c r="BM65" i="4"/>
  <c r="BM64" i="4"/>
  <c r="BM59" i="4"/>
  <c r="BM58" i="4"/>
  <c r="BM57" i="4"/>
  <c r="BM56" i="4"/>
  <c r="BM55" i="4"/>
  <c r="BM54" i="4"/>
  <c r="BM53" i="4"/>
  <c r="EB117" i="4"/>
  <c r="EB116" i="4"/>
  <c r="EB115" i="4"/>
  <c r="EB114" i="4"/>
  <c r="EB113" i="4"/>
  <c r="EB112" i="4"/>
  <c r="EB111" i="4"/>
  <c r="EB110" i="4"/>
  <c r="EB109" i="4"/>
  <c r="EB108" i="4"/>
  <c r="EB107" i="4"/>
  <c r="EB106" i="4"/>
  <c r="EB105" i="4"/>
  <c r="EB104" i="4"/>
  <c r="EB103" i="4"/>
  <c r="EB102" i="4"/>
  <c r="EB101" i="4"/>
  <c r="EB100" i="4"/>
  <c r="EB99" i="4"/>
  <c r="EB98" i="4"/>
  <c r="EB97" i="4"/>
  <c r="EB96" i="4"/>
  <c r="EB95" i="4"/>
  <c r="EB94" i="4"/>
  <c r="EB93" i="4"/>
  <c r="EB92" i="4"/>
  <c r="EB91" i="4"/>
  <c r="EB83" i="4"/>
  <c r="EB82" i="4"/>
  <c r="EB81" i="4"/>
  <c r="EB80" i="4"/>
  <c r="EB79" i="4"/>
  <c r="EB78" i="4"/>
  <c r="EB77" i="4"/>
  <c r="EB76" i="4"/>
  <c r="EB75" i="4"/>
  <c r="EB74" i="4"/>
  <c r="EB73" i="4"/>
  <c r="EB72" i="4"/>
  <c r="EB71" i="4"/>
  <c r="EB70" i="4"/>
  <c r="EB69" i="4"/>
  <c r="EB68" i="4"/>
  <c r="EB67" i="4"/>
  <c r="EB66" i="4"/>
  <c r="EB65" i="4"/>
  <c r="EB64" i="4"/>
  <c r="EB88" i="4"/>
  <c r="EB86" i="4"/>
  <c r="EB59" i="4"/>
  <c r="EB58" i="4"/>
  <c r="EB57" i="4"/>
  <c r="EB56" i="4"/>
  <c r="EB55" i="4"/>
  <c r="EB54" i="4"/>
  <c r="EB53" i="4"/>
  <c r="EA117" i="4"/>
  <c r="EA116" i="4"/>
  <c r="EA115" i="4"/>
  <c r="EA114" i="4"/>
  <c r="EA113" i="4"/>
  <c r="EA112" i="4"/>
  <c r="EA111" i="4"/>
  <c r="EA110" i="4"/>
  <c r="EA109" i="4"/>
  <c r="EA108" i="4"/>
  <c r="EA107" i="4"/>
  <c r="EA106" i="4"/>
  <c r="EA105" i="4"/>
  <c r="EA104" i="4"/>
  <c r="EA103" i="4"/>
  <c r="EA102" i="4"/>
  <c r="EA101" i="4"/>
  <c r="EA100" i="4"/>
  <c r="EA99" i="4"/>
  <c r="EA98" i="4"/>
  <c r="EA97" i="4"/>
  <c r="EA96" i="4"/>
  <c r="EA95" i="4"/>
  <c r="EA94" i="4"/>
  <c r="EA93" i="4"/>
  <c r="EA92" i="4"/>
  <c r="EA91" i="4"/>
  <c r="EA88" i="4"/>
  <c r="EA86" i="4"/>
  <c r="EA83" i="4"/>
  <c r="EA82" i="4"/>
  <c r="EA81" i="4"/>
  <c r="EA80" i="4"/>
  <c r="EA79" i="4"/>
  <c r="EA78" i="4"/>
  <c r="EA77" i="4"/>
  <c r="EA76" i="4"/>
  <c r="EA75" i="4"/>
  <c r="EA74" i="4"/>
  <c r="EA73" i="4"/>
  <c r="EA72" i="4"/>
  <c r="EA71" i="4"/>
  <c r="EA70" i="4"/>
  <c r="EA69" i="4"/>
  <c r="EA68" i="4"/>
  <c r="EA67" i="4"/>
  <c r="EA66" i="4"/>
  <c r="EA65" i="4"/>
  <c r="EA64" i="4"/>
  <c r="EA59" i="4"/>
  <c r="EA58" i="4"/>
  <c r="EA57" i="4"/>
  <c r="EA56" i="4"/>
  <c r="EA55" i="4"/>
  <c r="EA54" i="4"/>
  <c r="EA53" i="4"/>
  <c r="BJ52" i="4" l="1"/>
  <c r="BR87" i="4"/>
  <c r="BJ60" i="4"/>
  <c r="K43" i="5" l="1"/>
  <c r="BL87" i="4"/>
  <c r="DN87" i="4"/>
  <c r="DO87" i="4" s="1"/>
  <c r="CK117" i="4"/>
  <c r="CK116" i="4"/>
  <c r="CK115" i="4"/>
  <c r="CK114" i="4"/>
  <c r="CK113" i="4"/>
  <c r="CK112" i="4"/>
  <c r="CK111" i="4"/>
  <c r="CK110" i="4"/>
  <c r="CK109" i="4"/>
  <c r="CK108" i="4"/>
  <c r="CK107" i="4"/>
  <c r="CK106" i="4"/>
  <c r="CK105" i="4"/>
  <c r="CK104" i="4"/>
  <c r="CK103" i="4"/>
  <c r="CK102" i="4"/>
  <c r="CK101" i="4"/>
  <c r="CK100" i="4"/>
  <c r="CK99" i="4"/>
  <c r="CK98" i="4"/>
  <c r="CK97" i="4"/>
  <c r="CK96" i="4"/>
  <c r="CK95" i="4"/>
  <c r="CK94" i="4"/>
  <c r="CK93" i="4"/>
  <c r="CK92" i="4"/>
  <c r="CK91" i="4"/>
  <c r="CK88" i="4"/>
  <c r="CK86" i="4"/>
  <c r="CK83" i="4"/>
  <c r="CK82" i="4"/>
  <c r="CK81" i="4"/>
  <c r="CK80" i="4"/>
  <c r="CK79" i="4"/>
  <c r="CK78" i="4"/>
  <c r="CK77" i="4"/>
  <c r="CK76" i="4"/>
  <c r="CK75" i="4"/>
  <c r="CK74" i="4"/>
  <c r="CK73" i="4"/>
  <c r="CK72" i="4"/>
  <c r="CK71" i="4"/>
  <c r="CK70" i="4"/>
  <c r="CK69" i="4"/>
  <c r="CK68" i="4"/>
  <c r="CK67" i="4"/>
  <c r="CK66" i="4"/>
  <c r="CK65" i="4"/>
  <c r="CK64" i="4"/>
  <c r="CK59" i="4"/>
  <c r="CK58" i="4"/>
  <c r="CK57" i="4"/>
  <c r="CK56" i="4"/>
  <c r="CK55" i="4"/>
  <c r="CK54" i="4"/>
  <c r="CK53" i="4"/>
  <c r="CD117" i="4"/>
  <c r="I73" i="5" s="1"/>
  <c r="CD116" i="4"/>
  <c r="I72" i="5" s="1"/>
  <c r="CD115" i="4"/>
  <c r="I71" i="5" s="1"/>
  <c r="CD114" i="4"/>
  <c r="I70" i="5" s="1"/>
  <c r="CD113" i="4"/>
  <c r="I69" i="5" s="1"/>
  <c r="CD112" i="4"/>
  <c r="I68" i="5" s="1"/>
  <c r="CD111" i="4"/>
  <c r="I67" i="5" s="1"/>
  <c r="CD110" i="4"/>
  <c r="I66" i="5" s="1"/>
  <c r="CD109" i="4"/>
  <c r="I65" i="5" s="1"/>
  <c r="CD108" i="4"/>
  <c r="I64" i="5" s="1"/>
  <c r="CD107" i="4"/>
  <c r="I63" i="5" s="1"/>
  <c r="CD106" i="4"/>
  <c r="I62" i="5" s="1"/>
  <c r="CD105" i="4"/>
  <c r="I61" i="5" s="1"/>
  <c r="CD104" i="4"/>
  <c r="I60" i="5" s="1"/>
  <c r="CD103" i="4"/>
  <c r="I59" i="5" s="1"/>
  <c r="CD102" i="4"/>
  <c r="I58" i="5" s="1"/>
  <c r="CD101" i="4"/>
  <c r="I57" i="5" s="1"/>
  <c r="CD100" i="4"/>
  <c r="I56" i="5" s="1"/>
  <c r="CD99" i="4"/>
  <c r="I55" i="5" s="1"/>
  <c r="CD98" i="4"/>
  <c r="I54" i="5" s="1"/>
  <c r="CD97" i="4"/>
  <c r="I53" i="5" s="1"/>
  <c r="CD96" i="4"/>
  <c r="I52" i="5" s="1"/>
  <c r="CD95" i="4"/>
  <c r="I51" i="5" s="1"/>
  <c r="CD94" i="4"/>
  <c r="I50" i="5" s="1"/>
  <c r="CD93" i="4"/>
  <c r="I49" i="5" s="1"/>
  <c r="CD92" i="4"/>
  <c r="I48" i="5" s="1"/>
  <c r="CD83" i="4"/>
  <c r="I39" i="5" s="1"/>
  <c r="CD82" i="4"/>
  <c r="I38" i="5" s="1"/>
  <c r="CD81" i="4"/>
  <c r="I37" i="5" s="1"/>
  <c r="CD80" i="4"/>
  <c r="I36" i="5" s="1"/>
  <c r="CD79" i="4"/>
  <c r="I35" i="5" s="1"/>
  <c r="CD78" i="4"/>
  <c r="I34" i="5" s="1"/>
  <c r="CD77" i="4"/>
  <c r="CD76" i="4"/>
  <c r="I32" i="5" s="1"/>
  <c r="CD75" i="4"/>
  <c r="I31" i="5" s="1"/>
  <c r="CD74" i="4"/>
  <c r="I30" i="5" s="1"/>
  <c r="CD73" i="4"/>
  <c r="I29" i="5" s="1"/>
  <c r="CD72" i="4"/>
  <c r="I28" i="5" s="1"/>
  <c r="CD71" i="4"/>
  <c r="I27" i="5" s="1"/>
  <c r="CD70" i="4"/>
  <c r="I26" i="5" s="1"/>
  <c r="CD69" i="4"/>
  <c r="I25" i="5" s="1"/>
  <c r="CD68" i="4"/>
  <c r="I24" i="5" s="1"/>
  <c r="CD67" i="4"/>
  <c r="I23" i="5" s="1"/>
  <c r="CD66" i="4"/>
  <c r="I22" i="5" s="1"/>
  <c r="CD65" i="4"/>
  <c r="I21" i="5" s="1"/>
  <c r="CD64" i="4"/>
  <c r="I20" i="5" s="1"/>
  <c r="CD88" i="4"/>
  <c r="CD86" i="4"/>
  <c r="I42" i="5" s="1"/>
  <c r="CD59" i="4"/>
  <c r="I15" i="5" s="1"/>
  <c r="CD58" i="4"/>
  <c r="I14" i="5" s="1"/>
  <c r="CD57" i="4"/>
  <c r="I13" i="5" s="1"/>
  <c r="CD56" i="4"/>
  <c r="I12" i="5" s="1"/>
  <c r="CD55" i="4"/>
  <c r="I11" i="5" s="1"/>
  <c r="CD54" i="4"/>
  <c r="I10" i="5" s="1"/>
  <c r="CD53" i="4"/>
  <c r="I9" i="5" s="1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88" i="4"/>
  <c r="AO86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59" i="4"/>
  <c r="AO58" i="4"/>
  <c r="AO57" i="4"/>
  <c r="AO56" i="4"/>
  <c r="AO55" i="4"/>
  <c r="AO54" i="4"/>
  <c r="AO53" i="4"/>
  <c r="CF117" i="4"/>
  <c r="CF116" i="4"/>
  <c r="CF115" i="4"/>
  <c r="CF114" i="4"/>
  <c r="CF113" i="4"/>
  <c r="CF112" i="4"/>
  <c r="CF111" i="4"/>
  <c r="CF110" i="4"/>
  <c r="CF109" i="4"/>
  <c r="CF108" i="4"/>
  <c r="CF107" i="4"/>
  <c r="CF106" i="4"/>
  <c r="CF105" i="4"/>
  <c r="CF104" i="4"/>
  <c r="CF103" i="4"/>
  <c r="CF102" i="4"/>
  <c r="CF101" i="4"/>
  <c r="CF100" i="4"/>
  <c r="CF99" i="4"/>
  <c r="CF98" i="4"/>
  <c r="CF97" i="4"/>
  <c r="CF96" i="4"/>
  <c r="CF95" i="4"/>
  <c r="CF94" i="4"/>
  <c r="CF93" i="4"/>
  <c r="CF92" i="4"/>
  <c r="CF91" i="4"/>
  <c r="CF88" i="4"/>
  <c r="CF86" i="4"/>
  <c r="CF83" i="4"/>
  <c r="CF82" i="4"/>
  <c r="CF81" i="4"/>
  <c r="CF80" i="4"/>
  <c r="CF79" i="4"/>
  <c r="CF78" i="4"/>
  <c r="CF77" i="4"/>
  <c r="CF76" i="4"/>
  <c r="CF75" i="4"/>
  <c r="CF74" i="4"/>
  <c r="CF73" i="4"/>
  <c r="CF72" i="4"/>
  <c r="CF71" i="4"/>
  <c r="CF70" i="4"/>
  <c r="CF69" i="4"/>
  <c r="CF68" i="4"/>
  <c r="CF67" i="4"/>
  <c r="CF66" i="4"/>
  <c r="CF65" i="4"/>
  <c r="CF64" i="4"/>
  <c r="CF59" i="4"/>
  <c r="CF58" i="4"/>
  <c r="CF57" i="4"/>
  <c r="CF56" i="4"/>
  <c r="CF55" i="4"/>
  <c r="CF54" i="4"/>
  <c r="CF53" i="4"/>
  <c r="CY50" i="4" l="1"/>
  <c r="I33" i="5"/>
  <c r="DD55" i="4"/>
  <c r="I44" i="5"/>
  <c r="CS56" i="4"/>
  <c r="CW56" i="4"/>
  <c r="CQ56" i="4"/>
  <c r="CV56" i="4"/>
  <c r="CP56" i="4"/>
  <c r="CT56" i="4"/>
  <c r="CX56" i="4"/>
  <c r="CU56" i="4"/>
  <c r="DE56" i="4" s="1"/>
  <c r="CY56" i="4"/>
  <c r="CR56" i="4"/>
  <c r="CS47" i="4"/>
  <c r="CW47" i="4"/>
  <c r="CQ47" i="4"/>
  <c r="CR47" i="4"/>
  <c r="CP47" i="4"/>
  <c r="CT47" i="4"/>
  <c r="CX47" i="4"/>
  <c r="CU47" i="4"/>
  <c r="DE47" i="4" s="1"/>
  <c r="CY47" i="4"/>
  <c r="DF47" i="4" s="1"/>
  <c r="CV47" i="4"/>
  <c r="CX48" i="4"/>
  <c r="CW48" i="4"/>
  <c r="CU48" i="4"/>
  <c r="CY48" i="4"/>
  <c r="CV48" i="4"/>
  <c r="CP55" i="4"/>
  <c r="CS55" i="4"/>
  <c r="CY52" i="4"/>
  <c r="CW57" i="4"/>
  <c r="DA55" i="4"/>
  <c r="DB55" i="4"/>
  <c r="CX50" i="4"/>
  <c r="CR55" i="4"/>
  <c r="DC55" i="4"/>
  <c r="CY54" i="4"/>
  <c r="CX49" i="4"/>
  <c r="CY58" i="4"/>
  <c r="CV57" i="4"/>
  <c r="CV49" i="4"/>
  <c r="CW58" i="4"/>
  <c r="CP50" i="4"/>
  <c r="CT52" i="4"/>
  <c r="CP52" i="4"/>
  <c r="CW54" i="4"/>
  <c r="CT50" i="4"/>
  <c r="CX52" i="4"/>
  <c r="CT55" i="4"/>
  <c r="CR57" i="4"/>
  <c r="CW49" i="4"/>
  <c r="CT54" i="4"/>
  <c r="CT58" i="4"/>
  <c r="CX58" i="4"/>
  <c r="CU50" i="4"/>
  <c r="CQ52" i="4"/>
  <c r="CQ54" i="4"/>
  <c r="CU49" i="4"/>
  <c r="CY49" i="4"/>
  <c r="CR50" i="4"/>
  <c r="CV50" i="4"/>
  <c r="CR52" i="4"/>
  <c r="CV52" i="4"/>
  <c r="CR54" i="4"/>
  <c r="CV54" i="4"/>
  <c r="CP57" i="4"/>
  <c r="CT57" i="4"/>
  <c r="CX57" i="4"/>
  <c r="CR58" i="4"/>
  <c r="CV58" i="4"/>
  <c r="CS50" i="4"/>
  <c r="CW50" i="4"/>
  <c r="CS52" i="4"/>
  <c r="CW52" i="4"/>
  <c r="CS54" i="4"/>
  <c r="CQ55" i="4"/>
  <c r="CZ55" i="4"/>
  <c r="CQ57" i="4"/>
  <c r="CU57" i="4"/>
  <c r="CY57" i="4"/>
  <c r="CS58" i="4"/>
  <c r="CP54" i="4"/>
  <c r="CX54" i="4"/>
  <c r="CP58" i="4"/>
  <c r="CQ50" i="4"/>
  <c r="CU52" i="4"/>
  <c r="CU54" i="4"/>
  <c r="CS57" i="4"/>
  <c r="CQ58" i="4"/>
  <c r="CU58" i="4"/>
  <c r="CN55" i="4" l="1"/>
  <c r="CM55" i="4"/>
  <c r="DE55" i="4" l="1"/>
  <c r="DE57" i="4"/>
  <c r="DE50" i="4"/>
  <c r="DE52" i="4"/>
  <c r="DF55" i="4"/>
  <c r="DE54" i="4"/>
  <c r="CE78" i="4" l="1"/>
  <c r="CE66" i="4"/>
  <c r="CE112" i="4"/>
  <c r="CE55" i="4"/>
  <c r="CE102" i="4"/>
  <c r="CE79" i="4"/>
  <c r="CE75" i="4"/>
  <c r="CE100" i="4"/>
  <c r="CE56" i="4"/>
  <c r="CE103" i="4"/>
  <c r="CE76" i="4"/>
  <c r="CE64" i="4"/>
  <c r="CE59" i="4"/>
  <c r="CE106" i="4"/>
  <c r="CE67" i="4"/>
  <c r="CE54" i="4"/>
  <c r="CE105" i="4"/>
  <c r="CE82" i="4"/>
  <c r="CE57" i="4"/>
  <c r="CE104" i="4"/>
  <c r="CE81" i="4"/>
  <c r="CE80" i="4"/>
  <c r="CE53" i="4"/>
  <c r="CE114" i="4"/>
  <c r="CE98" i="4"/>
  <c r="CE83" i="4"/>
  <c r="CE71" i="4"/>
  <c r="CE88" i="4"/>
  <c r="CE97" i="4"/>
  <c r="CE96" i="4"/>
  <c r="CE77" i="4"/>
  <c r="CE69" i="4"/>
  <c r="CE65" i="4"/>
  <c r="CE72" i="4"/>
  <c r="CE117" i="4"/>
  <c r="CE101" i="4"/>
  <c r="CE116" i="4"/>
  <c r="CE73" i="4"/>
  <c r="CE115" i="4"/>
  <c r="CE99" i="4"/>
  <c r="CE110" i="4"/>
  <c r="CE94" i="4"/>
  <c r="CE58" i="4"/>
  <c r="CE113" i="4"/>
  <c r="CE109" i="4"/>
  <c r="CE93" i="4"/>
  <c r="CE74" i="4"/>
  <c r="CE108" i="4"/>
  <c r="CE92" i="4"/>
  <c r="CE86" i="4"/>
  <c r="CE111" i="4"/>
  <c r="CE107" i="4"/>
  <c r="CE95" i="4"/>
  <c r="CE91" i="4"/>
  <c r="CE68" i="4"/>
  <c r="CE70" i="4"/>
  <c r="DE58" i="4"/>
  <c r="AH52" i="4"/>
  <c r="AH51" i="4"/>
  <c r="CM50" i="4"/>
  <c r="F7" i="5" l="1"/>
  <c r="BK51" i="4"/>
  <c r="F8" i="5"/>
  <c r="BK52" i="4"/>
  <c r="BL34" i="4"/>
  <c r="BL33" i="4"/>
  <c r="BL36" i="4"/>
  <c r="BL35" i="4"/>
  <c r="AN34" i="4"/>
  <c r="AN33" i="4"/>
  <c r="AN32" i="4"/>
  <c r="AN35" i="4"/>
  <c r="BJ51" i="4"/>
  <c r="AK60" i="4"/>
  <c r="AK52" i="4"/>
  <c r="AK87" i="4"/>
  <c r="AK51" i="4"/>
  <c r="CD51" i="4"/>
  <c r="I7" i="5" s="1"/>
  <c r="CK51" i="4"/>
  <c r="EB51" i="4"/>
  <c r="BR51" i="4"/>
  <c r="CD60" i="4"/>
  <c r="CK60" i="4"/>
  <c r="EB60" i="4"/>
  <c r="BR60" i="4"/>
  <c r="CD52" i="4"/>
  <c r="CK52" i="4"/>
  <c r="EB52" i="4"/>
  <c r="BR52" i="4"/>
  <c r="CN54" i="4"/>
  <c r="CN49" i="4"/>
  <c r="CM53" i="4"/>
  <c r="CN50" i="4"/>
  <c r="CN57" i="4"/>
  <c r="CM51" i="4"/>
  <c r="CM52" i="4"/>
  <c r="CM58" i="4"/>
  <c r="CM49" i="4"/>
  <c r="CN51" i="4"/>
  <c r="CN52" i="4"/>
  <c r="CM54" i="4"/>
  <c r="CM57" i="4"/>
  <c r="CN58" i="4"/>
  <c r="CN53" i="4"/>
  <c r="AK108" i="4"/>
  <c r="BK153" i="4" l="1"/>
  <c r="BL153" i="4" s="1"/>
  <c r="BK130" i="4"/>
  <c r="BL130" i="4" s="1"/>
  <c r="BK140" i="4"/>
  <c r="BL140" i="4" s="1"/>
  <c r="BK129" i="4"/>
  <c r="BL129" i="4" s="1"/>
  <c r="BK122" i="4"/>
  <c r="BL122" i="4" s="1"/>
  <c r="BS122" i="4" s="1"/>
  <c r="CZ51" i="4"/>
  <c r="DE51" i="4" s="1"/>
  <c r="I16" i="5"/>
  <c r="CS49" i="4"/>
  <c r="I8" i="5"/>
  <c r="K8" i="5"/>
  <c r="DN60" i="4"/>
  <c r="DO60" i="4" s="1"/>
  <c r="K16" i="5"/>
  <c r="DN51" i="4"/>
  <c r="DO51" i="4" s="1"/>
  <c r="K7" i="5"/>
  <c r="CD40" i="4"/>
  <c r="BL52" i="4"/>
  <c r="DN52" i="4"/>
  <c r="DO52" i="4" s="1"/>
  <c r="CE41" i="4"/>
  <c r="CE40" i="4"/>
  <c r="CD41" i="4"/>
  <c r="BL51" i="4"/>
  <c r="CQ51" i="4"/>
  <c r="CP51" i="4"/>
  <c r="CR49" i="4"/>
  <c r="AJ52" i="4"/>
  <c r="DC49" i="4"/>
  <c r="DD49" i="4"/>
  <c r="BV55" i="4"/>
  <c r="BT55" i="4"/>
  <c r="BW55" i="4"/>
  <c r="BU55" i="4"/>
  <c r="BL60" i="4"/>
  <c r="CE60" i="4"/>
  <c r="CI60" i="4"/>
  <c r="CG60" i="4"/>
  <c r="CE52" i="4"/>
  <c r="CI52" i="4"/>
  <c r="CG52" i="4"/>
  <c r="AJ51" i="4"/>
  <c r="CT49" i="4"/>
  <c r="DA49" i="4"/>
  <c r="CE51" i="4"/>
  <c r="DD48" i="4"/>
  <c r="CP48" i="4"/>
  <c r="CI51" i="4"/>
  <c r="CS48" i="4"/>
  <c r="CR48" i="4"/>
  <c r="CZ48" i="4"/>
  <c r="DE48" i="4" s="1"/>
  <c r="CG51" i="4"/>
  <c r="CT48" i="4"/>
  <c r="CQ48" i="4"/>
  <c r="DB48" i="4"/>
  <c r="DC48" i="4"/>
  <c r="CI87" i="4"/>
  <c r="DA48" i="4"/>
  <c r="DF48" i="4" s="1"/>
  <c r="CG87" i="4"/>
  <c r="AJ87" i="4"/>
  <c r="AJ60" i="4"/>
  <c r="BJ74" i="4"/>
  <c r="BR108" i="4"/>
  <c r="CO48" i="4"/>
  <c r="AK80" i="4"/>
  <c r="AJ80" i="4" s="1"/>
  <c r="AK113" i="4"/>
  <c r="AJ113" i="4" s="1"/>
  <c r="AK100" i="4"/>
  <c r="AJ100" i="4" s="1"/>
  <c r="AK114" i="4"/>
  <c r="AJ114" i="4" s="1"/>
  <c r="AK57" i="4"/>
  <c r="AJ57" i="4" s="1"/>
  <c r="AK103" i="4"/>
  <c r="AJ103" i="4" s="1"/>
  <c r="AK70" i="4"/>
  <c r="AJ70" i="4" s="1"/>
  <c r="AK59" i="4"/>
  <c r="AJ59" i="4" s="1"/>
  <c r="AK53" i="4"/>
  <c r="AJ53" i="4" s="1"/>
  <c r="AK109" i="4"/>
  <c r="AJ109" i="4" s="1"/>
  <c r="AK98" i="4"/>
  <c r="AJ98" i="4" s="1"/>
  <c r="AK110" i="4"/>
  <c r="AJ110" i="4" s="1"/>
  <c r="AK72" i="4"/>
  <c r="AJ72" i="4" s="1"/>
  <c r="AK99" i="4"/>
  <c r="AJ99" i="4" s="1"/>
  <c r="AK117" i="4"/>
  <c r="AJ117" i="4" s="1"/>
  <c r="AK69" i="4"/>
  <c r="AJ69" i="4" s="1"/>
  <c r="AK92" i="4"/>
  <c r="AJ92" i="4" s="1"/>
  <c r="AK78" i="4"/>
  <c r="AJ78" i="4" s="1"/>
  <c r="AK56" i="4"/>
  <c r="AJ56" i="4" s="1"/>
  <c r="AK58" i="4"/>
  <c r="AJ58" i="4" s="1"/>
  <c r="AK107" i="4"/>
  <c r="AJ107" i="4" s="1"/>
  <c r="AK96" i="4"/>
  <c r="AJ96" i="4" s="1"/>
  <c r="AK68" i="4"/>
  <c r="AJ68" i="4" s="1"/>
  <c r="AK95" i="4"/>
  <c r="AJ95" i="4" s="1"/>
  <c r="AK91" i="4"/>
  <c r="AJ91" i="4" s="1"/>
  <c r="AK67" i="4"/>
  <c r="AJ67" i="4" s="1"/>
  <c r="AK111" i="4"/>
  <c r="AJ111" i="4" s="1"/>
  <c r="AK112" i="4"/>
  <c r="AJ112" i="4" s="1"/>
  <c r="AK106" i="4"/>
  <c r="AJ106" i="4" s="1"/>
  <c r="AK54" i="4"/>
  <c r="AJ54" i="4" s="1"/>
  <c r="AK76" i="4"/>
  <c r="AJ76" i="4" s="1"/>
  <c r="AK102" i="4"/>
  <c r="AJ102" i="4" s="1"/>
  <c r="AK83" i="4"/>
  <c r="AJ83" i="4" s="1"/>
  <c r="AK93" i="4"/>
  <c r="AJ93" i="4" s="1"/>
  <c r="AK55" i="4"/>
  <c r="AJ55" i="4" s="1"/>
  <c r="AK101" i="4"/>
  <c r="AJ101" i="4" s="1"/>
  <c r="AK94" i="4"/>
  <c r="AJ94" i="4" s="1"/>
  <c r="AM94" i="4" s="1"/>
  <c r="AN94" i="4" s="1"/>
  <c r="AK116" i="4"/>
  <c r="AJ116" i="4" s="1"/>
  <c r="AK86" i="4"/>
  <c r="AJ86" i="4" s="1"/>
  <c r="AK104" i="4"/>
  <c r="AJ104" i="4" s="1"/>
  <c r="AK71" i="4"/>
  <c r="AJ71" i="4" s="1"/>
  <c r="CO55" i="4"/>
  <c r="AK66" i="4"/>
  <c r="AJ66" i="4" s="1"/>
  <c r="AK105" i="4"/>
  <c r="AJ105" i="4" s="1"/>
  <c r="AK97" i="4"/>
  <c r="AJ97" i="4" s="1"/>
  <c r="AK115" i="4"/>
  <c r="AJ115" i="4" s="1"/>
  <c r="AK65" i="4"/>
  <c r="AJ65" i="4" s="1"/>
  <c r="CR51" i="4"/>
  <c r="CT51" i="4"/>
  <c r="DD51" i="4"/>
  <c r="DA51" i="4"/>
  <c r="DF51" i="4" s="1"/>
  <c r="DC51" i="4"/>
  <c r="DB51" i="4"/>
  <c r="DB49" i="4"/>
  <c r="CZ49" i="4"/>
  <c r="DE49" i="4" s="1"/>
  <c r="CP49" i="4"/>
  <c r="CS51" i="4"/>
  <c r="CQ49" i="4"/>
  <c r="CU53" i="4"/>
  <c r="DE53" i="4" s="1"/>
  <c r="CP53" i="4"/>
  <c r="AK74" i="4"/>
  <c r="AJ74" i="4" s="1"/>
  <c r="CG78" i="4"/>
  <c r="CG112" i="4"/>
  <c r="CG102" i="4"/>
  <c r="CG75" i="4"/>
  <c r="CG56" i="4"/>
  <c r="CG103" i="4"/>
  <c r="CG105" i="4"/>
  <c r="CG80" i="4"/>
  <c r="CG114" i="4"/>
  <c r="CG83" i="4"/>
  <c r="CG88" i="4"/>
  <c r="CG97" i="4"/>
  <c r="CG77" i="4"/>
  <c r="CG65" i="4"/>
  <c r="CG116" i="4"/>
  <c r="CI58" i="4"/>
  <c r="CG109" i="4"/>
  <c r="CG92" i="4"/>
  <c r="CG86" i="4"/>
  <c r="CG70" i="4"/>
  <c r="CG76" i="4"/>
  <c r="CG64" i="4"/>
  <c r="CG54" i="4"/>
  <c r="CI57" i="4"/>
  <c r="CI88" i="4"/>
  <c r="CG96" i="4"/>
  <c r="CG72" i="4"/>
  <c r="CG101" i="4"/>
  <c r="CG99" i="4"/>
  <c r="CG94" i="4"/>
  <c r="CG74" i="4"/>
  <c r="CG68" i="4"/>
  <c r="CG66" i="4"/>
  <c r="CI55" i="4"/>
  <c r="CI56" i="4"/>
  <c r="CG59" i="4"/>
  <c r="CG106" i="4"/>
  <c r="CI54" i="4"/>
  <c r="CG82" i="4"/>
  <c r="CG57" i="4"/>
  <c r="CG81" i="4"/>
  <c r="CG53" i="4"/>
  <c r="CG98" i="4"/>
  <c r="CG71" i="4"/>
  <c r="CG69" i="4"/>
  <c r="CG73" i="4"/>
  <c r="CG113" i="4"/>
  <c r="CG93" i="4"/>
  <c r="CG108" i="4"/>
  <c r="CG111" i="4"/>
  <c r="CG95" i="4"/>
  <c r="CG55" i="4"/>
  <c r="CG79" i="4"/>
  <c r="CG100" i="4"/>
  <c r="CI59" i="4"/>
  <c r="CG67" i="4"/>
  <c r="CG104" i="4"/>
  <c r="CI53" i="4"/>
  <c r="CG117" i="4"/>
  <c r="CG115" i="4"/>
  <c r="CG110" i="4"/>
  <c r="CG58" i="4"/>
  <c r="CI86" i="4"/>
  <c r="CG107" i="4"/>
  <c r="CG91" i="4"/>
  <c r="AJ108" i="4"/>
  <c r="AK88" i="4"/>
  <c r="AJ88" i="4" s="1"/>
  <c r="F31" i="6" l="1"/>
  <c r="E32" i="6" s="1"/>
  <c r="C15" i="6" s="1"/>
  <c r="C32" i="6"/>
  <c r="C31" i="6"/>
  <c r="D32" i="6"/>
  <c r="D31" i="6"/>
  <c r="BK108" i="4"/>
  <c r="BK192" i="4" s="1"/>
  <c r="BL192" i="4" s="1"/>
  <c r="CU64" i="4"/>
  <c r="CJ86" i="4"/>
  <c r="CH117" i="4"/>
  <c r="CJ59" i="4"/>
  <c r="CH82" i="4"/>
  <c r="CH72" i="4"/>
  <c r="CH88" i="4"/>
  <c r="CH51" i="4"/>
  <c r="CH58" i="4"/>
  <c r="CH111" i="4"/>
  <c r="CH73" i="4"/>
  <c r="CH53" i="4"/>
  <c r="CJ54" i="4"/>
  <c r="CJ55" i="4"/>
  <c r="CH94" i="4"/>
  <c r="CH96" i="4"/>
  <c r="CH64" i="4"/>
  <c r="CH92" i="4"/>
  <c r="CH65" i="4"/>
  <c r="CH83" i="4"/>
  <c r="CH103" i="4"/>
  <c r="CH112" i="4"/>
  <c r="CH87" i="4"/>
  <c r="CH52" i="4"/>
  <c r="CH60" i="4"/>
  <c r="CH113" i="4"/>
  <c r="CJ56" i="4"/>
  <c r="CH86" i="4"/>
  <c r="CH105" i="4"/>
  <c r="CJ51" i="4"/>
  <c r="CJ53" i="4"/>
  <c r="CH91" i="4"/>
  <c r="CH79" i="4"/>
  <c r="CH81" i="4"/>
  <c r="CH66" i="4"/>
  <c r="CJ88" i="4"/>
  <c r="CH76" i="4"/>
  <c r="CH109" i="4"/>
  <c r="CH77" i="4"/>
  <c r="CH114" i="4"/>
  <c r="CH56" i="4"/>
  <c r="CH78" i="4"/>
  <c r="CP64" i="4"/>
  <c r="AL60" i="4"/>
  <c r="AT60" i="4"/>
  <c r="AM60" i="4"/>
  <c r="CJ52" i="4"/>
  <c r="CJ60" i="4"/>
  <c r="CH95" i="4"/>
  <c r="CH98" i="4"/>
  <c r="CH74" i="4"/>
  <c r="CH54" i="4"/>
  <c r="CH116" i="4"/>
  <c r="CH102" i="4"/>
  <c r="CH100" i="4"/>
  <c r="CH110" i="4"/>
  <c r="CH104" i="4"/>
  <c r="CH108" i="4"/>
  <c r="CH69" i="4"/>
  <c r="CH106" i="4"/>
  <c r="CH99" i="4"/>
  <c r="CH107" i="4"/>
  <c r="CH115" i="4"/>
  <c r="CH67" i="4"/>
  <c r="CH55" i="4"/>
  <c r="CH93" i="4"/>
  <c r="CH71" i="4"/>
  <c r="CH57" i="4"/>
  <c r="CH59" i="4"/>
  <c r="CH68" i="4"/>
  <c r="CH101" i="4"/>
  <c r="CJ57" i="4"/>
  <c r="CH70" i="4"/>
  <c r="CJ58" i="4"/>
  <c r="CH97" i="4"/>
  <c r="CH80" i="4"/>
  <c r="CH75" i="4"/>
  <c r="AT87" i="4"/>
  <c r="AM87" i="4"/>
  <c r="AN87" i="4" s="1"/>
  <c r="AL87" i="4"/>
  <c r="CJ87" i="4"/>
  <c r="AL51" i="4"/>
  <c r="AT51" i="4"/>
  <c r="AM51" i="4"/>
  <c r="AL52" i="4"/>
  <c r="AT52" i="4"/>
  <c r="AM52" i="4"/>
  <c r="AN52" i="4" s="1"/>
  <c r="BJ108" i="4"/>
  <c r="DN108" i="4" s="1"/>
  <c r="AL94" i="4"/>
  <c r="AK75" i="4"/>
  <c r="AJ75" i="4" s="1"/>
  <c r="AM75" i="4" s="1"/>
  <c r="AN75" i="4" s="1"/>
  <c r="CO47" i="4"/>
  <c r="AT94" i="4"/>
  <c r="CO56" i="4"/>
  <c r="CO58" i="4"/>
  <c r="AX57" i="4"/>
  <c r="AW57" i="4"/>
  <c r="AY57" i="4"/>
  <c r="AV57" i="4"/>
  <c r="CZ64" i="4"/>
  <c r="BK74" i="4"/>
  <c r="BK166" i="4" s="1"/>
  <c r="BL166" i="4" s="1"/>
  <c r="BR74" i="4"/>
  <c r="BK97" i="4"/>
  <c r="BK181" i="4" s="1"/>
  <c r="BL181" i="4" s="1"/>
  <c r="BR97" i="4"/>
  <c r="BJ97" i="4"/>
  <c r="DN97" i="4" s="1"/>
  <c r="BJ71" i="4"/>
  <c r="BR71" i="4"/>
  <c r="BK71" i="4"/>
  <c r="BK163" i="4" s="1"/>
  <c r="BL163" i="4" s="1"/>
  <c r="CO52" i="4"/>
  <c r="BR55" i="4"/>
  <c r="BJ55" i="4"/>
  <c r="BJ83" i="4"/>
  <c r="BR83" i="4"/>
  <c r="BK83" i="4"/>
  <c r="BK172" i="4" s="1"/>
  <c r="BL172" i="4" s="1"/>
  <c r="BJ76" i="4"/>
  <c r="BR76" i="4"/>
  <c r="BK76" i="4"/>
  <c r="BK147" i="4" s="1"/>
  <c r="BL147" i="4" s="1"/>
  <c r="BK106" i="4"/>
  <c r="BK190" i="4" s="1"/>
  <c r="BL190" i="4" s="1"/>
  <c r="BR106" i="4"/>
  <c r="BJ106" i="4"/>
  <c r="DN106" i="4" s="1"/>
  <c r="BK111" i="4"/>
  <c r="BK194" i="4" s="1"/>
  <c r="BL194" i="4" s="1"/>
  <c r="BJ111" i="4"/>
  <c r="DN111" i="4" s="1"/>
  <c r="BR111" i="4"/>
  <c r="BK91" i="4"/>
  <c r="BK175" i="4" s="1"/>
  <c r="BL175" i="4" s="1"/>
  <c r="BR91" i="4"/>
  <c r="BJ91" i="4"/>
  <c r="DN91" i="4" s="1"/>
  <c r="BJ68" i="4"/>
  <c r="BR68" i="4"/>
  <c r="BK68" i="4"/>
  <c r="BK160" i="4" s="1"/>
  <c r="BL160" i="4" s="1"/>
  <c r="BK96" i="4"/>
  <c r="BK180" i="4" s="1"/>
  <c r="BL180" i="4" s="1"/>
  <c r="BR96" i="4"/>
  <c r="BJ96" i="4"/>
  <c r="DN96" i="4" s="1"/>
  <c r="BR58" i="4"/>
  <c r="BJ58" i="4"/>
  <c r="BJ69" i="4"/>
  <c r="BR69" i="4"/>
  <c r="BK69" i="4"/>
  <c r="BK161" i="4" s="1"/>
  <c r="BL161" i="4" s="1"/>
  <c r="BK99" i="4"/>
  <c r="BK183" i="4" s="1"/>
  <c r="BL183" i="4" s="1"/>
  <c r="BR99" i="4"/>
  <c r="BJ99" i="4"/>
  <c r="DN99" i="4" s="1"/>
  <c r="BK110" i="4"/>
  <c r="BK151" i="4" s="1"/>
  <c r="BL151" i="4" s="1"/>
  <c r="BR110" i="4"/>
  <c r="BJ110" i="4"/>
  <c r="DN110" i="4" s="1"/>
  <c r="BK109" i="4"/>
  <c r="BK193" i="4" s="1"/>
  <c r="BL193" i="4" s="1"/>
  <c r="BR109" i="4"/>
  <c r="BJ109" i="4"/>
  <c r="DN109" i="4" s="1"/>
  <c r="BR59" i="4"/>
  <c r="BJ59" i="4"/>
  <c r="BR57" i="4"/>
  <c r="BJ57" i="4"/>
  <c r="BK100" i="4"/>
  <c r="BK184" i="4" s="1"/>
  <c r="BL184" i="4" s="1"/>
  <c r="BJ100" i="4"/>
  <c r="DN100" i="4" s="1"/>
  <c r="BR100" i="4"/>
  <c r="BJ80" i="4"/>
  <c r="BR80" i="4"/>
  <c r="BK80" i="4"/>
  <c r="BK149" i="4" s="1"/>
  <c r="BL149" i="4" s="1"/>
  <c r="BJ65" i="4"/>
  <c r="BR65" i="4"/>
  <c r="BK65" i="4"/>
  <c r="BK146" i="4" s="1"/>
  <c r="BL146" i="4" s="1"/>
  <c r="BJ66" i="4"/>
  <c r="BR66" i="4"/>
  <c r="BK66" i="4"/>
  <c r="BK158" i="4" s="1"/>
  <c r="BL158" i="4" s="1"/>
  <c r="BR86" i="4"/>
  <c r="BJ86" i="4"/>
  <c r="BK94" i="4"/>
  <c r="BK178" i="4" s="1"/>
  <c r="BL178" i="4" s="1"/>
  <c r="BJ94" i="4"/>
  <c r="DN94" i="4" s="1"/>
  <c r="BR94" i="4"/>
  <c r="BR56" i="4"/>
  <c r="BJ56" i="4"/>
  <c r="AK77" i="4"/>
  <c r="AJ77" i="4" s="1"/>
  <c r="AL77" i="4" s="1"/>
  <c r="BK115" i="4"/>
  <c r="BK198" i="4" s="1"/>
  <c r="BL198" i="4" s="1"/>
  <c r="BJ115" i="4"/>
  <c r="DN115" i="4" s="1"/>
  <c r="BR115" i="4"/>
  <c r="BK105" i="4"/>
  <c r="BK189" i="4" s="1"/>
  <c r="BL189" i="4" s="1"/>
  <c r="BR105" i="4"/>
  <c r="BJ105" i="4"/>
  <c r="DN105" i="4" s="1"/>
  <c r="BJ88" i="4"/>
  <c r="BR88" i="4"/>
  <c r="BK104" i="4"/>
  <c r="BK188" i="4" s="1"/>
  <c r="BL188" i="4" s="1"/>
  <c r="BR104" i="4"/>
  <c r="BJ104" i="4"/>
  <c r="DN104" i="4" s="1"/>
  <c r="BK116" i="4"/>
  <c r="BK199" i="4" s="1"/>
  <c r="BL199" i="4" s="1"/>
  <c r="BJ116" i="4"/>
  <c r="DN116" i="4" s="1"/>
  <c r="BR116" i="4"/>
  <c r="BK101" i="4"/>
  <c r="BK185" i="4" s="1"/>
  <c r="BL185" i="4" s="1"/>
  <c r="BR101" i="4"/>
  <c r="BJ101" i="4"/>
  <c r="DN101" i="4" s="1"/>
  <c r="BJ78" i="4"/>
  <c r="BR78" i="4"/>
  <c r="BK78" i="4"/>
  <c r="BK168" i="4" s="1"/>
  <c r="BL168" i="4" s="1"/>
  <c r="CO57" i="4"/>
  <c r="BK93" i="4"/>
  <c r="BK177" i="4" s="1"/>
  <c r="BL177" i="4" s="1"/>
  <c r="BR93" i="4"/>
  <c r="BJ93" i="4"/>
  <c r="DN93" i="4" s="1"/>
  <c r="BK102" i="4"/>
  <c r="BK186" i="4" s="1"/>
  <c r="BL186" i="4" s="1"/>
  <c r="BR102" i="4"/>
  <c r="BJ102" i="4"/>
  <c r="DN102" i="4" s="1"/>
  <c r="BR54" i="4"/>
  <c r="BJ54" i="4"/>
  <c r="BK112" i="4"/>
  <c r="BK195" i="4" s="1"/>
  <c r="BL195" i="4" s="1"/>
  <c r="BJ112" i="4"/>
  <c r="DN112" i="4" s="1"/>
  <c r="BR112" i="4"/>
  <c r="BJ67" i="4"/>
  <c r="BR67" i="4"/>
  <c r="BK67" i="4"/>
  <c r="BK159" i="4" s="1"/>
  <c r="BL159" i="4" s="1"/>
  <c r="BK95" i="4"/>
  <c r="BK179" i="4" s="1"/>
  <c r="BL179" i="4" s="1"/>
  <c r="BR95" i="4"/>
  <c r="BJ95" i="4"/>
  <c r="DN95" i="4" s="1"/>
  <c r="BK107" i="4"/>
  <c r="BK191" i="4" s="1"/>
  <c r="BL191" i="4" s="1"/>
  <c r="BR107" i="4"/>
  <c r="BJ107" i="4"/>
  <c r="DN107" i="4" s="1"/>
  <c r="BK92" i="4"/>
  <c r="BK176" i="4" s="1"/>
  <c r="BL176" i="4" s="1"/>
  <c r="BR92" i="4"/>
  <c r="BJ92" i="4"/>
  <c r="DN92" i="4" s="1"/>
  <c r="BK117" i="4"/>
  <c r="BK200" i="4" s="1"/>
  <c r="BL200" i="4" s="1"/>
  <c r="BJ117" i="4"/>
  <c r="DN117" i="4" s="1"/>
  <c r="BR117" i="4"/>
  <c r="BJ72" i="4"/>
  <c r="BR72" i="4"/>
  <c r="BK72" i="4"/>
  <c r="BK164" i="4" s="1"/>
  <c r="BL164" i="4" s="1"/>
  <c r="BK98" i="4"/>
  <c r="BK182" i="4" s="1"/>
  <c r="BL182" i="4" s="1"/>
  <c r="BJ98" i="4"/>
  <c r="DN98" i="4" s="1"/>
  <c r="BR98" i="4"/>
  <c r="BR53" i="4"/>
  <c r="BJ53" i="4"/>
  <c r="BJ70" i="4"/>
  <c r="BR70" i="4"/>
  <c r="BK70" i="4"/>
  <c r="BK162" i="4" s="1"/>
  <c r="BL162" i="4" s="1"/>
  <c r="BK103" i="4"/>
  <c r="BK187" i="4" s="1"/>
  <c r="BL187" i="4" s="1"/>
  <c r="BR103" i="4"/>
  <c r="BJ103" i="4"/>
  <c r="DN103" i="4" s="1"/>
  <c r="BK114" i="4"/>
  <c r="BK197" i="4" s="1"/>
  <c r="BL197" i="4" s="1"/>
  <c r="BJ114" i="4"/>
  <c r="DN114" i="4" s="1"/>
  <c r="BR114" i="4"/>
  <c r="BK113" i="4"/>
  <c r="BK196" i="4" s="1"/>
  <c r="BL196" i="4" s="1"/>
  <c r="BJ113" i="4"/>
  <c r="DN113" i="4" s="1"/>
  <c r="BR113" i="4"/>
  <c r="AT74" i="4"/>
  <c r="AM74" i="4"/>
  <c r="AN74" i="4" s="1"/>
  <c r="AL74" i="4"/>
  <c r="AT86" i="4"/>
  <c r="AM86" i="4"/>
  <c r="AN86" i="4" s="1"/>
  <c r="AL86" i="4"/>
  <c r="AT96" i="4"/>
  <c r="AM96" i="4"/>
  <c r="AN96" i="4" s="1"/>
  <c r="AL96" i="4"/>
  <c r="AM69" i="4"/>
  <c r="AN69" i="4" s="1"/>
  <c r="AT69" i="4"/>
  <c r="AL69" i="4"/>
  <c r="AM71" i="4"/>
  <c r="AN71" i="4" s="1"/>
  <c r="AT71" i="4"/>
  <c r="AL71" i="4"/>
  <c r="AT53" i="4"/>
  <c r="AL53" i="4"/>
  <c r="AM53" i="4"/>
  <c r="AM83" i="4"/>
  <c r="AN83" i="4" s="1"/>
  <c r="AL83" i="4"/>
  <c r="AT83" i="4"/>
  <c r="AT112" i="4"/>
  <c r="AM112" i="4"/>
  <c r="AN112" i="4" s="1"/>
  <c r="AL112" i="4"/>
  <c r="AT116" i="4"/>
  <c r="AM116" i="4"/>
  <c r="AN116" i="4" s="1"/>
  <c r="AL116" i="4"/>
  <c r="AT66" i="4"/>
  <c r="AL66" i="4"/>
  <c r="AM66" i="4"/>
  <c r="AN66" i="4" s="1"/>
  <c r="AM114" i="4"/>
  <c r="AN114" i="4" s="1"/>
  <c r="AT114" i="4"/>
  <c r="AL114" i="4"/>
  <c r="AM54" i="4"/>
  <c r="AL54" i="4"/>
  <c r="AT54" i="4"/>
  <c r="AM93" i="4"/>
  <c r="AN93" i="4" s="1"/>
  <c r="AT93" i="4"/>
  <c r="AL93" i="4"/>
  <c r="AM106" i="4"/>
  <c r="AN106" i="4" s="1"/>
  <c r="AT106" i="4"/>
  <c r="AL106" i="4"/>
  <c r="AT92" i="4"/>
  <c r="AM92" i="4"/>
  <c r="AN92" i="4" s="1"/>
  <c r="AL92" i="4"/>
  <c r="AM117" i="4"/>
  <c r="AN117" i="4" s="1"/>
  <c r="AT117" i="4"/>
  <c r="AL117" i="4"/>
  <c r="AT80" i="4"/>
  <c r="AM80" i="4"/>
  <c r="AN80" i="4" s="1"/>
  <c r="AL80" i="4"/>
  <c r="AT97" i="4"/>
  <c r="AM97" i="4"/>
  <c r="AN97" i="4" s="1"/>
  <c r="AL97" i="4"/>
  <c r="AT76" i="4"/>
  <c r="AM76" i="4"/>
  <c r="AN76" i="4" s="1"/>
  <c r="AL76" i="4"/>
  <c r="AT115" i="4"/>
  <c r="AM115" i="4"/>
  <c r="AN115" i="4" s="1"/>
  <c r="AL115" i="4"/>
  <c r="AT70" i="4"/>
  <c r="AM70" i="4"/>
  <c r="AN70" i="4" s="1"/>
  <c r="AL70" i="4"/>
  <c r="AT88" i="4"/>
  <c r="AL88" i="4"/>
  <c r="AM88" i="4"/>
  <c r="AT59" i="4"/>
  <c r="AL59" i="4"/>
  <c r="AM59" i="4"/>
  <c r="AN59" i="4" s="1"/>
  <c r="AT105" i="4"/>
  <c r="AM105" i="4"/>
  <c r="AN105" i="4" s="1"/>
  <c r="AL105" i="4"/>
  <c r="AT104" i="4"/>
  <c r="AM104" i="4"/>
  <c r="AN104" i="4" s="1"/>
  <c r="AL104" i="4"/>
  <c r="AT113" i="4"/>
  <c r="AM113" i="4"/>
  <c r="AN113" i="4" s="1"/>
  <c r="AL113" i="4"/>
  <c r="AT100" i="4"/>
  <c r="AM100" i="4"/>
  <c r="AN100" i="4" s="1"/>
  <c r="AL100" i="4"/>
  <c r="AM103" i="4"/>
  <c r="AN103" i="4" s="1"/>
  <c r="AL103" i="4"/>
  <c r="AT103" i="4"/>
  <c r="AT67" i="4"/>
  <c r="AL67" i="4"/>
  <c r="AM67" i="4"/>
  <c r="AN67" i="4" s="1"/>
  <c r="AM56" i="4"/>
  <c r="AN56" i="4" s="1"/>
  <c r="AT56" i="4"/>
  <c r="AL56" i="4"/>
  <c r="AT68" i="4"/>
  <c r="AM68" i="4"/>
  <c r="AN68" i="4" s="1"/>
  <c r="AL68" i="4"/>
  <c r="AT55" i="4"/>
  <c r="AL55" i="4"/>
  <c r="AM55" i="4"/>
  <c r="AN55" i="4" s="1"/>
  <c r="AT99" i="4"/>
  <c r="AM99" i="4"/>
  <c r="AN99" i="4" s="1"/>
  <c r="AL99" i="4"/>
  <c r="AM98" i="4"/>
  <c r="AN98" i="4" s="1"/>
  <c r="AT98" i="4"/>
  <c r="AL98" i="4"/>
  <c r="AM111" i="4"/>
  <c r="AN111" i="4" s="1"/>
  <c r="AL111" i="4"/>
  <c r="AT111" i="4"/>
  <c r="AT107" i="4"/>
  <c r="AM107" i="4"/>
  <c r="AN107" i="4" s="1"/>
  <c r="AL107" i="4"/>
  <c r="AT72" i="4"/>
  <c r="AM72" i="4"/>
  <c r="AN72" i="4" s="1"/>
  <c r="AL72" i="4"/>
  <c r="AT58" i="4"/>
  <c r="AM58" i="4"/>
  <c r="AN58" i="4" s="1"/>
  <c r="AL58" i="4"/>
  <c r="AM102" i="4"/>
  <c r="AN102" i="4" s="1"/>
  <c r="AT102" i="4"/>
  <c r="AL102" i="4"/>
  <c r="AM95" i="4"/>
  <c r="AN95" i="4" s="1"/>
  <c r="AL95" i="4"/>
  <c r="AT95" i="4"/>
  <c r="AT57" i="4"/>
  <c r="AM57" i="4"/>
  <c r="AN57" i="4" s="1"/>
  <c r="AL57" i="4"/>
  <c r="AT108" i="4"/>
  <c r="AM108" i="4"/>
  <c r="AN108" i="4" s="1"/>
  <c r="AL108" i="4"/>
  <c r="AM101" i="4"/>
  <c r="AN101" i="4" s="1"/>
  <c r="AT101" i="4"/>
  <c r="AL101" i="4"/>
  <c r="AM110" i="4"/>
  <c r="AN110" i="4" s="1"/>
  <c r="AT110" i="4"/>
  <c r="AL110" i="4"/>
  <c r="AT78" i="4"/>
  <c r="AM78" i="4"/>
  <c r="AN78" i="4" s="1"/>
  <c r="AL78" i="4"/>
  <c r="AT91" i="4"/>
  <c r="AM91" i="4"/>
  <c r="AN91" i="4" s="1"/>
  <c r="AL91" i="4"/>
  <c r="AM109" i="4"/>
  <c r="AN109" i="4" s="1"/>
  <c r="AT109" i="4"/>
  <c r="AL109" i="4"/>
  <c r="AM65" i="4"/>
  <c r="AN65" i="4" s="1"/>
  <c r="AL65" i="4"/>
  <c r="AT65" i="4"/>
  <c r="AK73" i="4"/>
  <c r="AJ73" i="4" s="1"/>
  <c r="AK79" i="4"/>
  <c r="AJ79" i="4" s="1"/>
  <c r="AK81" i="4"/>
  <c r="AJ81" i="4" s="1"/>
  <c r="AK64" i="4"/>
  <c r="AJ64" i="4" s="1"/>
  <c r="CO50" i="4"/>
  <c r="CO51" i="4"/>
  <c r="CO49" i="4"/>
  <c r="BT57" i="4" l="1"/>
  <c r="D14" i="6"/>
  <c r="DN70" i="4"/>
  <c r="K26" i="5"/>
  <c r="K54" i="5"/>
  <c r="DN67" i="4"/>
  <c r="K23" i="5"/>
  <c r="DN78" i="4"/>
  <c r="K34" i="5"/>
  <c r="K71" i="5"/>
  <c r="K47" i="5"/>
  <c r="DN72" i="4"/>
  <c r="K28" i="5"/>
  <c r="K48" i="5"/>
  <c r="K68" i="5"/>
  <c r="K61" i="5"/>
  <c r="DN80" i="4"/>
  <c r="K36" i="5"/>
  <c r="K55" i="5"/>
  <c r="DN55" i="4"/>
  <c r="K11" i="5"/>
  <c r="DN71" i="4"/>
  <c r="K27" i="5"/>
  <c r="K73" i="5"/>
  <c r="K49" i="5"/>
  <c r="DN88" i="4"/>
  <c r="DO88" i="4" s="1"/>
  <c r="K44" i="5"/>
  <c r="DN65" i="4"/>
  <c r="K21" i="5"/>
  <c r="K56" i="5"/>
  <c r="DN59" i="4"/>
  <c r="DO59" i="4" s="1"/>
  <c r="K15" i="5"/>
  <c r="K66" i="5"/>
  <c r="DN69" i="4"/>
  <c r="K25" i="5"/>
  <c r="K52" i="5"/>
  <c r="K62" i="5"/>
  <c r="DN83" i="4"/>
  <c r="K39" i="5"/>
  <c r="K53" i="5"/>
  <c r="K70" i="5"/>
  <c r="K63" i="5"/>
  <c r="DN54" i="4"/>
  <c r="DO54" i="4" s="1"/>
  <c r="K10" i="5"/>
  <c r="K72" i="5"/>
  <c r="DN56" i="4"/>
  <c r="DO56" i="4" s="1"/>
  <c r="K12" i="5"/>
  <c r="DN86" i="4"/>
  <c r="DO86" i="4" s="1"/>
  <c r="K42" i="5"/>
  <c r="K30" i="5"/>
  <c r="K69" i="5"/>
  <c r="K57" i="5"/>
  <c r="BL108" i="4"/>
  <c r="K64" i="5"/>
  <c r="K59" i="5"/>
  <c r="DN53" i="4"/>
  <c r="DO53" i="4" s="1"/>
  <c r="K9" i="5"/>
  <c r="K51" i="5"/>
  <c r="K58" i="5"/>
  <c r="K60" i="5"/>
  <c r="K50" i="5"/>
  <c r="DN66" i="4"/>
  <c r="K22" i="5"/>
  <c r="DN57" i="4"/>
  <c r="DO57" i="4" s="1"/>
  <c r="K13" i="5"/>
  <c r="K65" i="5"/>
  <c r="DN58" i="4"/>
  <c r="DO58" i="4" s="1"/>
  <c r="K14" i="5"/>
  <c r="DN68" i="4"/>
  <c r="K24" i="5"/>
  <c r="K67" i="5"/>
  <c r="DN76" i="4"/>
  <c r="K32" i="5"/>
  <c r="BL74" i="4"/>
  <c r="DN74" i="4"/>
  <c r="DO55" i="4"/>
  <c r="AN51" i="4"/>
  <c r="AM40" i="4"/>
  <c r="E25" i="6" s="1"/>
  <c r="AM41" i="4"/>
  <c r="F25" i="6" s="1"/>
  <c r="BK42" i="4"/>
  <c r="BK41" i="4"/>
  <c r="F29" i="6" s="1"/>
  <c r="D12" i="6" s="1"/>
  <c r="BK40" i="4"/>
  <c r="E29" i="6" s="1"/>
  <c r="C12" i="6" s="1"/>
  <c r="AX55" i="4"/>
  <c r="AV55" i="4"/>
  <c r="AW55" i="4"/>
  <c r="AY55" i="4"/>
  <c r="AN60" i="4"/>
  <c r="CO54" i="4"/>
  <c r="BK75" i="4"/>
  <c r="BK167" i="4" s="1"/>
  <c r="BL167" i="4" s="1"/>
  <c r="CO53" i="4"/>
  <c r="AX59" i="4"/>
  <c r="AY59" i="4"/>
  <c r="AW59" i="4"/>
  <c r="AV59" i="4"/>
  <c r="BW52" i="4"/>
  <c r="BU52" i="4"/>
  <c r="BT52" i="4"/>
  <c r="BV52" i="4"/>
  <c r="BP87" i="4"/>
  <c r="BP51" i="4"/>
  <c r="BP60" i="4"/>
  <c r="BV53" i="4"/>
  <c r="BP52" i="4"/>
  <c r="BU53" i="4"/>
  <c r="BT53" i="4"/>
  <c r="BW53" i="4"/>
  <c r="AY52" i="4"/>
  <c r="AW52" i="4"/>
  <c r="AV52" i="4"/>
  <c r="AX52" i="4"/>
  <c r="AN53" i="4"/>
  <c r="AV53" i="4"/>
  <c r="AR87" i="4"/>
  <c r="AR52" i="4"/>
  <c r="AR51" i="4"/>
  <c r="AX53" i="4"/>
  <c r="AW53" i="4"/>
  <c r="AR60" i="4"/>
  <c r="AY53" i="4"/>
  <c r="AK82" i="4"/>
  <c r="AJ82" i="4" s="1"/>
  <c r="AL82" i="4" s="1"/>
  <c r="AX58" i="4"/>
  <c r="AY58" i="4"/>
  <c r="AW58" i="4"/>
  <c r="AV58" i="4"/>
  <c r="BU59" i="4"/>
  <c r="BT59" i="4"/>
  <c r="BW59" i="4"/>
  <c r="BV59" i="4"/>
  <c r="AT77" i="4"/>
  <c r="BL70" i="4"/>
  <c r="BL98" i="4"/>
  <c r="BL107" i="4"/>
  <c r="BL88" i="4"/>
  <c r="BL94" i="4"/>
  <c r="BL66" i="4"/>
  <c r="BL91" i="4"/>
  <c r="AM77" i="4"/>
  <c r="AN77" i="4" s="1"/>
  <c r="AL75" i="4"/>
  <c r="BL113" i="4"/>
  <c r="BL72" i="4"/>
  <c r="BL92" i="4"/>
  <c r="BL93" i="4"/>
  <c r="BJ81" i="4"/>
  <c r="BR81" i="4"/>
  <c r="BK81" i="4"/>
  <c r="BK170" i="4" s="1"/>
  <c r="BL170" i="4" s="1"/>
  <c r="BL104" i="4"/>
  <c r="BL56" i="4"/>
  <c r="BL86" i="4"/>
  <c r="BL80" i="4"/>
  <c r="BL99" i="4"/>
  <c r="BL55" i="4"/>
  <c r="BL71" i="4"/>
  <c r="BP59" i="4"/>
  <c r="BL114" i="4"/>
  <c r="BL112" i="4"/>
  <c r="AN88" i="4"/>
  <c r="AT75" i="4"/>
  <c r="BL117" i="4"/>
  <c r="BL95" i="4"/>
  <c r="BL102" i="4"/>
  <c r="BL78" i="4"/>
  <c r="BL116" i="4"/>
  <c r="BL115" i="4"/>
  <c r="BL100" i="4"/>
  <c r="BL59" i="4"/>
  <c r="BL110" i="4"/>
  <c r="BL69" i="4"/>
  <c r="BL96" i="4"/>
  <c r="BL106" i="4"/>
  <c r="BL83" i="4"/>
  <c r="BL97" i="4"/>
  <c r="BL103" i="4"/>
  <c r="BL53" i="4"/>
  <c r="BL67" i="4"/>
  <c r="BL54" i="4"/>
  <c r="BL101" i="4"/>
  <c r="BL105" i="4"/>
  <c r="BJ77" i="4"/>
  <c r="BR77" i="4"/>
  <c r="BK77" i="4"/>
  <c r="BK148" i="4" s="1"/>
  <c r="BL148" i="4" s="1"/>
  <c r="BL65" i="4"/>
  <c r="BL57" i="4"/>
  <c r="BL109" i="4"/>
  <c r="BL58" i="4"/>
  <c r="BL68" i="4"/>
  <c r="BL111" i="4"/>
  <c r="BL76" i="4"/>
  <c r="BJ73" i="4"/>
  <c r="BR73" i="4"/>
  <c r="BK73" i="4"/>
  <c r="BK165" i="4" s="1"/>
  <c r="BL165" i="4" s="1"/>
  <c r="BJ64" i="4"/>
  <c r="BR64" i="4"/>
  <c r="BK64" i="4"/>
  <c r="BK145" i="4" s="1"/>
  <c r="BL145" i="4" s="1"/>
  <c r="BJ79" i="4"/>
  <c r="BR79" i="4"/>
  <c r="BK79" i="4"/>
  <c r="BK169" i="4" s="1"/>
  <c r="BL169" i="4" s="1"/>
  <c r="AM79" i="4"/>
  <c r="AN79" i="4" s="1"/>
  <c r="AT79" i="4"/>
  <c r="AL79" i="4"/>
  <c r="AM81" i="4"/>
  <c r="AN81" i="4" s="1"/>
  <c r="AL81" i="4"/>
  <c r="AT81" i="4"/>
  <c r="AT64" i="4"/>
  <c r="AM64" i="4"/>
  <c r="AN64" i="4" s="1"/>
  <c r="AL64" i="4"/>
  <c r="AM73" i="4"/>
  <c r="AN73" i="4" s="1"/>
  <c r="AL73" i="4"/>
  <c r="AT73" i="4"/>
  <c r="AN54" i="4"/>
  <c r="DN64" i="4" l="1"/>
  <c r="K20" i="5"/>
  <c r="DN79" i="4"/>
  <c r="K35" i="5"/>
  <c r="DN77" i="4"/>
  <c r="K33" i="5"/>
  <c r="DN81" i="4"/>
  <c r="K37" i="5"/>
  <c r="K31" i="5"/>
  <c r="DN73" i="4"/>
  <c r="K29" i="5"/>
  <c r="BK43" i="4"/>
  <c r="F37" i="6"/>
  <c r="D8" i="6"/>
  <c r="DP60" i="4"/>
  <c r="E37" i="6"/>
  <c r="C8" i="6"/>
  <c r="DP53" i="4"/>
  <c r="DP51" i="4"/>
  <c r="DP56" i="4"/>
  <c r="DP86" i="4"/>
  <c r="DP55" i="4"/>
  <c r="DP87" i="4"/>
  <c r="DP54" i="4"/>
  <c r="DP59" i="4"/>
  <c r="DP88" i="4"/>
  <c r="BU58" i="4"/>
  <c r="DN75" i="4"/>
  <c r="DP57" i="4"/>
  <c r="DP58" i="4"/>
  <c r="DP52" i="4"/>
  <c r="AM34" i="4"/>
  <c r="AM32" i="4"/>
  <c r="BR75" i="4"/>
  <c r="BL75" i="4"/>
  <c r="BT58" i="4"/>
  <c r="BW58" i="4"/>
  <c r="BJ75" i="4"/>
  <c r="BV58" i="4"/>
  <c r="AM33" i="4"/>
  <c r="AM35" i="4"/>
  <c r="BV54" i="4"/>
  <c r="BW54" i="4"/>
  <c r="BU54" i="4"/>
  <c r="BT54" i="4"/>
  <c r="AX56" i="4"/>
  <c r="AV56" i="4"/>
  <c r="AY56" i="4"/>
  <c r="AW56" i="4"/>
  <c r="BV56" i="4"/>
  <c r="BW56" i="4"/>
  <c r="BU56" i="4"/>
  <c r="BT56" i="4"/>
  <c r="BR82" i="4"/>
  <c r="BK82" i="4"/>
  <c r="BJ82" i="4"/>
  <c r="AX60" i="4"/>
  <c r="AV60" i="4"/>
  <c r="AY60" i="4"/>
  <c r="AW60" i="4"/>
  <c r="BW51" i="4"/>
  <c r="BV51" i="4"/>
  <c r="BT51" i="4"/>
  <c r="BU51" i="4"/>
  <c r="BK34" i="4"/>
  <c r="AM82" i="4"/>
  <c r="AT82" i="4"/>
  <c r="AV51" i="4"/>
  <c r="AW51" i="4"/>
  <c r="AX51" i="4"/>
  <c r="AY51" i="4"/>
  <c r="AX61" i="4"/>
  <c r="AV61" i="4"/>
  <c r="AY61" i="4"/>
  <c r="AW61" i="4"/>
  <c r="BU60" i="4"/>
  <c r="BV60" i="4"/>
  <c r="BW60" i="4"/>
  <c r="BT60" i="4"/>
  <c r="BU61" i="4"/>
  <c r="BV61" i="4"/>
  <c r="BT61" i="4"/>
  <c r="BW61" i="4"/>
  <c r="AX54" i="4"/>
  <c r="AY54" i="4"/>
  <c r="AW54" i="4"/>
  <c r="AV54" i="4"/>
  <c r="BP58" i="4"/>
  <c r="BP57" i="4"/>
  <c r="BP54" i="4"/>
  <c r="BP53" i="4"/>
  <c r="BL79" i="4"/>
  <c r="BP86" i="4"/>
  <c r="BP56" i="4"/>
  <c r="BP88" i="4"/>
  <c r="BL64" i="4"/>
  <c r="BL77" i="4"/>
  <c r="BP55" i="4"/>
  <c r="BL73" i="4"/>
  <c r="BL81" i="4"/>
  <c r="AR54" i="4"/>
  <c r="AR55" i="4"/>
  <c r="AR56" i="4"/>
  <c r="DF49" i="4"/>
  <c r="AR57" i="4"/>
  <c r="AR53" i="4"/>
  <c r="AR59" i="4"/>
  <c r="AR88" i="4"/>
  <c r="AR86" i="4"/>
  <c r="AR58" i="4"/>
  <c r="BN51" i="4" l="1"/>
  <c r="BK171" i="4"/>
  <c r="BL171" i="4" s="1"/>
  <c r="BN56" i="4"/>
  <c r="BN54" i="4"/>
  <c r="BN53" i="4"/>
  <c r="BN86" i="4"/>
  <c r="BN87" i="4"/>
  <c r="BN60" i="4"/>
  <c r="BN58" i="4"/>
  <c r="BN57" i="4"/>
  <c r="BN55" i="4"/>
  <c r="BN59" i="4"/>
  <c r="BN88" i="4"/>
  <c r="BN52" i="4"/>
  <c r="K38" i="5"/>
  <c r="BL28" i="4"/>
  <c r="DQ87" i="4"/>
  <c r="DQ53" i="4"/>
  <c r="DQ51" i="4"/>
  <c r="AP60" i="4"/>
  <c r="AN82" i="4"/>
  <c r="DQ58" i="4"/>
  <c r="AN40" i="4"/>
  <c r="C25" i="6" s="1"/>
  <c r="DQ86" i="4"/>
  <c r="DQ55" i="4"/>
  <c r="DQ54" i="4"/>
  <c r="DQ52" i="4"/>
  <c r="DQ60" i="4"/>
  <c r="DN82" i="4"/>
  <c r="DQ88" i="4"/>
  <c r="DQ59" i="4"/>
  <c r="DQ57" i="4"/>
  <c r="DQ56" i="4"/>
  <c r="AN41" i="4"/>
  <c r="D25" i="6" s="1"/>
  <c r="BL41" i="4"/>
  <c r="D29" i="6" s="1"/>
  <c r="BL40" i="4"/>
  <c r="C29" i="6" s="1"/>
  <c r="BL42" i="4"/>
  <c r="BM28" i="4"/>
  <c r="BN28" i="4"/>
  <c r="BK28" i="4"/>
  <c r="BN107" i="4"/>
  <c r="AP96" i="4"/>
  <c r="AP73" i="4"/>
  <c r="AP64" i="4"/>
  <c r="AP113" i="4"/>
  <c r="AP66" i="4"/>
  <c r="BN101" i="4"/>
  <c r="AP28" i="4"/>
  <c r="AP117" i="4"/>
  <c r="AM28" i="4"/>
  <c r="AP55" i="4"/>
  <c r="AP74" i="4"/>
  <c r="BN64" i="4"/>
  <c r="BN108" i="4"/>
  <c r="BQ51" i="4"/>
  <c r="AS88" i="4"/>
  <c r="AS52" i="4"/>
  <c r="BQ55" i="4"/>
  <c r="BQ132" i="4" s="1"/>
  <c r="BR132" i="4" s="1"/>
  <c r="BQ88" i="4"/>
  <c r="BQ136" i="4" s="1"/>
  <c r="BR136" i="4" s="1"/>
  <c r="BQ60" i="4"/>
  <c r="BQ126" i="4" s="1"/>
  <c r="BR126" i="4" s="1"/>
  <c r="BT126" i="4" s="1"/>
  <c r="AS51" i="4"/>
  <c r="AS59" i="4"/>
  <c r="AS57" i="4"/>
  <c r="BQ56" i="4"/>
  <c r="BQ124" i="4" s="1"/>
  <c r="BR124" i="4" s="1"/>
  <c r="BT124" i="4" s="1"/>
  <c r="BQ57" i="4"/>
  <c r="BQ125" i="4" s="1"/>
  <c r="BR125" i="4" s="1"/>
  <c r="BT125" i="4" s="1"/>
  <c r="BQ87" i="4"/>
  <c r="BQ127" i="4" s="1"/>
  <c r="BR127" i="4" s="1"/>
  <c r="BT127" i="4" s="1"/>
  <c r="BQ52" i="4"/>
  <c r="BQ130" i="4" s="1"/>
  <c r="BR130" i="4" s="1"/>
  <c r="AS56" i="4"/>
  <c r="AS54" i="4"/>
  <c r="BQ86" i="4"/>
  <c r="BQ135" i="4" s="1"/>
  <c r="BR135" i="4" s="1"/>
  <c r="BQ58" i="4"/>
  <c r="BQ133" i="4" s="1"/>
  <c r="BR133" i="4" s="1"/>
  <c r="AS60" i="4"/>
  <c r="AS87" i="4"/>
  <c r="AS53" i="4"/>
  <c r="AS55" i="4"/>
  <c r="BQ54" i="4"/>
  <c r="BQ131" i="4" s="1"/>
  <c r="BR131" i="4" s="1"/>
  <c r="AS58" i="4"/>
  <c r="AS86" i="4"/>
  <c r="BQ53" i="4"/>
  <c r="BQ123" i="4" s="1"/>
  <c r="BR123" i="4" s="1"/>
  <c r="BT123" i="4" s="1"/>
  <c r="BQ59" i="4"/>
  <c r="BQ134" i="4" s="1"/>
  <c r="BR134" i="4" s="1"/>
  <c r="AO28" i="4"/>
  <c r="AN28" i="4"/>
  <c r="BN77" i="4"/>
  <c r="BN92" i="4"/>
  <c r="BN67" i="4"/>
  <c r="AP82" i="4"/>
  <c r="AP94" i="4"/>
  <c r="AP67" i="4"/>
  <c r="AP86" i="4"/>
  <c r="AP57" i="4"/>
  <c r="AP53" i="4"/>
  <c r="AP109" i="4"/>
  <c r="AP78" i="4"/>
  <c r="AP115" i="4"/>
  <c r="AP112" i="4"/>
  <c r="AP68" i="4"/>
  <c r="AP111" i="4"/>
  <c r="AP83" i="4"/>
  <c r="AP99" i="4"/>
  <c r="BN116" i="4"/>
  <c r="AP97" i="4"/>
  <c r="AP58" i="4"/>
  <c r="AP105" i="4"/>
  <c r="AP80" i="4"/>
  <c r="AP81" i="4"/>
  <c r="AP54" i="4"/>
  <c r="AP71" i="4"/>
  <c r="AP65" i="4"/>
  <c r="AP106" i="4"/>
  <c r="AP102" i="4"/>
  <c r="AP76" i="4"/>
  <c r="AP95" i="4"/>
  <c r="AP110" i="4"/>
  <c r="AP77" i="4"/>
  <c r="AP75" i="4"/>
  <c r="AP59" i="4"/>
  <c r="AP101" i="4"/>
  <c r="AP114" i="4"/>
  <c r="AP70" i="4"/>
  <c r="AP56" i="4"/>
  <c r="AP88" i="4"/>
  <c r="BN70" i="4"/>
  <c r="BN80" i="4"/>
  <c r="BN113" i="4"/>
  <c r="BN74" i="4"/>
  <c r="BN103" i="4"/>
  <c r="AP72" i="4"/>
  <c r="AP91" i="4"/>
  <c r="AP98" i="4"/>
  <c r="AP93" i="4"/>
  <c r="AP107" i="4"/>
  <c r="BN68" i="4"/>
  <c r="BN96" i="4"/>
  <c r="BN66" i="4"/>
  <c r="BN98" i="4"/>
  <c r="BN115" i="4"/>
  <c r="BN65" i="4"/>
  <c r="BN71" i="4"/>
  <c r="AP92" i="4"/>
  <c r="AP108" i="4"/>
  <c r="AP104" i="4"/>
  <c r="AP69" i="4"/>
  <c r="AP103" i="4"/>
  <c r="AP116" i="4"/>
  <c r="AP100" i="4"/>
  <c r="AP79" i="4"/>
  <c r="BN81" i="4"/>
  <c r="BN100" i="4"/>
  <c r="BN76" i="4"/>
  <c r="BN93" i="4"/>
  <c r="BN83" i="4"/>
  <c r="BN69" i="4"/>
  <c r="BN111" i="4"/>
  <c r="AP87" i="4"/>
  <c r="AP52" i="4"/>
  <c r="BU62" i="4"/>
  <c r="BW62" i="4"/>
  <c r="BV62" i="4"/>
  <c r="BT62" i="4"/>
  <c r="BL82" i="4"/>
  <c r="BN104" i="4"/>
  <c r="BN114" i="4"/>
  <c r="BN106" i="4"/>
  <c r="BN94" i="4"/>
  <c r="BN99" i="4"/>
  <c r="BN117" i="4"/>
  <c r="BN110" i="4"/>
  <c r="BN72" i="4"/>
  <c r="BN82" i="4"/>
  <c r="BN97" i="4"/>
  <c r="BN109" i="4"/>
  <c r="BN73" i="4"/>
  <c r="BN91" i="4"/>
  <c r="BN95" i="4"/>
  <c r="BN102" i="4"/>
  <c r="BN75" i="4"/>
  <c r="BN78" i="4"/>
  <c r="BN105" i="4"/>
  <c r="BN79" i="4"/>
  <c r="BN112" i="4"/>
  <c r="AX62" i="4"/>
  <c r="AW62" i="4"/>
  <c r="AY62" i="4"/>
  <c r="AV62" i="4"/>
  <c r="AP51" i="4"/>
  <c r="BQ122" i="4" l="1"/>
  <c r="BR122" i="4" s="1"/>
  <c r="BT122" i="4" s="1"/>
  <c r="CB152" i="4" s="1"/>
  <c r="BQ129" i="4"/>
  <c r="BR129" i="4" s="1"/>
  <c r="BO88" i="4"/>
  <c r="BO174" i="4" s="1"/>
  <c r="BP174" i="4" s="1"/>
  <c r="BO58" i="4"/>
  <c r="BO156" i="4" s="1"/>
  <c r="BP156" i="4" s="1"/>
  <c r="BO53" i="4"/>
  <c r="BO141" i="4" s="1"/>
  <c r="BP141" i="4" s="1"/>
  <c r="BO59" i="4"/>
  <c r="BO157" i="4" s="1"/>
  <c r="BP157" i="4" s="1"/>
  <c r="BO60" i="4"/>
  <c r="BO144" i="4" s="1"/>
  <c r="BP144" i="4" s="1"/>
  <c r="BO54" i="4"/>
  <c r="BO154" i="4" s="1"/>
  <c r="BP154" i="4" s="1"/>
  <c r="BO55" i="4"/>
  <c r="BO155" i="4" s="1"/>
  <c r="BP155" i="4" s="1"/>
  <c r="BO87" i="4"/>
  <c r="BO150" i="4" s="1"/>
  <c r="BP150" i="4" s="1"/>
  <c r="BO56" i="4"/>
  <c r="BO142" i="4" s="1"/>
  <c r="BP142" i="4" s="1"/>
  <c r="BO52" i="4"/>
  <c r="BO153" i="4" s="1"/>
  <c r="BP153" i="4" s="1"/>
  <c r="BO57" i="4"/>
  <c r="BO143" i="4" s="1"/>
  <c r="BP143" i="4" s="1"/>
  <c r="BO86" i="4"/>
  <c r="BO173" i="4" s="1"/>
  <c r="BP173" i="4" s="1"/>
  <c r="BO51" i="4"/>
  <c r="BO140" i="4" s="1"/>
  <c r="BP140" i="4" s="1"/>
  <c r="BL43" i="4"/>
  <c r="C37" i="6"/>
  <c r="D37" i="6"/>
  <c r="AT28" i="4"/>
  <c r="AT27" i="4"/>
  <c r="AT30" i="4"/>
  <c r="AT31" i="4"/>
  <c r="AU28" i="4"/>
  <c r="AU31" i="4"/>
  <c r="AU29" i="4"/>
  <c r="AS30" i="4"/>
  <c r="AS27" i="4"/>
  <c r="AU30" i="4"/>
  <c r="AS29" i="4"/>
  <c r="AS28" i="4"/>
  <c r="AS31" i="4"/>
  <c r="AT29" i="4"/>
  <c r="AU27" i="4"/>
  <c r="BO107" i="4"/>
  <c r="BO191" i="4" s="1"/>
  <c r="BP191" i="4" s="1"/>
  <c r="BO112" i="4"/>
  <c r="BO195" i="4" s="1"/>
  <c r="BP195" i="4" s="1"/>
  <c r="AQ87" i="4"/>
  <c r="BO73" i="4"/>
  <c r="BO165" i="4" s="1"/>
  <c r="BP165" i="4" s="1"/>
  <c r="BO94" i="4"/>
  <c r="BO178" i="4" s="1"/>
  <c r="BP178" i="4" s="1"/>
  <c r="BO81" i="4"/>
  <c r="BO170" i="4" s="1"/>
  <c r="BP170" i="4" s="1"/>
  <c r="BO68" i="4"/>
  <c r="BO160" i="4" s="1"/>
  <c r="BP160" i="4" s="1"/>
  <c r="BO103" i="4"/>
  <c r="BO187" i="4" s="1"/>
  <c r="BP187" i="4" s="1"/>
  <c r="AQ59" i="4"/>
  <c r="BO116" i="4"/>
  <c r="BO199" i="4" s="1"/>
  <c r="BP199" i="4" s="1"/>
  <c r="AQ51" i="4"/>
  <c r="BO72" i="4"/>
  <c r="BO164" i="4" s="1"/>
  <c r="BP164" i="4" s="1"/>
  <c r="BO117" i="4"/>
  <c r="BO200" i="4" s="1"/>
  <c r="BP200" i="4" s="1"/>
  <c r="BO111" i="4"/>
  <c r="BO194" i="4" s="1"/>
  <c r="BP194" i="4" s="1"/>
  <c r="BO93" i="4"/>
  <c r="BO177" i="4" s="1"/>
  <c r="BP177" i="4" s="1"/>
  <c r="AQ79" i="4"/>
  <c r="AQ69" i="4"/>
  <c r="BO98" i="4"/>
  <c r="BO182" i="4" s="1"/>
  <c r="BP182" i="4" s="1"/>
  <c r="AQ107" i="4"/>
  <c r="AQ72" i="4"/>
  <c r="BO74" i="4"/>
  <c r="BO166" i="4" s="1"/>
  <c r="BP166" i="4" s="1"/>
  <c r="BO80" i="4"/>
  <c r="BO149" i="4" s="1"/>
  <c r="BP149" i="4" s="1"/>
  <c r="AQ70" i="4"/>
  <c r="AQ75" i="4"/>
  <c r="AQ76" i="4"/>
  <c r="AQ71" i="4"/>
  <c r="AQ105" i="4"/>
  <c r="AQ99" i="4"/>
  <c r="AQ112" i="4"/>
  <c r="AQ53" i="4"/>
  <c r="AQ67" i="4"/>
  <c r="BO92" i="4"/>
  <c r="BO176" i="4" s="1"/>
  <c r="BP176" i="4" s="1"/>
  <c r="AQ66" i="4"/>
  <c r="BO104" i="4"/>
  <c r="BO188" i="4" s="1"/>
  <c r="BP188" i="4" s="1"/>
  <c r="BO83" i="4"/>
  <c r="BO172" i="4" s="1"/>
  <c r="BP172" i="4" s="1"/>
  <c r="BO115" i="4"/>
  <c r="BO198" i="4" s="1"/>
  <c r="BP198" i="4" s="1"/>
  <c r="AQ95" i="4"/>
  <c r="AQ68" i="4"/>
  <c r="BO67" i="4"/>
  <c r="BO159" i="4" s="1"/>
  <c r="BP159" i="4" s="1"/>
  <c r="BO64" i="4"/>
  <c r="BO145" i="4" s="1"/>
  <c r="BP145" i="4" s="1"/>
  <c r="BO101" i="4"/>
  <c r="BO185" i="4" s="1"/>
  <c r="BP185" i="4" s="1"/>
  <c r="AQ113" i="4"/>
  <c r="BO102" i="4"/>
  <c r="BO186" i="4" s="1"/>
  <c r="BP186" i="4" s="1"/>
  <c r="BO105" i="4"/>
  <c r="BO189" i="4" s="1"/>
  <c r="BP189" i="4" s="1"/>
  <c r="BO106" i="4"/>
  <c r="BO190" i="4" s="1"/>
  <c r="BP190" i="4" s="1"/>
  <c r="BO76" i="4"/>
  <c r="BO147" i="4" s="1"/>
  <c r="BP147" i="4" s="1"/>
  <c r="AQ100" i="4"/>
  <c r="AQ104" i="4"/>
  <c r="BO71" i="4"/>
  <c r="BO163" i="4" s="1"/>
  <c r="BP163" i="4" s="1"/>
  <c r="BO66" i="4"/>
  <c r="BO158" i="4" s="1"/>
  <c r="BP158" i="4" s="1"/>
  <c r="AQ93" i="4"/>
  <c r="BO113" i="4"/>
  <c r="BO196" i="4" s="1"/>
  <c r="BP196" i="4" s="1"/>
  <c r="BO70" i="4"/>
  <c r="BO162" i="4" s="1"/>
  <c r="BP162" i="4" s="1"/>
  <c r="AQ114" i="4"/>
  <c r="AQ77" i="4"/>
  <c r="AQ102" i="4"/>
  <c r="AQ54" i="4"/>
  <c r="AQ58" i="4"/>
  <c r="AQ83" i="4"/>
  <c r="AQ115" i="4"/>
  <c r="AQ57" i="4"/>
  <c r="AQ94" i="4"/>
  <c r="BO77" i="4"/>
  <c r="BO148" i="4" s="1"/>
  <c r="BP148" i="4" s="1"/>
  <c r="AQ74" i="4"/>
  <c r="AQ60" i="4"/>
  <c r="AQ73" i="4"/>
  <c r="BO75" i="4"/>
  <c r="BO167" i="4" s="1"/>
  <c r="BP167" i="4" s="1"/>
  <c r="BO110" i="4"/>
  <c r="BO151" i="4" s="1"/>
  <c r="BP151" i="4" s="1"/>
  <c r="AQ103" i="4"/>
  <c r="AQ92" i="4"/>
  <c r="AQ91" i="4"/>
  <c r="AQ56" i="4"/>
  <c r="AQ65" i="4"/>
  <c r="AQ80" i="4"/>
  <c r="AQ109" i="4"/>
  <c r="AQ117" i="4"/>
  <c r="BO79" i="4"/>
  <c r="BO169" i="4" s="1"/>
  <c r="BP169" i="4" s="1"/>
  <c r="BO109" i="4"/>
  <c r="BO193" i="4" s="1"/>
  <c r="BP193" i="4" s="1"/>
  <c r="BO95" i="4"/>
  <c r="BO179" i="4" s="1"/>
  <c r="BP179" i="4" s="1"/>
  <c r="BO97" i="4"/>
  <c r="BO181" i="4" s="1"/>
  <c r="BP181" i="4" s="1"/>
  <c r="BO78" i="4"/>
  <c r="BO168" i="4" s="1"/>
  <c r="BP168" i="4" s="1"/>
  <c r="BO91" i="4"/>
  <c r="BO175" i="4" s="1"/>
  <c r="BP175" i="4" s="1"/>
  <c r="BO82" i="4"/>
  <c r="BO171" i="4" s="1"/>
  <c r="BP171" i="4" s="1"/>
  <c r="BO99" i="4"/>
  <c r="BO183" i="4" s="1"/>
  <c r="BP183" i="4" s="1"/>
  <c r="BO114" i="4"/>
  <c r="BO197" i="4" s="1"/>
  <c r="BP197" i="4" s="1"/>
  <c r="AQ52" i="4"/>
  <c r="BO69" i="4"/>
  <c r="BO161" i="4" s="1"/>
  <c r="BP161" i="4" s="1"/>
  <c r="BO100" i="4"/>
  <c r="BO184" i="4" s="1"/>
  <c r="BP184" i="4" s="1"/>
  <c r="AQ116" i="4"/>
  <c r="AQ108" i="4"/>
  <c r="BO65" i="4"/>
  <c r="BO146" i="4" s="1"/>
  <c r="BP146" i="4" s="1"/>
  <c r="BO96" i="4"/>
  <c r="BO180" i="4" s="1"/>
  <c r="BP180" i="4" s="1"/>
  <c r="AQ98" i="4"/>
  <c r="AQ88" i="4"/>
  <c r="AQ101" i="4"/>
  <c r="AQ110" i="4"/>
  <c r="AQ106" i="4"/>
  <c r="AQ81" i="4"/>
  <c r="AQ97" i="4"/>
  <c r="AQ111" i="4"/>
  <c r="AQ78" i="4"/>
  <c r="AQ86" i="4"/>
  <c r="AQ82" i="4"/>
  <c r="BO108" i="4"/>
  <c r="BO192" i="4" s="1"/>
  <c r="BP192" i="4" s="1"/>
  <c r="AQ55" i="4"/>
  <c r="AQ64" i="4"/>
  <c r="AQ96" i="4"/>
  <c r="F38" i="6" l="1"/>
</calcChain>
</file>

<file path=xl/sharedStrings.xml><?xml version="1.0" encoding="utf-8"?>
<sst xmlns="http://schemas.openxmlformats.org/spreadsheetml/2006/main" count="3547" uniqueCount="370">
  <si>
    <t>Minerale Olie</t>
  </si>
  <si>
    <t xml:space="preserve">Sint Antoniusstraat </t>
  </si>
  <si>
    <t>Gemert</t>
  </si>
  <si>
    <t>NIET MEENEMEN: minerale fractie onbekend</t>
  </si>
  <si>
    <t>chloorethaan</t>
  </si>
  <si>
    <t>Fonteinstraat</t>
  </si>
  <si>
    <t>Den Bosch</t>
  </si>
  <si>
    <t>&lt;0.1</t>
  </si>
  <si>
    <t>cis 1,2-dichlooretheen</t>
  </si>
  <si>
    <t>60a</t>
  </si>
  <si>
    <t xml:space="preserve">Hinthamereinde </t>
  </si>
  <si>
    <t>s-Hertogenbosch</t>
  </si>
  <si>
    <t>Tetrachlooretheen (per)</t>
  </si>
  <si>
    <t>NIET MEENEMEN: locaties zonder grondwaterverontreiniging</t>
  </si>
  <si>
    <t>Tetrachlooretheen</t>
  </si>
  <si>
    <t>aug 2010</t>
  </si>
  <si>
    <t xml:space="preserve">Verlengde Torenstraat </t>
  </si>
  <si>
    <t>Oss</t>
  </si>
  <si>
    <t>nv.t.</t>
  </si>
  <si>
    <t>Trichlooretheen</t>
  </si>
  <si>
    <t xml:space="preserve">Nieuwe Brouwerstraat </t>
  </si>
  <si>
    <t>cis-1,2-Dichlooretheen</t>
  </si>
  <si>
    <t>percentiel van metingen (naar rato van aantal metingen)</t>
  </si>
  <si>
    <t>VAN DEZE LOCATIES IS EEN GEMIDDELDE CONCENTRATIE MEEGENOMEN. Dit zijn Locaties waarvoor de concentratie in grondwater alleen globaal bekend is, zonder onderscheid per adres (geen kaart van peilbuizen)</t>
  </si>
  <si>
    <t>Xyleen</t>
  </si>
  <si>
    <t>juli 2013</t>
  </si>
  <si>
    <t>5 en 6</t>
  </si>
  <si>
    <t>Julianastraat</t>
  </si>
  <si>
    <t>Uden</t>
  </si>
  <si>
    <t>jan 2009</t>
  </si>
  <si>
    <t>vinylchloride (monchlooretheen)</t>
  </si>
  <si>
    <t>feb 2014</t>
  </si>
  <si>
    <t>Tolueen</t>
  </si>
  <si>
    <t>feb 2007</t>
  </si>
  <si>
    <t>som cis en trans</t>
  </si>
  <si>
    <t>Naftaleen</t>
  </si>
  <si>
    <t>Min olie (CS12-CS15)</t>
  </si>
  <si>
    <t>Min olie (CS10-CS12)</t>
  </si>
  <si>
    <t>Ethyl-benzeen</t>
  </si>
  <si>
    <t>Ethylbenzeen</t>
  </si>
  <si>
    <t>56a</t>
  </si>
  <si>
    <t>Benzeen</t>
  </si>
  <si>
    <t>Observatie in Drinkwater &lt; detectielimiet</t>
  </si>
  <si>
    <t>gemiddelde van aantal locaties</t>
  </si>
  <si>
    <t xml:space="preserve">tetrachlooretheen </t>
  </si>
  <si>
    <t>Observatie in Drinkwater &gt; detectielimiet</t>
  </si>
  <si>
    <t>[ug/l]</t>
  </si>
  <si>
    <t>[m2/d]</t>
  </si>
  <si>
    <t>(-)</t>
  </si>
  <si>
    <t>ug/l</t>
  </si>
  <si>
    <t>[g/mol]</t>
  </si>
  <si>
    <t>[ °C]</t>
  </si>
  <si>
    <t>Cg / Sw</t>
  </si>
  <si>
    <t>Cd,OBS&lt;dl</t>
  </si>
  <si>
    <t>Cd, OBS</t>
  </si>
  <si>
    <t>Cd, SIM</t>
  </si>
  <si>
    <t>M</t>
  </si>
  <si>
    <t>Cg</t>
  </si>
  <si>
    <t>LOG Kow</t>
  </si>
  <si>
    <t>Sw</t>
  </si>
  <si>
    <t>toets op type I en II fouten</t>
  </si>
  <si>
    <t>ranking</t>
  </si>
  <si>
    <t>verzadigingsgraad grondwater</t>
  </si>
  <si>
    <t>mate waarin model de gemeten concentratie in drinkwater overschrijdt</t>
  </si>
  <si>
    <t>concentratie &lt; detectielimiet</t>
  </si>
  <si>
    <t>Massaflux</t>
  </si>
  <si>
    <t>waargenomen concentratie in grondwater</t>
  </si>
  <si>
    <t>Partitie coeffcient PE-Water</t>
  </si>
  <si>
    <t>Partitie coefficient Octanol-Water</t>
  </si>
  <si>
    <t>Molmassa</t>
  </si>
  <si>
    <t>CAS-nummer</t>
  </si>
  <si>
    <t>NAAM</t>
  </si>
  <si>
    <t>ID_NAAM</t>
  </si>
  <si>
    <t>temperatuur</t>
  </si>
  <si>
    <t>datum</t>
  </si>
  <si>
    <t>huis_nr</t>
  </si>
  <si>
    <t>straat</t>
  </si>
  <si>
    <t>Plaats</t>
  </si>
  <si>
    <t>LOC_ID</t>
  </si>
  <si>
    <t>ID</t>
  </si>
  <si>
    <t>Observaties</t>
  </si>
  <si>
    <t>Moleculaire eigenschappen</t>
  </si>
  <si>
    <t>Contaminant</t>
  </si>
  <si>
    <t>Omgeving</t>
  </si>
  <si>
    <t>Locatie</t>
  </si>
  <si>
    <t>max</t>
  </si>
  <si>
    <t>min</t>
  </si>
  <si>
    <t>mediaan</t>
  </si>
  <si>
    <t>gemiddelde</t>
  </si>
  <si>
    <t>meting</t>
  </si>
  <si>
    <t>model</t>
  </si>
  <si>
    <t>d</t>
  </si>
  <si>
    <t>schoon</t>
  </si>
  <si>
    <t>Permeatie</t>
  </si>
  <si>
    <t>m</t>
  </si>
  <si>
    <t>m2/m</t>
  </si>
  <si>
    <t>oppervlak per strekkende meter</t>
  </si>
  <si>
    <t>juist negatief</t>
  </si>
  <si>
    <t xml:space="preserve">type 1: fout positief </t>
  </si>
  <si>
    <t>m3/m</t>
  </si>
  <si>
    <t>volume per strekkende meter</t>
  </si>
  <si>
    <t>type 2: fout negatief</t>
  </si>
  <si>
    <t>juist positief</t>
  </si>
  <si>
    <t>Overzicht Type 1 en type 2 fouten</t>
  </si>
  <si>
    <t>b</t>
  </si>
  <si>
    <t>a</t>
  </si>
  <si>
    <t>Max</t>
  </si>
  <si>
    <t>gemiddede</t>
  </si>
  <si>
    <t>Minimum</t>
  </si>
  <si>
    <t>beneden rapportagegrens</t>
  </si>
  <si>
    <t>VOCl 8</t>
  </si>
  <si>
    <t>onbekend</t>
  </si>
  <si>
    <t>Noord-Scharwoude</t>
  </si>
  <si>
    <t>PAK 43</t>
  </si>
  <si>
    <t>Andijk</t>
  </si>
  <si>
    <t>ja, olie 250, som arom 1,1</t>
  </si>
  <si>
    <t>X450, olie 550</t>
  </si>
  <si>
    <t>Haarlem</t>
  </si>
  <si>
    <t>NIET MEENEMEN: stoffen aangestroffen waarvoor geen permeatie-coefficienten zijn afgeleid</t>
  </si>
  <si>
    <t>Nieuwe Niedorp</t>
  </si>
  <si>
    <t>Ankeveen</t>
  </si>
  <si>
    <t>Winkel</t>
  </si>
  <si>
    <t>tZand</t>
  </si>
  <si>
    <t>Medemblik</t>
  </si>
  <si>
    <t>Alkmaar</t>
  </si>
  <si>
    <t>Vinylchloride</t>
  </si>
  <si>
    <t>Wormerveer</t>
  </si>
  <si>
    <t>Marken</t>
  </si>
  <si>
    <t>Schagerbrug</t>
  </si>
  <si>
    <t>Oosterleek</t>
  </si>
  <si>
    <t>Koog ad Zaan</t>
  </si>
  <si>
    <t>Zaandam</t>
  </si>
  <si>
    <t>Krommenie</t>
  </si>
  <si>
    <t>Weesp</t>
  </si>
  <si>
    <t>Wervershoof</t>
  </si>
  <si>
    <t>Fenantreen</t>
  </si>
  <si>
    <t>aug 2014</t>
  </si>
  <si>
    <t>Wognum</t>
  </si>
  <si>
    <t>Den Helder</t>
  </si>
  <si>
    <t>Ed</t>
  </si>
  <si>
    <t>[m2/s]</t>
  </si>
  <si>
    <t>Kpw</t>
  </si>
  <si>
    <t>NIET MEENEMEN: minerale olie te hoge Kow</t>
  </si>
  <si>
    <t>Brabant Water</t>
  </si>
  <si>
    <t>Waterbedrijf</t>
  </si>
  <si>
    <t>P=KD</t>
  </si>
  <si>
    <t>Dp (T)</t>
  </si>
  <si>
    <t xml:space="preserve"> [ug/l] = [mg/m3]</t>
  </si>
  <si>
    <t>(mg/dag per m)</t>
  </si>
  <si>
    <t>PWN</t>
  </si>
  <si>
    <t>85-01-8</t>
  </si>
  <si>
    <t>71-43-2</t>
  </si>
  <si>
    <t>100-41-4</t>
  </si>
  <si>
    <t>127-18-4</t>
  </si>
  <si>
    <t>13-30-2-07</t>
  </si>
  <si>
    <t>Permeatie coefficient\</t>
  </si>
  <si>
    <t>Oplos-baarheid in water</t>
  </si>
  <si>
    <t>percentiel</t>
  </si>
  <si>
    <t>ranking (Alle metingen)</t>
  </si>
  <si>
    <t>ranking (metingen&gt;DL)</t>
  </si>
  <si>
    <t>Model</t>
  </si>
  <si>
    <t>Meting</t>
  </si>
  <si>
    <t>Schoon</t>
  </si>
  <si>
    <t>Oordeel</t>
  </si>
  <si>
    <t>[mg/m3] =  [ug/l]</t>
  </si>
  <si>
    <t>Concentratie in drinkwater</t>
  </si>
  <si>
    <t>Resultaat (AF=1)</t>
  </si>
  <si>
    <t>alle metingen</t>
  </si>
  <si>
    <t>Norm</t>
  </si>
  <si>
    <t>drinkwaternorm</t>
  </si>
  <si>
    <t>I-waarde</t>
  </si>
  <si>
    <t>n</t>
  </si>
  <si>
    <t>P50%</t>
  </si>
  <si>
    <t>sim cis- en trans</t>
  </si>
  <si>
    <t>P10%</t>
  </si>
  <si>
    <t>meting &lt; DL</t>
  </si>
  <si>
    <t>contaminant</t>
  </si>
  <si>
    <t>log Kow</t>
  </si>
  <si>
    <t>meting &gt; DL</t>
  </si>
  <si>
    <t>P</t>
  </si>
  <si>
    <t>Combi</t>
  </si>
  <si>
    <t>156-59-2</t>
  </si>
  <si>
    <t>79-01-6</t>
  </si>
  <si>
    <t>79-34-5</t>
  </si>
  <si>
    <t>108-88-3</t>
  </si>
  <si>
    <t>Count</t>
  </si>
  <si>
    <t>SIM / OBS</t>
  </si>
  <si>
    <t>(of SIIM / DL)</t>
  </si>
  <si>
    <t>log (SIM/OBS)</t>
  </si>
  <si>
    <t>log (sim/dl)</t>
  </si>
  <si>
    <t>modelstatistiek</t>
  </si>
  <si>
    <t>grafiek</t>
  </si>
  <si>
    <t>OBS-Gw/ SIM Dw-model</t>
  </si>
  <si>
    <t>P90%</t>
  </si>
  <si>
    <t>Gw / Dw (of Dl)</t>
  </si>
  <si>
    <t>naam</t>
  </si>
  <si>
    <t>Evaluatie praktijkdata</t>
  </si>
  <si>
    <t>concentratie in drinkwater</t>
  </si>
  <si>
    <t>Cg / I</t>
  </si>
  <si>
    <t>Cd/ norm</t>
  </si>
  <si>
    <t>Observaties t.o.v. norm</t>
  </si>
  <si>
    <t>Analytisch model</t>
  </si>
  <si>
    <t>Eindige differentie model</t>
  </si>
  <si>
    <t>Praktijkmeting Permeatie Model</t>
  </si>
  <si>
    <t>Pact</t>
  </si>
  <si>
    <t>[m2/dag]</t>
  </si>
  <si>
    <t>logP</t>
  </si>
  <si>
    <t>Concentratie grondwater/ drinkwater</t>
  </si>
  <si>
    <t>Cg / Cd</t>
  </si>
  <si>
    <t>log Dref</t>
  </si>
  <si>
    <t>a ref</t>
  </si>
  <si>
    <t>b ref</t>
  </si>
  <si>
    <t>F Dtemp</t>
  </si>
  <si>
    <t>R</t>
  </si>
  <si>
    <t>Tref</t>
  </si>
  <si>
    <t>a Ed</t>
  </si>
  <si>
    <t>b Ed</t>
  </si>
  <si>
    <t>F Dconc</t>
  </si>
  <si>
    <t>a Dc</t>
  </si>
  <si>
    <t>Cref /Sw</t>
  </si>
  <si>
    <t>Cg/SW</t>
  </si>
  <si>
    <t>veldmeting</t>
  </si>
  <si>
    <t>F Dage</t>
  </si>
  <si>
    <t>log Kref</t>
  </si>
  <si>
    <t>F Ktemp</t>
  </si>
  <si>
    <t>a dH</t>
  </si>
  <si>
    <t>b dH</t>
  </si>
  <si>
    <t>F Kconc</t>
  </si>
  <si>
    <t>a Kc</t>
  </si>
  <si>
    <t>F Kage</t>
  </si>
  <si>
    <t>Log Kpw ref</t>
  </si>
  <si>
    <t>kJ/mol</t>
  </si>
  <si>
    <t>dH</t>
  </si>
  <si>
    <t>Ftemp</t>
  </si>
  <si>
    <t>Fconc</t>
  </si>
  <si>
    <t>Fage</t>
  </si>
  <si>
    <t>log Kpw</t>
  </si>
  <si>
    <t>Diffusie coeffcient PE</t>
  </si>
  <si>
    <t>Log Dp ref</t>
  </si>
  <si>
    <t>log Dw</t>
  </si>
  <si>
    <t>wanddikte</t>
  </si>
  <si>
    <t>rb</t>
  </si>
  <si>
    <t>Inwendige straal waterleiding</t>
  </si>
  <si>
    <t>δp,d</t>
  </si>
  <si>
    <t xml:space="preserve">Dikte laminaire grenslaag (overdag) </t>
  </si>
  <si>
    <t>δp,n</t>
  </si>
  <si>
    <t>(nacht)</t>
  </si>
  <si>
    <t>L</t>
  </si>
  <si>
    <t xml:space="preserve">lengte drinkwaterleiding </t>
  </si>
  <si>
    <t>W</t>
  </si>
  <si>
    <t>Watergebruik</t>
  </si>
  <si>
    <t>m3.d-1</t>
  </si>
  <si>
    <t>ts</t>
  </si>
  <si>
    <t>Periode stilstand</t>
  </si>
  <si>
    <t>n.v.t.</t>
  </si>
  <si>
    <t>Dimensies waterleiding en stroming</t>
  </si>
  <si>
    <t>Regressiemodel</t>
  </si>
  <si>
    <t>Validatie van Risicogrenswaarden in bodem met Praktijkgegevens Brabant Water en PWN</t>
  </si>
  <si>
    <t>Permeatie coefficienten (regressie-model)</t>
  </si>
  <si>
    <t>stagnatie factor</t>
  </si>
  <si>
    <t>[-]</t>
  </si>
  <si>
    <t>Cd</t>
  </si>
  <si>
    <t>Cd&lt; DL</t>
  </si>
  <si>
    <t>**</t>
  </si>
  <si>
    <t>aantal waarnemingen</t>
  </si>
  <si>
    <t>3 locaties waarvoor meting is gemiddeld vanwege onduidelijkheid over locatie peilbuizen i.r.t. waterleiding</t>
  </si>
  <si>
    <t>locaties zonder grondwaterverontreinigingen</t>
  </si>
  <si>
    <t>locaties waarvoor geen K en D was afgeleid omdat stoffen van nature aanwezig zijn (minerale olie) of omdat het een meting was van verzameling stoffen (PAK, VOCl)</t>
  </si>
  <si>
    <t>waarvan boven detectielimiet</t>
  </si>
  <si>
    <t>waarvoor benenen detectielimiet</t>
  </si>
  <si>
    <t>3 PWN, 10 Brabant</t>
  </si>
  <si>
    <t>Bruikbare metingen</t>
  </si>
  <si>
    <t>overzicht metingen</t>
  </si>
  <si>
    <t>Waarnemingen &gt; DL</t>
  </si>
  <si>
    <t>p0.5</t>
  </si>
  <si>
    <t>p0.1</t>
  </si>
  <si>
    <t>van den Berg 1995</t>
  </si>
  <si>
    <t>Analytisch</t>
  </si>
  <si>
    <t>Simoneau 2010</t>
  </si>
  <si>
    <t>Lohman 2011/ Russina 2011</t>
  </si>
  <si>
    <t>Regression</t>
  </si>
  <si>
    <t>Eindige</t>
  </si>
  <si>
    <t>differentie</t>
  </si>
  <si>
    <t>assessmentfactor</t>
  </si>
  <si>
    <t>sim / obs</t>
  </si>
  <si>
    <t>Partitie coefficient</t>
  </si>
  <si>
    <t>Kow-omrekenfactor</t>
  </si>
  <si>
    <t>log Kpw= a*logKow  + b</t>
  </si>
  <si>
    <t>Diffusie coefficient</t>
  </si>
  <si>
    <t>Dp = a*M  + b</t>
  </si>
  <si>
    <t>Simoneau (2010)</t>
  </si>
  <si>
    <t>Materiaal</t>
  </si>
  <si>
    <t>PE40</t>
  </si>
  <si>
    <t>A'p</t>
  </si>
  <si>
    <t>Tau</t>
  </si>
  <si>
    <t>Ap</t>
  </si>
  <si>
    <t>log P</t>
  </si>
  <si>
    <t xml:space="preserve">Methode voor schatten van </t>
  </si>
  <si>
    <t>Permeatie coefficienten</t>
  </si>
  <si>
    <t>Assesmentfactor</t>
  </si>
  <si>
    <t>Toetsing aan 8 uur maximum</t>
  </si>
  <si>
    <t>24 uur gemiddeld</t>
  </si>
  <si>
    <t>Field factor (p0.5)</t>
  </si>
  <si>
    <t>Field factor (p0.1)</t>
  </si>
  <si>
    <t>Regression, FD-model</t>
  </si>
  <si>
    <t>Rekenmodel</t>
  </si>
  <si>
    <t>average</t>
  </si>
  <si>
    <t>sim / obs (incl &lt; DL)</t>
  </si>
  <si>
    <t>p0.9</t>
  </si>
  <si>
    <t>Bench</t>
  </si>
  <si>
    <t>mark</t>
  </si>
  <si>
    <t>Alle waarnemingen</t>
  </si>
  <si>
    <t>r2</t>
  </si>
  <si>
    <t>Se</t>
  </si>
  <si>
    <t>slope</t>
  </si>
  <si>
    <t>intercept</t>
  </si>
  <si>
    <t>correlatie log SIM/OBS met moleculaire eigenschappen</t>
  </si>
  <si>
    <t>Cw/Sw</t>
  </si>
  <si>
    <t>gemiddeld</t>
  </si>
  <si>
    <t>Verschil eindige differentie / analytische model</t>
  </si>
  <si>
    <t>Emperisch</t>
  </si>
  <si>
    <r>
      <t>permeatieco</t>
    </r>
    <r>
      <rPr>
        <sz val="10"/>
        <rFont val="Calibri"/>
        <family val="2"/>
      </rPr>
      <t>ë</t>
    </r>
    <r>
      <rPr>
        <sz val="10"/>
        <rFont val="Arial"/>
        <family val="2"/>
      </rPr>
      <t>fficiënten</t>
    </r>
  </si>
  <si>
    <t>van der Berg 1995</t>
  </si>
  <si>
    <t>regressie</t>
  </si>
  <si>
    <t>Praktijkwaarden (p0.5)</t>
  </si>
  <si>
    <t>Praktijkwaarden (p0.1)</t>
  </si>
  <si>
    <t>g/m3</t>
  </si>
  <si>
    <t>g/dag per m</t>
  </si>
  <si>
    <t>&lt;0.0001</t>
  </si>
  <si>
    <t>PAK 0.043</t>
  </si>
  <si>
    <t>VOCl 0.008</t>
  </si>
  <si>
    <t>ja, olie 0.250, som arom 0.0011</t>
  </si>
  <si>
    <t>Waarnemingen</t>
  </si>
  <si>
    <t>grondwater</t>
  </si>
  <si>
    <t>drinkwater</t>
  </si>
  <si>
    <t>Praktijk-</t>
  </si>
  <si>
    <t>verhouding</t>
  </si>
  <si>
    <t>Model *</t>
  </si>
  <si>
    <t>waarneming</t>
  </si>
  <si>
    <t>in drinkwater</t>
  </si>
  <si>
    <t>(aanname)</t>
  </si>
  <si>
    <t>T</t>
  </si>
  <si>
    <r>
      <t>[</t>
    </r>
    <r>
      <rPr>
        <sz val="10"/>
        <rFont val="Lucida Sans"/>
        <family val="2"/>
      </rPr>
      <t>°</t>
    </r>
    <r>
      <rPr>
        <sz val="10"/>
        <rFont val="Arial"/>
        <family val="2"/>
      </rPr>
      <t>C]</t>
    </r>
  </si>
  <si>
    <t>(**) = Gemiddelde van 7 locaties</t>
  </si>
  <si>
    <t>(*)  = Concentratie in drinkwater berekend met het eindige differentiemodel, en permeatieparameters geschat met regressiemodel</t>
  </si>
  <si>
    <t>Modelfout</t>
  </si>
  <si>
    <t>***</t>
  </si>
  <si>
    <t xml:space="preserve">         Bij metingen beneden de detectielimiet is het model vergeleken met de detectielimiet</t>
  </si>
  <si>
    <t>(**) = De modelfout is de Berekende concentratie in drinkwater gedeeld door waargenomen concentratie in drinkwater.</t>
  </si>
  <si>
    <t>sim/obs</t>
  </si>
  <si>
    <t>Regressie-analyse op metingen &gt; DL</t>
  </si>
  <si>
    <t>deel 1: metingen &lt;=42%</t>
  </si>
  <si>
    <t>deel 2: metingen &gt;=42%</t>
  </si>
  <si>
    <t>Regressie-analyse op alle metingen</t>
  </si>
  <si>
    <t>concentratie t.o.v. ongecorrigeerde risicogrenswaarde</t>
  </si>
  <si>
    <t>LOG</t>
  </si>
  <si>
    <t>kans op overschrijding drinkwaternorm</t>
  </si>
  <si>
    <t>Lineair</t>
  </si>
  <si>
    <t>meting &gt;DL</t>
  </si>
  <si>
    <t>deel 1: metingen &lt;=19%</t>
  </si>
  <si>
    <t>o.b.v. data &gt;Dl</t>
  </si>
  <si>
    <t>meting &gt;DL, conc &lt; 5.3 RGW</t>
  </si>
  <si>
    <t>alle meting</t>
  </si>
  <si>
    <t>alle meting, conc &lt;7.1 RGW</t>
  </si>
  <si>
    <t>LIN</t>
  </si>
  <si>
    <t>o.b.v. data &gt;Dl. LOG model</t>
  </si>
  <si>
    <t>o.b.v. alle data</t>
  </si>
  <si>
    <t>REGRESSIE MODEL</t>
  </si>
  <si>
    <t>ERROR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</si>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</sst>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0.0"/>
    <numFmt numFmtId="166" formatCode="0.000%"/>
    <numFmt numFmtId="167" formatCode="0.0%"/>
    <numFmt numFmtId="168" formatCode="_-* #,##0_-;\-* #,##0_-;_-* &quot;-&quot;??_-;_-@_-"/>
    <numFmt numFmtId="169" formatCode="0.0000"/>
    <numFmt numFmtId="170" formatCode="0.000"/>
    <numFmt numFmtId="171" formatCode="_-* #,##0.0_-;\-* #,##0.0_-;_-* &quot;-&quot;??_-;_-@_-"/>
    <numFmt numFmtId="172" formatCode="0E+00"/>
    <numFmt numFmtId="173" formatCode="0.0E+00"/>
    <numFmt numFmtId="174" formatCode="#,##0.000"/>
    <numFmt numFmtId="175" formatCode="0.0000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</font>
    <font>
      <sz val="10"/>
      <name val="Lucida Sans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5" fillId="0" borderId="0"/>
    <xf numFmtId="0" fontId="1" fillId="0" borderId="0"/>
    <xf numFmtId="0" fontId="16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3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/>
    <xf numFmtId="0" fontId="5" fillId="0" borderId="0" xfId="0" applyFont="1"/>
    <xf numFmtId="0" fontId="5" fillId="0" borderId="4" xfId="0" applyFont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5" fillId="0" borderId="4" xfId="0" applyFont="1" applyBorder="1"/>
    <xf numFmtId="0" fontId="0" fillId="0" borderId="0" xfId="0" applyAlignment="1">
      <alignment horizontal="left"/>
    </xf>
    <xf numFmtId="0" fontId="5" fillId="0" borderId="5" xfId="0" applyFont="1" applyBorder="1"/>
    <xf numFmtId="3" fontId="0" fillId="2" borderId="7" xfId="0" applyNumberFormat="1" applyFill="1" applyBorder="1" applyAlignment="1">
      <alignment horizontal="center"/>
    </xf>
    <xf numFmtId="0" fontId="0" fillId="0" borderId="0" xfId="0" quotePrefix="1"/>
    <xf numFmtId="3" fontId="5" fillId="3" borderId="7" xfId="0" applyNumberFormat="1" applyFont="1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0" fontId="0" fillId="0" borderId="5" xfId="0" quotePrefix="1" applyBorder="1"/>
    <xf numFmtId="0" fontId="0" fillId="0" borderId="7" xfId="0" applyBorder="1"/>
    <xf numFmtId="14" fontId="0" fillId="0" borderId="5" xfId="0" quotePrefix="1" applyNumberFormat="1" applyBorder="1"/>
    <xf numFmtId="0" fontId="0" fillId="3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0" fontId="0" fillId="5" borderId="2" xfId="0" applyFill="1" applyBorder="1"/>
    <xf numFmtId="0" fontId="5" fillId="5" borderId="3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2" xfId="0" applyFont="1" applyFill="1" applyBorder="1"/>
    <xf numFmtId="0" fontId="0" fillId="5" borderId="3" xfId="0" applyFill="1" applyBorder="1"/>
    <xf numFmtId="0" fontId="5" fillId="5" borderId="4" xfId="0" applyFont="1" applyFill="1" applyBorder="1" applyAlignment="1">
      <alignment horizontal="center"/>
    </xf>
    <xf numFmtId="0" fontId="0" fillId="5" borderId="0" xfId="0" applyFill="1"/>
    <xf numFmtId="0" fontId="5" fillId="5" borderId="0" xfId="0" applyFont="1" applyFill="1"/>
    <xf numFmtId="0" fontId="5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0" fontId="0" fillId="5" borderId="4" xfId="0" applyFill="1" applyBorder="1"/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7" fillId="0" borderId="0" xfId="0" applyFont="1"/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/>
    <xf numFmtId="0" fontId="7" fillId="4" borderId="13" xfId="0" applyFont="1" applyFill="1" applyBorder="1" applyAlignment="1">
      <alignment horizontal="center"/>
    </xf>
    <xf numFmtId="3" fontId="7" fillId="4" borderId="14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4" xfId="0" applyFont="1" applyFill="1" applyBorder="1" applyAlignment="1">
      <alignment horizontal="left"/>
    </xf>
    <xf numFmtId="0" fontId="7" fillId="4" borderId="9" xfId="0" applyFont="1" applyFill="1" applyBorder="1"/>
    <xf numFmtId="0" fontId="7" fillId="4" borderId="10" xfId="0" applyFont="1" applyFill="1" applyBorder="1"/>
    <xf numFmtId="0" fontId="7" fillId="4" borderId="9" xfId="0" applyFont="1" applyFill="1" applyBorder="1" applyAlignment="1">
      <alignment horizontal="center"/>
    </xf>
    <xf numFmtId="0" fontId="7" fillId="4" borderId="12" xfId="0" applyFont="1" applyFill="1" applyBorder="1"/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4" fontId="0" fillId="0" borderId="0" xfId="0" applyNumberFormat="1"/>
    <xf numFmtId="0" fontId="5" fillId="5" borderId="6" xfId="0" applyFont="1" applyFill="1" applyBorder="1"/>
    <xf numFmtId="20" fontId="0" fillId="0" borderId="0" xfId="0" applyNumberFormat="1"/>
    <xf numFmtId="0" fontId="5" fillId="5" borderId="7" xfId="0" applyFont="1" applyFill="1" applyBorder="1"/>
    <xf numFmtId="0" fontId="0" fillId="5" borderId="12" xfId="0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/>
    <xf numFmtId="0" fontId="7" fillId="5" borderId="15" xfId="0" applyFont="1" applyFill="1" applyBorder="1"/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68" fontId="5" fillId="0" borderId="0" xfId="1" applyNumberFormat="1" applyFont="1" applyBorder="1" applyAlignment="1">
      <alignment horizontal="center"/>
    </xf>
    <xf numFmtId="0" fontId="5" fillId="4" borderId="0" xfId="0" applyFont="1" applyFill="1"/>
    <xf numFmtId="0" fontId="0" fillId="0" borderId="9" xfId="0" applyBorder="1"/>
    <xf numFmtId="168" fontId="0" fillId="0" borderId="0" xfId="1" applyNumberFormat="1" applyFont="1" applyBorder="1"/>
    <xf numFmtId="0" fontId="0" fillId="0" borderId="1" xfId="0" applyBorder="1"/>
    <xf numFmtId="3" fontId="5" fillId="4" borderId="5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" fontId="5" fillId="0" borderId="0" xfId="0" applyNumberFormat="1" applyFont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7" fillId="5" borderId="5" xfId="0" applyFont="1" applyFill="1" applyBorder="1"/>
    <xf numFmtId="0" fontId="7" fillId="5" borderId="0" xfId="0" applyFont="1" applyFill="1"/>
    <xf numFmtId="0" fontId="6" fillId="5" borderId="0" xfId="0" applyFont="1" applyFill="1"/>
    <xf numFmtId="0" fontId="0" fillId="5" borderId="5" xfId="0" quotePrefix="1" applyFill="1" applyBorder="1"/>
    <xf numFmtId="0" fontId="0" fillId="5" borderId="0" xfId="1" applyNumberFormat="1" applyFont="1" applyFill="1" applyBorder="1" applyAlignment="1">
      <alignment horizontal="center"/>
    </xf>
    <xf numFmtId="0" fontId="5" fillId="5" borderId="5" xfId="0" applyFont="1" applyFill="1" applyBorder="1"/>
    <xf numFmtId="0" fontId="5" fillId="5" borderId="9" xfId="0" applyFont="1" applyFill="1" applyBorder="1" applyAlignment="1">
      <alignment vertical="top"/>
    </xf>
    <xf numFmtId="0" fontId="0" fillId="5" borderId="9" xfId="0" applyFill="1" applyBorder="1" applyAlignment="1">
      <alignment vertical="top" wrapText="1"/>
    </xf>
    <xf numFmtId="0" fontId="5" fillId="5" borderId="9" xfId="0" applyFont="1" applyFill="1" applyBorder="1" applyAlignment="1">
      <alignment vertical="top" wrapText="1"/>
    </xf>
    <xf numFmtId="0" fontId="5" fillId="5" borderId="10" xfId="0" applyFont="1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5" fillId="5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left" vertical="top" wrapText="1"/>
    </xf>
    <xf numFmtId="11" fontId="0" fillId="0" borderId="4" xfId="0" applyNumberFormat="1" applyBorder="1" applyAlignment="1">
      <alignment horizontal="center"/>
    </xf>
    <xf numFmtId="2" fontId="0" fillId="0" borderId="0" xfId="2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9" fontId="0" fillId="0" borderId="0" xfId="2" applyFont="1" applyBorder="1"/>
    <xf numFmtId="0" fontId="0" fillId="5" borderId="0" xfId="0" applyFill="1" applyAlignment="1">
      <alignment horizontal="center" vertical="top"/>
    </xf>
    <xf numFmtId="0" fontId="0" fillId="5" borderId="14" xfId="0" applyFill="1" applyBorder="1"/>
    <xf numFmtId="0" fontId="5" fillId="5" borderId="0" xfId="0" applyFont="1" applyFill="1" applyAlignment="1">
      <alignment horizontal="center" vertical="top"/>
    </xf>
    <xf numFmtId="0" fontId="0" fillId="5" borderId="9" xfId="0" applyFill="1" applyBorder="1" applyAlignment="1">
      <alignment horizontal="center"/>
    </xf>
    <xf numFmtId="0" fontId="0" fillId="5" borderId="15" xfId="0" applyFill="1" applyBorder="1"/>
    <xf numFmtId="0" fontId="8" fillId="5" borderId="9" xfId="0" applyFont="1" applyFill="1" applyBorder="1" applyAlignment="1">
      <alignment vertical="top"/>
    </xf>
    <xf numFmtId="0" fontId="8" fillId="5" borderId="8" xfId="0" applyFont="1" applyFill="1" applyBorder="1" applyAlignment="1">
      <alignment vertical="top"/>
    </xf>
    <xf numFmtId="0" fontId="8" fillId="5" borderId="0" xfId="0" applyFont="1" applyFill="1" applyAlignment="1">
      <alignment vertical="top"/>
    </xf>
    <xf numFmtId="0" fontId="8" fillId="5" borderId="4" xfId="0" applyFont="1" applyFill="1" applyBorder="1" applyAlignment="1">
      <alignment vertical="top"/>
    </xf>
    <xf numFmtId="165" fontId="0" fillId="0" borderId="0" xfId="0" applyNumberFormat="1" applyAlignment="1">
      <alignment horizontal="center"/>
    </xf>
    <xf numFmtId="171" fontId="0" fillId="0" borderId="0" xfId="1" applyNumberFormat="1" applyFont="1" applyBorder="1"/>
    <xf numFmtId="0" fontId="8" fillId="5" borderId="11" xfId="0" applyFont="1" applyFill="1" applyBorder="1" applyAlignment="1">
      <alignment vertical="top"/>
    </xf>
    <xf numFmtId="0" fontId="8" fillId="5" borderId="7" xfId="0" applyFont="1" applyFill="1" applyBorder="1" applyAlignment="1">
      <alignment vertical="top"/>
    </xf>
    <xf numFmtId="0" fontId="8" fillId="5" borderId="15" xfId="0" applyFont="1" applyFill="1" applyBorder="1" applyAlignment="1">
      <alignment vertical="top"/>
    </xf>
    <xf numFmtId="0" fontId="8" fillId="5" borderId="13" xfId="0" applyFont="1" applyFill="1" applyBorder="1" applyAlignment="1">
      <alignment vertical="top" wrapText="1"/>
    </xf>
    <xf numFmtId="0" fontId="8" fillId="5" borderId="12" xfId="0" applyFont="1" applyFill="1" applyBorder="1" applyAlignment="1">
      <alignment vertical="top" wrapText="1"/>
    </xf>
    <xf numFmtId="3" fontId="5" fillId="5" borderId="5" xfId="0" applyNumberFormat="1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" fontId="0" fillId="0" borderId="10" xfId="0" applyNumberFormat="1" applyBorder="1"/>
    <xf numFmtId="1" fontId="0" fillId="0" borderId="5" xfId="0" applyNumberFormat="1" applyBorder="1"/>
    <xf numFmtId="1" fontId="0" fillId="0" borderId="3" xfId="0" applyNumberFormat="1" applyBorder="1"/>
    <xf numFmtId="4" fontId="0" fillId="0" borderId="0" xfId="0" applyNumberFormat="1" applyAlignment="1">
      <alignment horizontal="right"/>
    </xf>
    <xf numFmtId="0" fontId="0" fillId="5" borderId="8" xfId="0" applyFill="1" applyBorder="1" applyAlignment="1">
      <alignment vertical="top"/>
    </xf>
    <xf numFmtId="0" fontId="7" fillId="4" borderId="12" xfId="0" applyFont="1" applyFill="1" applyBorder="1" applyAlignment="1">
      <alignment horizontal="left"/>
    </xf>
    <xf numFmtId="0" fontId="0" fillId="0" borderId="10" xfId="0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3" xfId="0" applyNumberFormat="1" applyBorder="1"/>
    <xf numFmtId="11" fontId="0" fillId="0" borderId="10" xfId="0" applyNumberFormat="1" applyBorder="1"/>
    <xf numFmtId="11" fontId="0" fillId="0" borderId="5" xfId="0" applyNumberFormat="1" applyBorder="1"/>
    <xf numFmtId="11" fontId="0" fillId="0" borderId="3" xfId="0" applyNumberFormat="1" applyBorder="1"/>
    <xf numFmtId="0" fontId="0" fillId="5" borderId="13" xfId="0" applyFill="1" applyBorder="1"/>
    <xf numFmtId="0" fontId="0" fillId="5" borderId="12" xfId="0" applyFill="1" applyBorder="1"/>
    <xf numFmtId="0" fontId="7" fillId="4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9" xfId="0" applyFill="1" applyBorder="1"/>
    <xf numFmtId="0" fontId="5" fillId="5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/>
    </xf>
    <xf numFmtId="3" fontId="7" fillId="4" borderId="14" xfId="0" applyNumberFormat="1" applyFont="1" applyFill="1" applyBorder="1" applyAlignment="1">
      <alignment horizontal="left"/>
    </xf>
    <xf numFmtId="3" fontId="7" fillId="4" borderId="12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/>
    </xf>
    <xf numFmtId="3" fontId="0" fillId="0" borderId="5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4" xfId="0" applyNumberFormat="1" applyBorder="1"/>
    <xf numFmtId="3" fontId="0" fillId="5" borderId="5" xfId="0" applyNumberFormat="1" applyFill="1" applyBorder="1"/>
    <xf numFmtId="4" fontId="0" fillId="0" borderId="5" xfId="0" applyNumberFormat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0" fontId="5" fillId="5" borderId="9" xfId="0" quotePrefix="1" applyFont="1" applyFill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/>
    </xf>
    <xf numFmtId="168" fontId="5" fillId="0" borderId="0" xfId="1" applyNumberFormat="1" applyFont="1" applyFill="1" applyBorder="1"/>
    <xf numFmtId="168" fontId="5" fillId="0" borderId="0" xfId="1" applyNumberFormat="1" applyFont="1" applyBorder="1"/>
    <xf numFmtId="2" fontId="5" fillId="0" borderId="0" xfId="1" applyNumberFormat="1" applyFont="1" applyBorder="1" applyAlignment="1">
      <alignment horizontal="center"/>
    </xf>
    <xf numFmtId="0" fontId="0" fillId="5" borderId="5" xfId="0" applyFill="1" applyBorder="1" applyAlignment="1">
      <alignment horizontal="center" vertical="top" wrapText="1"/>
    </xf>
    <xf numFmtId="0" fontId="7" fillId="4" borderId="8" xfId="0" applyFont="1" applyFill="1" applyBorder="1" applyAlignment="1">
      <alignment horizontal="center"/>
    </xf>
    <xf numFmtId="0" fontId="0" fillId="5" borderId="9" xfId="0" quotePrefix="1" applyFill="1" applyBorder="1" applyAlignment="1">
      <alignment horizontal="center" vertical="top" wrapText="1"/>
    </xf>
    <xf numFmtId="0" fontId="8" fillId="0" borderId="0" xfId="0" applyFont="1"/>
    <xf numFmtId="3" fontId="0" fillId="3" borderId="7" xfId="0" applyNumberForma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left"/>
    </xf>
    <xf numFmtId="0" fontId="0" fillId="5" borderId="9" xfId="0" applyFill="1" applyBorder="1" applyAlignment="1">
      <alignment horizontal="center" vertical="top" wrapText="1"/>
    </xf>
    <xf numFmtId="3" fontId="0" fillId="5" borderId="2" xfId="0" applyNumberForma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3" fontId="0" fillId="0" borderId="5" xfId="0" applyNumberFormat="1" applyBorder="1"/>
    <xf numFmtId="11" fontId="0" fillId="0" borderId="0" xfId="0" applyNumberFormat="1"/>
    <xf numFmtId="0" fontId="0" fillId="0" borderId="0" xfId="0" applyAlignment="1">
      <alignment horizontal="right"/>
    </xf>
    <xf numFmtId="0" fontId="12" fillId="0" borderId="0" xfId="7" applyFont="1"/>
    <xf numFmtId="0" fontId="4" fillId="0" borderId="0" xfId="0" applyFont="1"/>
    <xf numFmtId="0" fontId="5" fillId="0" borderId="0" xfId="7"/>
    <xf numFmtId="0" fontId="0" fillId="0" borderId="2" xfId="0" applyBorder="1" applyAlignment="1">
      <alignment horizontal="left"/>
    </xf>
    <xf numFmtId="170" fontId="0" fillId="0" borderId="0" xfId="0" applyNumberFormat="1" applyAlignment="1">
      <alignment horizontal="center"/>
    </xf>
    <xf numFmtId="0" fontId="3" fillId="0" borderId="0" xfId="0" applyFont="1"/>
    <xf numFmtId="172" fontId="12" fillId="0" borderId="0" xfId="7" applyNumberFormat="1" applyFont="1"/>
    <xf numFmtId="170" fontId="12" fillId="0" borderId="0" xfId="7" applyNumberFormat="1" applyFont="1"/>
    <xf numFmtId="0" fontId="12" fillId="0" borderId="10" xfId="7" applyFont="1" applyBorder="1"/>
    <xf numFmtId="0" fontId="12" fillId="0" borderId="9" xfId="7" applyFont="1" applyBorder="1"/>
    <xf numFmtId="0" fontId="0" fillId="0" borderId="9" xfId="0" applyBorder="1" applyAlignment="1">
      <alignment horizontal="right"/>
    </xf>
    <xf numFmtId="0" fontId="0" fillId="0" borderId="8" xfId="0" applyBorder="1"/>
    <xf numFmtId="0" fontId="12" fillId="0" borderId="5" xfId="7" applyFont="1" applyBorder="1"/>
    <xf numFmtId="0" fontId="5" fillId="0" borderId="3" xfId="7" applyBorder="1"/>
    <xf numFmtId="0" fontId="0" fillId="0" borderId="9" xfId="0" applyBorder="1" applyAlignment="1">
      <alignment horizontal="left"/>
    </xf>
    <xf numFmtId="0" fontId="12" fillId="0" borderId="3" xfId="7" applyFont="1" applyBorder="1"/>
    <xf numFmtId="0" fontId="12" fillId="0" borderId="2" xfId="7" applyFont="1" applyBorder="1"/>
    <xf numFmtId="170" fontId="12" fillId="0" borderId="2" xfId="7" applyNumberFormat="1" applyFont="1" applyBorder="1"/>
    <xf numFmtId="0" fontId="0" fillId="0" borderId="1" xfId="0" applyBorder="1" applyAlignment="1">
      <alignment horizontal="center"/>
    </xf>
    <xf numFmtId="0" fontId="11" fillId="4" borderId="14" xfId="0" applyFont="1" applyFill="1" applyBorder="1"/>
    <xf numFmtId="0" fontId="0" fillId="4" borderId="13" xfId="0" applyFill="1" applyBorder="1" applyAlignment="1">
      <alignment horizontal="left"/>
    </xf>
    <xf numFmtId="0" fontId="0" fillId="4" borderId="13" xfId="0" applyFill="1" applyBorder="1"/>
    <xf numFmtId="0" fontId="0" fillId="4" borderId="12" xfId="0" applyFill="1" applyBorder="1"/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0" xfId="0" applyBorder="1" applyAlignment="1">
      <alignment horizontal="left"/>
    </xf>
    <xf numFmtId="169" fontId="0" fillId="0" borderId="10" xfId="0" applyNumberFormat="1" applyBorder="1" applyAlignment="1">
      <alignment horizontal="right"/>
    </xf>
    <xf numFmtId="16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6" borderId="10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1" xfId="0" applyFill="1" applyBorder="1"/>
    <xf numFmtId="0" fontId="0" fillId="4" borderId="14" xfId="0" applyFill="1" applyBorder="1"/>
    <xf numFmtId="0" fontId="0" fillId="7" borderId="0" xfId="0" applyFill="1"/>
    <xf numFmtId="0" fontId="7" fillId="5" borderId="11" xfId="0" applyFont="1" applyFill="1" applyBorder="1"/>
    <xf numFmtId="0" fontId="5" fillId="5" borderId="11" xfId="0" applyFont="1" applyFill="1" applyBorder="1"/>
    <xf numFmtId="4" fontId="0" fillId="0" borderId="0" xfId="0" applyNumberFormat="1" applyAlignment="1">
      <alignment horizontal="left"/>
    </xf>
    <xf numFmtId="0" fontId="0" fillId="5" borderId="7" xfId="0" applyFill="1" applyBorder="1"/>
    <xf numFmtId="0" fontId="0" fillId="5" borderId="6" xfId="0" applyFill="1" applyBorder="1"/>
    <xf numFmtId="2" fontId="0" fillId="0" borderId="0" xfId="1" applyNumberFormat="1" applyFont="1"/>
    <xf numFmtId="2" fontId="5" fillId="0" borderId="0" xfId="1" applyNumberFormat="1" applyFont="1" applyFill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center"/>
    </xf>
    <xf numFmtId="2" fontId="0" fillId="3" borderId="0" xfId="1" applyNumberFormat="1" applyFont="1" applyFill="1"/>
    <xf numFmtId="0" fontId="0" fillId="8" borderId="14" xfId="0" applyFill="1" applyBorder="1"/>
    <xf numFmtId="0" fontId="0" fillId="8" borderId="13" xfId="0" applyFill="1" applyBorder="1"/>
    <xf numFmtId="0" fontId="0" fillId="8" borderId="12" xfId="0" applyFill="1" applyBorder="1"/>
    <xf numFmtId="173" fontId="0" fillId="3" borderId="0" xfId="1" applyNumberFormat="1" applyFont="1" applyFill="1"/>
    <xf numFmtId="173" fontId="0" fillId="9" borderId="0" xfId="1" applyNumberFormat="1" applyFont="1" applyFill="1"/>
    <xf numFmtId="0" fontId="0" fillId="5" borderId="11" xfId="0" applyFill="1" applyBorder="1"/>
    <xf numFmtId="0" fontId="0" fillId="0" borderId="0" xfId="1" applyNumberFormat="1" applyFont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0" fillId="7" borderId="8" xfId="0" applyFill="1" applyBorder="1"/>
    <xf numFmtId="1" fontId="0" fillId="7" borderId="5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1" fontId="0" fillId="7" borderId="3" xfId="0" applyNumberFormat="1" applyFill="1" applyBorder="1" applyAlignment="1">
      <alignment horizontal="center"/>
    </xf>
    <xf numFmtId="1" fontId="13" fillId="0" borderId="0" xfId="0" applyNumberFormat="1" applyFont="1"/>
    <xf numFmtId="0" fontId="0" fillId="5" borderId="13" xfId="0" applyFill="1" applyBorder="1" applyAlignment="1">
      <alignment horizontal="right"/>
    </xf>
    <xf numFmtId="0" fontId="0" fillId="5" borderId="8" xfId="0" applyFill="1" applyBorder="1"/>
    <xf numFmtId="170" fontId="5" fillId="0" borderId="0" xfId="7" applyNumberFormat="1"/>
    <xf numFmtId="2" fontId="5" fillId="0" borderId="0" xfId="7" applyNumberFormat="1"/>
    <xf numFmtId="2" fontId="0" fillId="7" borderId="1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5" borderId="14" xfId="0" applyFont="1" applyFill="1" applyBorder="1"/>
    <xf numFmtId="165" fontId="0" fillId="0" borderId="10" xfId="0" applyNumberFormat="1" applyBorder="1"/>
    <xf numFmtId="165" fontId="0" fillId="0" borderId="9" xfId="0" applyNumberFormat="1" applyBorder="1"/>
    <xf numFmtId="165" fontId="0" fillId="0" borderId="5" xfId="0" applyNumberFormat="1" applyBorder="1"/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8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0" fontId="0" fillId="7" borderId="5" xfId="0" applyFill="1" applyBorder="1"/>
    <xf numFmtId="165" fontId="0" fillId="7" borderId="1" xfId="0" applyNumberFormat="1" applyFill="1" applyBorder="1" applyAlignment="1">
      <alignment horizontal="center"/>
    </xf>
    <xf numFmtId="0" fontId="2" fillId="0" borderId="0" xfId="0" applyFont="1"/>
    <xf numFmtId="170" fontId="2" fillId="0" borderId="0" xfId="0" applyNumberFormat="1" applyFont="1"/>
    <xf numFmtId="0" fontId="2" fillId="0" borderId="2" xfId="0" applyFont="1" applyBorder="1"/>
    <xf numFmtId="174" fontId="5" fillId="3" borderId="7" xfId="0" applyNumberFormat="1" applyFont="1" applyFill="1" applyBorder="1" applyAlignment="1">
      <alignment horizontal="center"/>
    </xf>
    <xf numFmtId="174" fontId="0" fillId="2" borderId="7" xfId="0" applyNumberFormat="1" applyFill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174" fontId="0" fillId="3" borderId="7" xfId="0" applyNumberFormat="1" applyFill="1" applyBorder="1" applyAlignment="1">
      <alignment horizontal="center"/>
    </xf>
    <xf numFmtId="174" fontId="5" fillId="2" borderId="7" xfId="0" applyNumberFormat="1" applyFont="1" applyFill="1" applyBorder="1" applyAlignment="1">
      <alignment horizontal="center"/>
    </xf>
    <xf numFmtId="174" fontId="5" fillId="4" borderId="5" xfId="0" applyNumberFormat="1" applyFont="1" applyFill="1" applyBorder="1" applyAlignment="1">
      <alignment horizontal="center"/>
    </xf>
    <xf numFmtId="170" fontId="5" fillId="0" borderId="0" xfId="1" applyNumberFormat="1" applyFont="1" applyBorder="1" applyAlignment="1">
      <alignment horizontal="center"/>
    </xf>
    <xf numFmtId="175" fontId="0" fillId="4" borderId="5" xfId="0" applyNumberFormat="1" applyFill="1" applyBorder="1" applyAlignment="1">
      <alignment horizontal="center"/>
    </xf>
    <xf numFmtId="11" fontId="5" fillId="3" borderId="7" xfId="0" applyNumberFormat="1" applyFont="1" applyFill="1" applyBorder="1" applyAlignment="1">
      <alignment horizontal="center"/>
    </xf>
    <xf numFmtId="11" fontId="0" fillId="4" borderId="5" xfId="0" applyNumberFormat="1" applyFill="1" applyBorder="1" applyAlignment="1">
      <alignment horizontal="center"/>
    </xf>
    <xf numFmtId="11" fontId="5" fillId="0" borderId="5" xfId="0" applyNumberFormat="1" applyFont="1" applyBorder="1"/>
    <xf numFmtId="175" fontId="5" fillId="4" borderId="5" xfId="0" applyNumberFormat="1" applyFont="1" applyFill="1" applyBorder="1" applyAlignment="1">
      <alignment horizontal="center"/>
    </xf>
    <xf numFmtId="1" fontId="0" fillId="4" borderId="13" xfId="0" applyNumberFormat="1" applyFill="1" applyBorder="1" applyAlignment="1">
      <alignment horizontal="right"/>
    </xf>
    <xf numFmtId="165" fontId="0" fillId="7" borderId="5" xfId="0" applyNumberFormat="1" applyFill="1" applyBorder="1" applyAlignment="1">
      <alignment horizontal="center"/>
    </xf>
    <xf numFmtId="0" fontId="0" fillId="6" borderId="14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7" xfId="0" applyFill="1" applyBorder="1"/>
    <xf numFmtId="0" fontId="0" fillId="7" borderId="7" xfId="0" applyFill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5" xfId="0" applyFill="1" applyBorder="1" applyAlignment="1">
      <alignment horizontal="left"/>
    </xf>
    <xf numFmtId="2" fontId="0" fillId="7" borderId="7" xfId="0" applyNumberFormat="1" applyFill="1" applyBorder="1"/>
    <xf numFmtId="2" fontId="0" fillId="7" borderId="5" xfId="0" applyNumberFormat="1" applyFill="1" applyBorder="1"/>
    <xf numFmtId="0" fontId="0" fillId="7" borderId="4" xfId="0" applyFill="1" applyBorder="1"/>
    <xf numFmtId="2" fontId="0" fillId="7" borderId="4" xfId="0" applyNumberFormat="1" applyFill="1" applyBorder="1"/>
    <xf numFmtId="1" fontId="0" fillId="7" borderId="7" xfId="0" applyNumberFormat="1" applyFill="1" applyBorder="1"/>
    <xf numFmtId="0" fontId="0" fillId="7" borderId="3" xfId="0" applyFill="1" applyBorder="1" applyAlignment="1">
      <alignment horizontal="left"/>
    </xf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2" fontId="0" fillId="7" borderId="6" xfId="0" applyNumberFormat="1" applyFill="1" applyBorder="1"/>
    <xf numFmtId="2" fontId="0" fillId="7" borderId="3" xfId="0" applyNumberFormat="1" applyFill="1" applyBorder="1"/>
    <xf numFmtId="0" fontId="0" fillId="7" borderId="2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7" borderId="0" xfId="0" applyFill="1" applyAlignment="1">
      <alignment horizontal="left"/>
    </xf>
    <xf numFmtId="0" fontId="5" fillId="7" borderId="5" xfId="0" applyFont="1" applyFill="1" applyBorder="1"/>
    <xf numFmtId="0" fontId="0" fillId="7" borderId="3" xfId="0" applyFill="1" applyBorder="1"/>
    <xf numFmtId="0" fontId="5" fillId="7" borderId="3" xfId="0" applyFont="1" applyFill="1" applyBorder="1"/>
    <xf numFmtId="2" fontId="0" fillId="7" borderId="10" xfId="0" applyNumberFormat="1" applyFill="1" applyBorder="1" applyAlignment="1">
      <alignment horizontal="center"/>
    </xf>
    <xf numFmtId="11" fontId="0" fillId="7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11" fontId="0" fillId="7" borderId="5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11" fontId="0" fillId="7" borderId="3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6" xfId="0" applyNumberFormat="1" applyFill="1" applyBorder="1"/>
    <xf numFmtId="16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center"/>
    </xf>
    <xf numFmtId="165" fontId="5" fillId="0" borderId="0" xfId="1" applyNumberFormat="1" applyFont="1" applyFill="1" applyBorder="1" applyAlignment="1"/>
    <xf numFmtId="0" fontId="0" fillId="10" borderId="0" xfId="0" applyFill="1"/>
    <xf numFmtId="0" fontId="0" fillId="11" borderId="0" xfId="0" applyFill="1"/>
    <xf numFmtId="2" fontId="0" fillId="0" borderId="0" xfId="1" applyNumberFormat="1" applyFon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</cellXfs>
  <cellStyles count="10">
    <cellStyle name="Comma" xfId="1" builtinId="3"/>
    <cellStyle name="Comma 2" xfId="3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Percent" xfId="2" builtinId="5"/>
    <cellStyle name="Percent 2" xfId="6" xr:uid="{00000000-0005-0000-0000-000008000000}"/>
    <cellStyle name="Standaard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1995'!$AQ$51:$AQ$60</c:f>
              <c:numCache>
                <c:formatCode>0%</c:formatCode>
                <c:ptCount val="10"/>
                <c:pt idx="0">
                  <c:v>8.3333333333333332E-3</c:v>
                </c:pt>
                <c:pt idx="1">
                  <c:v>0.22500000000000001</c:v>
                </c:pt>
                <c:pt idx="2">
                  <c:v>0.19166666666666668</c:v>
                </c:pt>
                <c:pt idx="3">
                  <c:v>0.54166666666666663</c:v>
                </c:pt>
                <c:pt idx="4">
                  <c:v>0.79166666666666663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0.47499999999999998</c:v>
                </c:pt>
                <c:pt idx="8">
                  <c:v>0.70833333333333337</c:v>
                </c:pt>
                <c:pt idx="9">
                  <c:v>0.20833333333333334</c:v>
                </c:pt>
              </c:numCache>
            </c:numRef>
          </c:xVal>
          <c:yVal>
            <c:numRef>
              <c:f>'vdBerg 1995'!$AM$51:$AM$60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10.891426096104455</c:v>
                </c:pt>
                <c:pt idx="2">
                  <c:v>7.6593600403124205</c:v>
                </c:pt>
                <c:pt idx="3">
                  <c:v>134.58751250092084</c:v>
                </c:pt>
                <c:pt idx="4">
                  <c:v>720.04319187992644</c:v>
                </c:pt>
                <c:pt idx="5">
                  <c:v>4.2152328711775864</c:v>
                </c:pt>
                <c:pt idx="6">
                  <c:v>7.4073334487089006</c:v>
                </c:pt>
                <c:pt idx="7">
                  <c:v>112.54329064184711</c:v>
                </c:pt>
                <c:pt idx="8">
                  <c:v>384.52290969297758</c:v>
                </c:pt>
                <c:pt idx="9">
                  <c:v>8.9279486642951777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A-4468-A62D-B534AC30B46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1995'!$AQ$86:$AQ$88</c:f>
              <c:numCache>
                <c:formatCode>0%</c:formatCode>
                <c:ptCount val="3"/>
                <c:pt idx="0">
                  <c:v>0.24166666666666667</c:v>
                </c:pt>
                <c:pt idx="1">
                  <c:v>0.05</c:v>
                </c:pt>
                <c:pt idx="2">
                  <c:v>0.14166666666666666</c:v>
                </c:pt>
              </c:numCache>
            </c:numRef>
          </c:xVal>
          <c:yVal>
            <c:numRef>
              <c:f>'vdBerg 1995'!$AM$86:$AM$88</c:f>
              <c:numCache>
                <c:formatCode>0.0</c:formatCode>
                <c:ptCount val="3"/>
                <c:pt idx="0">
                  <c:v>11.579099724996379</c:v>
                </c:pt>
                <c:pt idx="1">
                  <c:v>1.2345679012345676</c:v>
                </c:pt>
                <c:pt idx="2">
                  <c:v>4.9970605526161078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A-4468-A62D-B534AC30B46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1995'!$AQ$62:$AQ$84</c:f>
              <c:numCache>
                <c:formatCode>General</c:formatCode>
                <c:ptCount val="23"/>
                <c:pt idx="2" formatCode="0%">
                  <c:v>0.15833333333333333</c:v>
                </c:pt>
                <c:pt idx="3" formatCode="0%">
                  <c:v>0.05</c:v>
                </c:pt>
                <c:pt idx="4" formatCode="0%">
                  <c:v>0.57499999999999996</c:v>
                </c:pt>
                <c:pt idx="5" formatCode="0%">
                  <c:v>0.57499999999999996</c:v>
                </c:pt>
                <c:pt idx="6" formatCode="0%">
                  <c:v>0.57499999999999996</c:v>
                </c:pt>
                <c:pt idx="7" formatCode="0%">
                  <c:v>0.41666666666666669</c:v>
                </c:pt>
                <c:pt idx="8" formatCode="0%">
                  <c:v>0.41666666666666669</c:v>
                </c:pt>
                <c:pt idx="9" formatCode="0%">
                  <c:v>0.41666666666666669</c:v>
                </c:pt>
                <c:pt idx="10" formatCode="0%">
                  <c:v>0.41666666666666669</c:v>
                </c:pt>
                <c:pt idx="11" formatCode="0%">
                  <c:v>0.77500000000000002</c:v>
                </c:pt>
                <c:pt idx="12" formatCode="0%">
                  <c:v>0.52500000000000002</c:v>
                </c:pt>
                <c:pt idx="13" formatCode="0%">
                  <c:v>0.30833333333333335</c:v>
                </c:pt>
                <c:pt idx="14" formatCode="0%">
                  <c:v>0.10833333333333334</c:v>
                </c:pt>
                <c:pt idx="15" formatCode="0%">
                  <c:v>9.166666666666666E-2</c:v>
                </c:pt>
                <c:pt idx="16" formatCode="0%">
                  <c:v>0.89166666666666672</c:v>
                </c:pt>
                <c:pt idx="17" formatCode="0%">
                  <c:v>0.27500000000000002</c:v>
                </c:pt>
                <c:pt idx="18" formatCode="0%">
                  <c:v>2.5000000000000001E-2</c:v>
                </c:pt>
                <c:pt idx="19" formatCode="0%">
                  <c:v>0.35833333333333334</c:v>
                </c:pt>
                <c:pt idx="20" formatCode="0%">
                  <c:v>0.875</c:v>
                </c:pt>
                <c:pt idx="21" formatCode="0%">
                  <c:v>0.65833333333333333</c:v>
                </c:pt>
              </c:numCache>
            </c:numRef>
          </c:xVal>
          <c:yVal>
            <c:numRef>
              <c:f>'vdBerg 1995'!$AM$62:$AM$84</c:f>
              <c:numCache>
                <c:formatCode>General</c:formatCode>
                <c:ptCount val="23"/>
                <c:pt idx="2" formatCode="_-* #,##0_-;\-* #,##0_-;_-* &quot;-&quot;??_-;_-@_-">
                  <c:v>6.1693121693121693</c:v>
                </c:pt>
                <c:pt idx="3" formatCode="_-* #,##0_-;\-* #,##0_-;_-* &quot;-&quot;??_-;_-@_-">
                  <c:v>1.2345679012345676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639.41798941798925</c:v>
                </c:pt>
                <c:pt idx="12" formatCode="_-* #,##0_-;\-* #,##0_-;_-* &quot;-&quot;??_-;_-@_-">
                  <c:v>132.27513227513219</c:v>
                </c:pt>
                <c:pt idx="13" formatCode="_-* #,##0_-;\-* #,##0_-;_-* &quot;-&quot;??_-;_-@_-">
                  <c:v>37.673217435122183</c:v>
                </c:pt>
                <c:pt idx="14" formatCode="_-* #,##0_-;\-* #,##0_-;_-* &quot;-&quot;??_-;_-@_-">
                  <c:v>3.2753842277651795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2880.1727675197058</c:v>
                </c:pt>
                <c:pt idx="17" formatCode="_-* #,##0_-;\-* #,##0_-;_-* &quot;-&quot;??_-;_-@_-">
                  <c:v>28.586545729402861</c:v>
                </c:pt>
                <c:pt idx="18" formatCode="_-* #,##0_-;\-* #,##0_-;_-* &quot;-&quot;??_-;_-@_-">
                  <c:v>0.66515495086923637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2791.5343915343906</c:v>
                </c:pt>
                <c:pt idx="21" formatCode="_-* #,##0_-;\-* #,##0_-;_-* &quot;-&quot;??_-;_-@_-">
                  <c:v>269.95238095238079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A-4468-A62D-B534AC30B46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1995'!$AQ$91:$AQ$117</c:f>
              <c:numCache>
                <c:formatCode>0%</c:formatCode>
                <c:ptCount val="27"/>
                <c:pt idx="0">
                  <c:v>0.90833333333333333</c:v>
                </c:pt>
                <c:pt idx="1">
                  <c:v>0.72499999999999998</c:v>
                </c:pt>
                <c:pt idx="2">
                  <c:v>0.60833333333333328</c:v>
                </c:pt>
                <c:pt idx="3">
                  <c:v>0.9916666666666667</c:v>
                </c:pt>
                <c:pt idx="4">
                  <c:v>0.94166666666666665</c:v>
                </c:pt>
                <c:pt idx="5">
                  <c:v>0.92500000000000004</c:v>
                </c:pt>
                <c:pt idx="6">
                  <c:v>0.85833333333333328</c:v>
                </c:pt>
                <c:pt idx="7">
                  <c:v>0.80833333333333335</c:v>
                </c:pt>
                <c:pt idx="8">
                  <c:v>0.625</c:v>
                </c:pt>
                <c:pt idx="9">
                  <c:v>0.5083333333333333</c:v>
                </c:pt>
                <c:pt idx="10">
                  <c:v>0.49166666666666664</c:v>
                </c:pt>
                <c:pt idx="11">
                  <c:v>0.45833333333333331</c:v>
                </c:pt>
                <c:pt idx="12">
                  <c:v>0.375</c:v>
                </c:pt>
                <c:pt idx="13">
                  <c:v>0.34166666666666667</c:v>
                </c:pt>
                <c:pt idx="14">
                  <c:v>0.32500000000000001</c:v>
                </c:pt>
                <c:pt idx="15">
                  <c:v>0.25833333333333336</c:v>
                </c:pt>
                <c:pt idx="16">
                  <c:v>0.82499999999999996</c:v>
                </c:pt>
                <c:pt idx="17">
                  <c:v>0.64166666666666672</c:v>
                </c:pt>
                <c:pt idx="18">
                  <c:v>0.69166666666666665</c:v>
                </c:pt>
                <c:pt idx="19">
                  <c:v>7.4999999999999997E-2</c:v>
                </c:pt>
                <c:pt idx="20">
                  <c:v>0.97499999999999998</c:v>
                </c:pt>
                <c:pt idx="21">
                  <c:v>0.95833333333333337</c:v>
                </c:pt>
                <c:pt idx="22">
                  <c:v>0.84166666666666667</c:v>
                </c:pt>
                <c:pt idx="23">
                  <c:v>0.7416666666666667</c:v>
                </c:pt>
                <c:pt idx="24">
                  <c:v>0.29166666666666669</c:v>
                </c:pt>
                <c:pt idx="25">
                  <c:v>0.7583333333333333</c:v>
                </c:pt>
                <c:pt idx="26">
                  <c:v>0.67500000000000004</c:v>
                </c:pt>
              </c:numCache>
            </c:numRef>
          </c:xVal>
          <c:yVal>
            <c:numRef>
              <c:f>'vdBerg 1995'!$AM$91:$AM$117</c:f>
              <c:numCache>
                <c:formatCode>_-* #,##0_-;\-* #,##0_-;_-* "-"??_-;_-@_-</c:formatCode>
                <c:ptCount val="27"/>
                <c:pt idx="0">
                  <c:v>4232.8042328042311</c:v>
                </c:pt>
                <c:pt idx="1">
                  <c:v>405.64373897707219</c:v>
                </c:pt>
                <c:pt idx="2">
                  <c:v>172.83950617283946</c:v>
                </c:pt>
                <c:pt idx="3">
                  <c:v>44973.544973544958</c:v>
                </c:pt>
                <c:pt idx="4">
                  <c:v>6928.6974048878792</c:v>
                </c:pt>
                <c:pt idx="5">
                  <c:v>4472.1592340639954</c:v>
                </c:pt>
                <c:pt idx="6">
                  <c:v>1574.7039556563361</c:v>
                </c:pt>
                <c:pt idx="7">
                  <c:v>755.8578987150413</c:v>
                </c:pt>
                <c:pt idx="8">
                  <c:v>233.05618543713774</c:v>
                </c:pt>
                <c:pt idx="9">
                  <c:v>119.67750062988156</c:v>
                </c:pt>
                <c:pt idx="10">
                  <c:v>113.37868480725621</c:v>
                </c:pt>
                <c:pt idx="11">
                  <c:v>58.578987150415713</c:v>
                </c:pt>
                <c:pt idx="12">
                  <c:v>52.910052910052904</c:v>
                </c:pt>
                <c:pt idx="13">
                  <c:v>46.611237087427554</c:v>
                </c:pt>
                <c:pt idx="14">
                  <c:v>44.091710758377403</c:v>
                </c:pt>
                <c:pt idx="15">
                  <c:v>25.19526329050138</c:v>
                </c:pt>
                <c:pt idx="16">
                  <c:v>927.18568909045086</c:v>
                </c:pt>
                <c:pt idx="17">
                  <c:v>262.03073822121434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26455.026455026451</c:v>
                </c:pt>
                <c:pt idx="21">
                  <c:v>11375.661375661373</c:v>
                </c:pt>
                <c:pt idx="22">
                  <c:v>1007.810531620055</c:v>
                </c:pt>
                <c:pt idx="23">
                  <c:v>434.6182917611489</c:v>
                </c:pt>
                <c:pt idx="24">
                  <c:v>29.730410682791636</c:v>
                </c:pt>
                <c:pt idx="25">
                  <c:v>574.45200302343153</c:v>
                </c:pt>
                <c:pt idx="26">
                  <c:v>332.57747543461818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A-4468-A62D-B534AC30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4936"/>
        <c:axId val="458343368"/>
      </c:scatterChart>
      <c:valAx>
        <c:axId val="4583449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8343368"/>
        <c:crossesAt val="0"/>
        <c:crossBetween val="midCat"/>
      </c:valAx>
      <c:valAx>
        <c:axId val="45834336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8344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'vdBerg 1995'!$BE$51:$BE$60</c:f>
              <c:numCache>
                <c:formatCode>General</c:formatCode>
                <c:ptCount val="10"/>
                <c:pt idx="0">
                  <c:v>0.30435878054925669</c:v>
                </c:pt>
                <c:pt idx="1">
                  <c:v>0.63233818280604015</c:v>
                </c:pt>
                <c:pt idx="2">
                  <c:v>3.6539647813271308</c:v>
                </c:pt>
                <c:pt idx="3">
                  <c:v>45.800388027479954</c:v>
                </c:pt>
                <c:pt idx="4">
                  <c:v>45.800388027479954</c:v>
                </c:pt>
                <c:pt idx="5">
                  <c:v>18.344002139038537</c:v>
                </c:pt>
                <c:pt idx="6">
                  <c:v>18.344002139038537</c:v>
                </c:pt>
                <c:pt idx="7">
                  <c:v>18.344002139038537</c:v>
                </c:pt>
                <c:pt idx="8">
                  <c:v>18.344002139038537</c:v>
                </c:pt>
                <c:pt idx="9">
                  <c:v>0.40329582217212623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799-A184-A51343D0E61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'vdBerg 1995'!$BE$86:$BE$88</c:f>
              <c:numCache>
                <c:formatCode>General</c:formatCode>
                <c:ptCount val="3"/>
                <c:pt idx="0">
                  <c:v>146.88860483593518</c:v>
                </c:pt>
                <c:pt idx="1">
                  <c:v>0.2772335221077365</c:v>
                </c:pt>
                <c:pt idx="2">
                  <c:v>6.9352045037072045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8-4799-A184-A51343D0E61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'vdBerg 1995'!$BE$62:$BE$84</c:f>
              <c:numCache>
                <c:formatCode>#,##0</c:formatCode>
                <c:ptCount val="23"/>
                <c:pt idx="2" formatCode="General">
                  <c:v>0.23173495420997664</c:v>
                </c:pt>
                <c:pt idx="3" formatCode="General">
                  <c:v>3.9355426347087503E-2</c:v>
                </c:pt>
                <c:pt idx="4" formatCode="General">
                  <c:v>6.9108159665982782</c:v>
                </c:pt>
                <c:pt idx="5" formatCode="General">
                  <c:v>6.9108159665982782</c:v>
                </c:pt>
                <c:pt idx="6" formatCode="General">
                  <c:v>6.9108159665982782</c:v>
                </c:pt>
                <c:pt idx="7" formatCode="General">
                  <c:v>2.7645682611669002</c:v>
                </c:pt>
                <c:pt idx="8" formatCode="General">
                  <c:v>2.7645682611669002</c:v>
                </c:pt>
                <c:pt idx="9" formatCode="General">
                  <c:v>2.7645682611669002</c:v>
                </c:pt>
                <c:pt idx="10" formatCode="General">
                  <c:v>2.7645682611669002</c:v>
                </c:pt>
                <c:pt idx="11" formatCode="General">
                  <c:v>8.7915701013513452</c:v>
                </c:pt>
                <c:pt idx="12" formatCode="General">
                  <c:v>1.3590823470681663</c:v>
                </c:pt>
                <c:pt idx="13" formatCode="General">
                  <c:v>0.77454767577443107</c:v>
                </c:pt>
                <c:pt idx="14" formatCode="General">
                  <c:v>5.0322669400468693E-2</c:v>
                </c:pt>
                <c:pt idx="15" formatCode="General">
                  <c:v>7.4577979339884096E-2</c:v>
                </c:pt>
                <c:pt idx="16" formatCode="General">
                  <c:v>45.800388027479954</c:v>
                </c:pt>
                <c:pt idx="17" formatCode="General">
                  <c:v>0.68696072960628429</c:v>
                </c:pt>
                <c:pt idx="18" formatCode="General">
                  <c:v>1.1944804140323173E-2</c:v>
                </c:pt>
                <c:pt idx="19" formatCode="General">
                  <c:v>2.4439405391786337</c:v>
                </c:pt>
                <c:pt idx="20" formatCode="General">
                  <c:v>38.167649249251205</c:v>
                </c:pt>
                <c:pt idx="21" formatCode="General">
                  <c:v>2.7581988069194709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8-4799-A184-A51343D0E61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'vdBerg 1995'!$BE$91:$BE$117</c:f>
              <c:numCache>
                <c:formatCode>General</c:formatCode>
                <c:ptCount val="27"/>
                <c:pt idx="0">
                  <c:v>53.973156133148571</c:v>
                </c:pt>
                <c:pt idx="1">
                  <c:v>5.172427462760071</c:v>
                </c:pt>
                <c:pt idx="2">
                  <c:v>2.2039038754368998</c:v>
                </c:pt>
                <c:pt idx="3">
                  <c:v>209.91020171616847</c:v>
                </c:pt>
                <c:pt idx="4">
                  <c:v>48.357280528962498</c:v>
                </c:pt>
                <c:pt idx="5">
                  <c:v>31.212426523239429</c:v>
                </c:pt>
                <c:pt idx="6">
                  <c:v>10.990291029309658</c:v>
                </c:pt>
                <c:pt idx="7">
                  <c:v>5.2753396940686352</c:v>
                </c:pt>
                <c:pt idx="8">
                  <c:v>1.6265630723378295</c:v>
                </c:pt>
                <c:pt idx="9">
                  <c:v>0.83526211822753393</c:v>
                </c:pt>
                <c:pt idx="10">
                  <c:v>0.79130095411029533</c:v>
                </c:pt>
                <c:pt idx="11">
                  <c:v>0.40883882629031926</c:v>
                </c:pt>
                <c:pt idx="12">
                  <c:v>0.36927377858480448</c:v>
                </c:pt>
                <c:pt idx="13">
                  <c:v>0.32531261446756593</c:v>
                </c:pt>
                <c:pt idx="14">
                  <c:v>0.30772814882067046</c:v>
                </c:pt>
                <c:pt idx="15">
                  <c:v>0.17584465646895453</c:v>
                </c:pt>
                <c:pt idx="16">
                  <c:v>5.0050932018170498</c:v>
                </c:pt>
                <c:pt idx="17">
                  <c:v>1.4144828613830793</c:v>
                </c:pt>
                <c:pt idx="18">
                  <c:v>68.027210884353721</c:v>
                </c:pt>
                <c:pt idx="19">
                  <c:v>0.27714789619551522</c:v>
                </c:pt>
                <c:pt idx="20">
                  <c:v>122.7878688314964</c:v>
                </c:pt>
                <c:pt idx="21">
                  <c:v>52.798783597543441</c:v>
                </c:pt>
                <c:pt idx="22">
                  <c:v>7.9326112482111926</c:v>
                </c:pt>
                <c:pt idx="23">
                  <c:v>3.4209386007910774</c:v>
                </c:pt>
                <c:pt idx="24">
                  <c:v>0.59287263091339892</c:v>
                </c:pt>
                <c:pt idx="25">
                  <c:v>3.8033268281644528</c:v>
                </c:pt>
                <c:pt idx="26">
                  <c:v>1.896668636574619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8-4799-A184-A51343D0E61B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'vdBerg 1995'!$AV$68:$AV$69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'vdBerg 1995'!$AV$68:$AV$69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8-4799-A184-A51343D0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4560"/>
        <c:axId val="559778480"/>
      </c:scatterChart>
      <c:valAx>
        <c:axId val="559774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8480"/>
        <c:crossesAt val="0"/>
        <c:crossBetween val="midCat"/>
      </c:valAx>
      <c:valAx>
        <c:axId val="55977848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4560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'vdBerg 1995'!$P$51:$P$60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'vdBerg 1995'!$BK$51:$BK$60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2.5885188769837901</c:v>
                </c:pt>
                <c:pt idx="2">
                  <c:v>2.4359765208847537</c:v>
                </c:pt>
                <c:pt idx="3">
                  <c:v>42.804100960261636</c:v>
                </c:pt>
                <c:pt idx="4">
                  <c:v>229.00194013739977</c:v>
                </c:pt>
                <c:pt idx="5">
                  <c:v>1.3406091697226703</c:v>
                </c:pt>
                <c:pt idx="6">
                  <c:v>2.3558221925135108</c:v>
                </c:pt>
                <c:pt idx="7">
                  <c:v>35.793174905441049</c:v>
                </c:pt>
                <c:pt idx="8">
                  <c:v>122.29334759359025</c:v>
                </c:pt>
                <c:pt idx="9">
                  <c:v>3.189910457858625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B-4270-B6F2-AA32EB743844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'vdBerg 1995'!$BK$86:$BK$88</c:f>
              <c:numCache>
                <c:formatCode>0.0</c:formatCode>
                <c:ptCount val="3"/>
                <c:pt idx="0">
                  <c:v>3.1252894645943656</c:v>
                </c:pt>
                <c:pt idx="1">
                  <c:v>0.69308380526934121</c:v>
                </c:pt>
                <c:pt idx="2">
                  <c:v>0.38528913909484469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B-4270-B6F2-AA32EB743844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'vdBerg 1995'!$BK$62:$BK$84</c:f>
              <c:numCache>
                <c:formatCode>General</c:formatCode>
                <c:ptCount val="23"/>
                <c:pt idx="2" formatCode="_-* #,##0_-;\-* #,##0_-;_-* &quot;-&quot;??_-;_-@_-">
                  <c:v>4.6346990841995321</c:v>
                </c:pt>
                <c:pt idx="3" formatCode="_-* #,##0_-;\-* #,##0_-;_-* &quot;-&quot;??_-;_-@_-">
                  <c:v>0.78710852694175004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175.83140202702688</c:v>
                </c:pt>
                <c:pt idx="12" formatCode="_-* #,##0_-;\-* #,##0_-;_-* &quot;-&quot;??_-;_-@_-">
                  <c:v>27.181646941363326</c:v>
                </c:pt>
                <c:pt idx="13" formatCode="_-* #,##0_-;\-* #,##0_-;_-* &quot;-&quot;??_-;_-@_-">
                  <c:v>15.49095351548862</c:v>
                </c:pt>
                <c:pt idx="14" formatCode="_-* #,##0_-;\-* #,##0_-;_-* &quot;-&quot;??_-;_-@_-">
                  <c:v>1.0064533880093738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916.00776054959908</c:v>
                </c:pt>
                <c:pt idx="17" formatCode="_-* #,##0_-;\-* #,##0_-;_-* &quot;-&quot;??_-;_-@_-">
                  <c:v>13.739214592125686</c:v>
                </c:pt>
                <c:pt idx="18" formatCode="_-* #,##0_-;\-* #,##0_-;_-* &quot;-&quot;??_-;_-@_-">
                  <c:v>0.23889608280646346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763.35298498502402</c:v>
                </c:pt>
                <c:pt idx="21" formatCode="_-* #,##0_-;\-* #,##0_-;_-* &quot;-&quot;??_-;_-@_-">
                  <c:v>55.163976138389415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B-4270-B6F2-AA32EB743844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'vdBerg 1995'!$BK$91:$BK$117</c:f>
              <c:numCache>
                <c:formatCode>_-* #,##0_-;\-* #,##0_-;_-* "-"??_-;_-@_-</c:formatCode>
                <c:ptCount val="27"/>
                <c:pt idx="0">
                  <c:v>2698.6578066574284</c:v>
                </c:pt>
                <c:pt idx="1">
                  <c:v>258.62137313800355</c:v>
                </c:pt>
                <c:pt idx="2">
                  <c:v>110.19519377184498</c:v>
                </c:pt>
                <c:pt idx="3">
                  <c:v>10495.510085808424</c:v>
                </c:pt>
                <c:pt idx="4">
                  <c:v>2417.8640264481251</c:v>
                </c:pt>
                <c:pt idx="5">
                  <c:v>1560.6213261619714</c:v>
                </c:pt>
                <c:pt idx="6">
                  <c:v>549.5145514654829</c:v>
                </c:pt>
                <c:pt idx="7">
                  <c:v>263.76698470343177</c:v>
                </c:pt>
                <c:pt idx="8">
                  <c:v>81.32815361689147</c:v>
                </c:pt>
                <c:pt idx="9">
                  <c:v>41.763105911376698</c:v>
                </c:pt>
                <c:pt idx="10">
                  <c:v>39.565047705514765</c:v>
                </c:pt>
                <c:pt idx="11">
                  <c:v>20.441941314515962</c:v>
                </c:pt>
                <c:pt idx="12">
                  <c:v>18.463688929240224</c:v>
                </c:pt>
                <c:pt idx="13">
                  <c:v>16.265630723378298</c:v>
                </c:pt>
                <c:pt idx="14">
                  <c:v>15.386407441033523</c:v>
                </c:pt>
                <c:pt idx="15">
                  <c:v>8.7922328234477263</c:v>
                </c:pt>
                <c:pt idx="16">
                  <c:v>250.2546600908525</c:v>
                </c:pt>
                <c:pt idx="17">
                  <c:v>70.724143069153968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6139.3934415748199</c:v>
                </c:pt>
                <c:pt idx="21">
                  <c:v>2639.9391798771721</c:v>
                </c:pt>
                <c:pt idx="22">
                  <c:v>396.63056241055961</c:v>
                </c:pt>
                <c:pt idx="23">
                  <c:v>171.04693003955387</c:v>
                </c:pt>
                <c:pt idx="24">
                  <c:v>29.643631545669944</c:v>
                </c:pt>
                <c:pt idx="25">
                  <c:v>190.16634140822262</c:v>
                </c:pt>
                <c:pt idx="26">
                  <c:v>94.833431828730951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2B-4270-B6F2-AA32EB74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4952"/>
        <c:axId val="559777696"/>
      </c:scatterChart>
      <c:valAx>
        <c:axId val="55977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7696"/>
        <c:crossesAt val="0"/>
        <c:crossBetween val="midCat"/>
      </c:valAx>
      <c:valAx>
        <c:axId val="55977769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495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1995'!$BQ$51:$BQ$60</c:f>
              <c:numCache>
                <c:formatCode>0%</c:formatCode>
                <c:ptCount val="10"/>
                <c:pt idx="0">
                  <c:v>3.8461538461538464E-2</c:v>
                </c:pt>
                <c:pt idx="1">
                  <c:v>0.5</c:v>
                </c:pt>
                <c:pt idx="2">
                  <c:v>0.42307692307692307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0.26923076923076922</c:v>
                </c:pt>
                <c:pt idx="6">
                  <c:v>0.34615384615384615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0.65384615384615385</c:v>
                </c:pt>
              </c:numCache>
            </c:numRef>
          </c:xVal>
          <c:yVal>
            <c:numRef>
              <c:f>'vdBerg 1995'!$BK$51:$BK$60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2.5885188769837901</c:v>
                </c:pt>
                <c:pt idx="2">
                  <c:v>2.4359765208847537</c:v>
                </c:pt>
                <c:pt idx="3">
                  <c:v>42.804100960261636</c:v>
                </c:pt>
                <c:pt idx="4">
                  <c:v>229.00194013739977</c:v>
                </c:pt>
                <c:pt idx="5">
                  <c:v>1.3406091697226703</c:v>
                </c:pt>
                <c:pt idx="6">
                  <c:v>2.3558221925135108</c:v>
                </c:pt>
                <c:pt idx="7">
                  <c:v>35.793174905441049</c:v>
                </c:pt>
                <c:pt idx="8">
                  <c:v>122.29334759359025</c:v>
                </c:pt>
                <c:pt idx="9">
                  <c:v>3.189910457858625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B-4FC8-A9AC-A489DCA3F114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1995'!$BQ$86:$BQ$88</c:f>
              <c:numCache>
                <c:formatCode>0%</c:formatCode>
                <c:ptCount val="3"/>
                <c:pt idx="0">
                  <c:v>0.57692307692307687</c:v>
                </c:pt>
                <c:pt idx="1">
                  <c:v>0.19230769230769232</c:v>
                </c:pt>
                <c:pt idx="2">
                  <c:v>0.11538461538461539</c:v>
                </c:pt>
              </c:numCache>
            </c:numRef>
          </c:xVal>
          <c:yVal>
            <c:numRef>
              <c:f>'vdBerg 1995'!$BK$86:$BK$88</c:f>
              <c:numCache>
                <c:formatCode>0.0</c:formatCode>
                <c:ptCount val="3"/>
                <c:pt idx="0">
                  <c:v>3.1252894645943656</c:v>
                </c:pt>
                <c:pt idx="1">
                  <c:v>0.69308380526934121</c:v>
                </c:pt>
                <c:pt idx="2">
                  <c:v>0.38528913909484469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B-4FC8-A9AC-A489DCA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2600"/>
        <c:axId val="559772208"/>
      </c:scatterChart>
      <c:valAx>
        <c:axId val="5597726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2208"/>
        <c:crossesAt val="0"/>
        <c:crossBetween val="midCat"/>
      </c:valAx>
      <c:valAx>
        <c:axId val="5597722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2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2010'!$AQ$51:$AQ$60</c:f>
              <c:numCache>
                <c:formatCode>0%</c:formatCode>
                <c:ptCount val="10"/>
                <c:pt idx="0">
                  <c:v>0.14166666666666666</c:v>
                </c:pt>
                <c:pt idx="1">
                  <c:v>0.30833333333333335</c:v>
                </c:pt>
                <c:pt idx="2">
                  <c:v>0.17499999999999999</c:v>
                </c:pt>
                <c:pt idx="3">
                  <c:v>0.42499999999999999</c:v>
                </c:pt>
                <c:pt idx="4">
                  <c:v>0.64166666666666672</c:v>
                </c:pt>
                <c:pt idx="5">
                  <c:v>0.125</c:v>
                </c:pt>
                <c:pt idx="6">
                  <c:v>0.15833333333333333</c:v>
                </c:pt>
                <c:pt idx="7">
                  <c:v>0.40833333333333333</c:v>
                </c:pt>
                <c:pt idx="8">
                  <c:v>0.60833333333333328</c:v>
                </c:pt>
                <c:pt idx="9">
                  <c:v>0.19166666666666668</c:v>
                </c:pt>
              </c:numCache>
            </c:numRef>
          </c:xVal>
          <c:yVal>
            <c:numRef>
              <c:f>'Simoneau 2010'!$AM$51:$AM$60</c:f>
              <c:numCache>
                <c:formatCode>0.0</c:formatCode>
                <c:ptCount val="10"/>
                <c:pt idx="0">
                  <c:v>52.403344757457674</c:v>
                </c:pt>
                <c:pt idx="1">
                  <c:v>893.99046251127436</c:v>
                </c:pt>
                <c:pt idx="2">
                  <c:v>90.526371390290635</c:v>
                </c:pt>
                <c:pt idx="3">
                  <c:v>1590.6967523433948</c:v>
                </c:pt>
                <c:pt idx="4">
                  <c:v>8510.2276250371633</c:v>
                </c:pt>
                <c:pt idx="5">
                  <c:v>49.820054728386758</c:v>
                </c:pt>
                <c:pt idx="6">
                  <c:v>87.547656104463883</c:v>
                </c:pt>
                <c:pt idx="7">
                  <c:v>1330.1549571383912</c:v>
                </c:pt>
                <c:pt idx="8">
                  <c:v>4544.6961035561699</c:v>
                </c:pt>
                <c:pt idx="9">
                  <c:v>98.036273942046762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4-4ACB-9A16-CCCCF6224419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2010'!$AQ$86:$AQ$88</c:f>
              <c:numCache>
                <c:formatCode>0%</c:formatCode>
                <c:ptCount val="3"/>
                <c:pt idx="0">
                  <c:v>0.22500000000000001</c:v>
                </c:pt>
                <c:pt idx="1">
                  <c:v>5.8333333333333334E-2</c:v>
                </c:pt>
                <c:pt idx="2">
                  <c:v>0.25833333333333336</c:v>
                </c:pt>
              </c:numCache>
            </c:numRef>
          </c:xVal>
          <c:yVal>
            <c:numRef>
              <c:f>'Simoneau 2010'!$AM$86:$AM$88</c:f>
              <c:numCache>
                <c:formatCode>0.0</c:formatCode>
                <c:ptCount val="3"/>
                <c:pt idx="0">
                  <c:v>407.7240528506378</c:v>
                </c:pt>
                <c:pt idx="1">
                  <c:v>12.299725997705911</c:v>
                </c:pt>
                <c:pt idx="2">
                  <c:v>652.37271930221084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4-4ACB-9A16-CCCCF6224419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2010'!$AQ$62:$AQ$84</c:f>
              <c:numCache>
                <c:formatCode>General</c:formatCode>
                <c:ptCount val="23"/>
                <c:pt idx="2" formatCode="0%">
                  <c:v>4.1666666666666664E-2</c:v>
                </c:pt>
                <c:pt idx="3" formatCode="0%">
                  <c:v>2.5000000000000001E-2</c:v>
                </c:pt>
                <c:pt idx="4" formatCode="0%">
                  <c:v>0.49166666666666664</c:v>
                </c:pt>
                <c:pt idx="5" formatCode="0%">
                  <c:v>0.49166666666666664</c:v>
                </c:pt>
                <c:pt idx="6" formatCode="0%">
                  <c:v>0.49166666666666664</c:v>
                </c:pt>
                <c:pt idx="7" formatCode="0%">
                  <c:v>0.36666666666666664</c:v>
                </c:pt>
                <c:pt idx="8" formatCode="0%">
                  <c:v>0.36666666666666664</c:v>
                </c:pt>
                <c:pt idx="9" formatCode="0%">
                  <c:v>0.36666666666666664</c:v>
                </c:pt>
                <c:pt idx="10" formatCode="0%">
                  <c:v>0.36666666666666664</c:v>
                </c:pt>
                <c:pt idx="11" formatCode="0%">
                  <c:v>0.55833333333333335</c:v>
                </c:pt>
                <c:pt idx="12" formatCode="0%">
                  <c:v>0.625</c:v>
                </c:pt>
                <c:pt idx="13" formatCode="0%">
                  <c:v>0.32500000000000001</c:v>
                </c:pt>
                <c:pt idx="14" formatCode="0%">
                  <c:v>0.24166666666666667</c:v>
                </c:pt>
                <c:pt idx="15" formatCode="0%">
                  <c:v>0.10833333333333334</c:v>
                </c:pt>
                <c:pt idx="16" formatCode="0%">
                  <c:v>0.85833333333333328</c:v>
                </c:pt>
                <c:pt idx="17" formatCode="0%">
                  <c:v>0.20833333333333334</c:v>
                </c:pt>
                <c:pt idx="18" formatCode="0%">
                  <c:v>7.4999999999999997E-2</c:v>
                </c:pt>
                <c:pt idx="19" formatCode="0%">
                  <c:v>9.166666666666666E-2</c:v>
                </c:pt>
                <c:pt idx="20" formatCode="0%">
                  <c:v>0.7416666666666667</c:v>
                </c:pt>
                <c:pt idx="21" formatCode="0%">
                  <c:v>0.72499999999999998</c:v>
                </c:pt>
              </c:numCache>
            </c:numRef>
          </c:xVal>
          <c:yVal>
            <c:numRef>
              <c:f>'Simoneau 2010'!$AM$62:$AM$84</c:f>
              <c:numCache>
                <c:formatCode>General</c:formatCode>
                <c:ptCount val="23"/>
                <c:pt idx="2" formatCode="_-* #,##0_-;\-* #,##0_-;_-* &quot;-&quot;??_-;_-@_-">
                  <c:v>8.8501716340879213</c:v>
                </c:pt>
                <c:pt idx="3" formatCode="_-* #,##0_-;\-* #,##0_-;_-* &quot;-&quot;??_-;_-@_-">
                  <c:v>5.276413687655551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3883.2602216095324</c:v>
                </c:pt>
                <c:pt idx="12" formatCode="_-* #,##0_-;\-* #,##0_-;_-* &quot;-&quot;??_-;_-@_-">
                  <c:v>5578.9870930566149</c:v>
                </c:pt>
                <c:pt idx="13" formatCode="_-* #,##0_-;\-* #,##0_-;_-* &quot;-&quot;??_-;_-@_-">
                  <c:v>963.53904040900181</c:v>
                </c:pt>
                <c:pt idx="14" formatCode="_-* #,##0_-;\-* #,##0_-;_-* &quot;-&quot;??_-;_-@_-">
                  <c:v>581.78747305654861</c:v>
                </c:pt>
                <c:pt idx="15" formatCode="_-* #,##0_-;\-* #,##0_-;_-* &quot;-&quot;??_-;_-@_-">
                  <c:v>34.316378641046597</c:v>
                </c:pt>
                <c:pt idx="16" formatCode="_-* #,##0_-;\-* #,##0_-;_-* &quot;-&quot;??_-;_-@_-">
                  <c:v>34040.910500148653</c:v>
                </c:pt>
                <c:pt idx="17" formatCode="_-* #,##0_-;\-* #,##0_-;_-* &quot;-&quot;??_-;_-@_-">
                  <c:v>146.97439195483562</c:v>
                </c:pt>
                <c:pt idx="18" formatCode="_-* #,##0_-;\-* #,##0_-;_-* &quot;-&quot;??_-;_-@_-">
                  <c:v>23.750257820373399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17212.61655725968</c:v>
                </c:pt>
                <c:pt idx="21" formatCode="_-* #,##0_-;\-* #,##0_-;_-* &quot;-&quot;??_-;_-@_-">
                  <c:v>11559.966682145701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4-4ACB-9A16-CCCCF6224419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2010'!$AQ$91:$AQ$117</c:f>
              <c:numCache>
                <c:formatCode>0%</c:formatCode>
                <c:ptCount val="27"/>
                <c:pt idx="0">
                  <c:v>0.77500000000000002</c:v>
                </c:pt>
                <c:pt idx="1">
                  <c:v>0.44166666666666665</c:v>
                </c:pt>
                <c:pt idx="2">
                  <c:v>0.29166666666666669</c:v>
                </c:pt>
                <c:pt idx="3">
                  <c:v>0.9916666666666667</c:v>
                </c:pt>
                <c:pt idx="4">
                  <c:v>0.97499999999999998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0.875</c:v>
                </c:pt>
                <c:pt idx="8">
                  <c:v>0.7583333333333333</c:v>
                </c:pt>
                <c:pt idx="9">
                  <c:v>0.67500000000000004</c:v>
                </c:pt>
                <c:pt idx="10">
                  <c:v>0.65833333333333333</c:v>
                </c:pt>
                <c:pt idx="11">
                  <c:v>0.59166666666666667</c:v>
                </c:pt>
                <c:pt idx="12">
                  <c:v>0.57499999999999996</c:v>
                </c:pt>
                <c:pt idx="13">
                  <c:v>0.54166666666666663</c:v>
                </c:pt>
                <c:pt idx="14">
                  <c:v>0.52500000000000002</c:v>
                </c:pt>
                <c:pt idx="15">
                  <c:v>0.45833333333333331</c:v>
                </c:pt>
                <c:pt idx="16">
                  <c:v>0.82499999999999996</c:v>
                </c:pt>
                <c:pt idx="17">
                  <c:v>0.69166666666666665</c:v>
                </c:pt>
                <c:pt idx="18">
                  <c:v>0.27500000000000002</c:v>
                </c:pt>
                <c:pt idx="19">
                  <c:v>8.3333333333333332E-3</c:v>
                </c:pt>
                <c:pt idx="20">
                  <c:v>0.95833333333333337</c:v>
                </c:pt>
                <c:pt idx="21">
                  <c:v>0.92500000000000004</c:v>
                </c:pt>
                <c:pt idx="22">
                  <c:v>0.89166666666666672</c:v>
                </c:pt>
                <c:pt idx="23">
                  <c:v>0.84166666666666667</c:v>
                </c:pt>
                <c:pt idx="24">
                  <c:v>0.80833333333333335</c:v>
                </c:pt>
                <c:pt idx="25">
                  <c:v>0.79166666666666663</c:v>
                </c:pt>
                <c:pt idx="26">
                  <c:v>0.70833333333333337</c:v>
                </c:pt>
              </c:numCache>
            </c:numRef>
          </c:xVal>
          <c:yVal>
            <c:numRef>
              <c:f>'Simoneau 2010'!$AM$91:$AM$117</c:f>
              <c:numCache>
                <c:formatCode>_-* #,##0_-;\-* #,##0_-;_-* "-"??_-;_-@_-</c:formatCode>
                <c:ptCount val="27"/>
                <c:pt idx="0">
                  <c:v>18090.561214819034</c:v>
                </c:pt>
                <c:pt idx="1">
                  <c:v>1733.6787830868243</c:v>
                </c:pt>
                <c:pt idx="2">
                  <c:v>738.69791627177722</c:v>
                </c:pt>
                <c:pt idx="3">
                  <c:v>813725.03051094688</c:v>
                </c:pt>
                <c:pt idx="4">
                  <c:v>527955.24522349262</c:v>
                </c:pt>
                <c:pt idx="5">
                  <c:v>340771.11282607249</c:v>
                </c:pt>
                <c:pt idx="6">
                  <c:v>119989.82845988468</c:v>
                </c:pt>
                <c:pt idx="7">
                  <c:v>57595.117660744654</c:v>
                </c:pt>
                <c:pt idx="8">
                  <c:v>17758.494612062936</c:v>
                </c:pt>
                <c:pt idx="9">
                  <c:v>9119.2269629512357</c:v>
                </c:pt>
                <c:pt idx="10">
                  <c:v>8639.2676491116963</c:v>
                </c:pt>
                <c:pt idx="11">
                  <c:v>4463.6216187077098</c:v>
                </c:pt>
                <c:pt idx="12">
                  <c:v>4031.6582362521253</c:v>
                </c:pt>
                <c:pt idx="13">
                  <c:v>3551.6989224125859</c:v>
                </c:pt>
                <c:pt idx="14">
                  <c:v>3359.7151968767703</c:v>
                </c:pt>
                <c:pt idx="15">
                  <c:v>1919.8372553581548</c:v>
                </c:pt>
                <c:pt idx="16">
                  <c:v>32648.126009743664</c:v>
                </c:pt>
                <c:pt idx="17">
                  <c:v>9226.644307101471</c:v>
                </c:pt>
                <c:pt idx="18">
                  <c:v>679.85662963193954</c:v>
                </c:pt>
                <c:pt idx="19">
                  <c:v>2.769786268870865</c:v>
                </c:pt>
                <c:pt idx="20">
                  <c:v>485982.93757149833</c:v>
                </c:pt>
                <c:pt idx="21">
                  <c:v>208972.66315574435</c:v>
                </c:pt>
                <c:pt idx="22">
                  <c:v>77757.270011439759</c:v>
                </c:pt>
                <c:pt idx="23">
                  <c:v>33532.822692433387</c:v>
                </c:pt>
                <c:pt idx="24">
                  <c:v>28672.993316718406</c:v>
                </c:pt>
                <c:pt idx="25">
                  <c:v>27701.02744157541</c:v>
                </c:pt>
                <c:pt idx="26">
                  <c:v>10691.624626572964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4-4ACB-9A16-CCCCF622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6520"/>
        <c:axId val="559775344"/>
      </c:scatterChart>
      <c:valAx>
        <c:axId val="5597765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5344"/>
        <c:crossesAt val="0"/>
        <c:crossBetween val="midCat"/>
      </c:valAx>
      <c:valAx>
        <c:axId val="55977534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6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'Simoneau 2010'!$AU$51:$AU$62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2010'!$AW$51:$AW$62</c:f>
              <c:numCache>
                <c:formatCode>0</c:formatCode>
                <c:ptCount val="12"/>
                <c:pt idx="0">
                  <c:v>5.276413687655551</c:v>
                </c:pt>
                <c:pt idx="1">
                  <c:v>52.403344757457674</c:v>
                </c:pt>
                <c:pt idx="2">
                  <c:v>49.820054728386758</c:v>
                </c:pt>
                <c:pt idx="3">
                  <c:v>34.316378641046597</c:v>
                </c:pt>
                <c:pt idx="4">
                  <c:v>98.036273942046762</c:v>
                </c:pt>
                <c:pt idx="5">
                  <c:v>3883.2602216095324</c:v>
                </c:pt>
                <c:pt idx="6">
                  <c:v>0</c:v>
                </c:pt>
                <c:pt idx="7">
                  <c:v>581.78747305654861</c:v>
                </c:pt>
                <c:pt idx="8">
                  <c:v>652.37271930221084</c:v>
                </c:pt>
                <c:pt idx="9">
                  <c:v>23.750257820373399</c:v>
                </c:pt>
                <c:pt idx="10">
                  <c:v>2.769786268870865</c:v>
                </c:pt>
                <c:pt idx="11">
                  <c:v>10691.624626572964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D-4CD7-AB43-B65BE2FDBB0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'Simoneau 2010'!$AU$51:$AU$62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2010'!$AY$51:$AY$62</c:f>
              <c:numCache>
                <c:formatCode>0</c:formatCode>
                <c:ptCount val="12"/>
                <c:pt idx="0">
                  <c:v>18090.561214819034</c:v>
                </c:pt>
                <c:pt idx="1">
                  <c:v>3010.5376507442347</c:v>
                </c:pt>
                <c:pt idx="2">
                  <c:v>34040.910500148653</c:v>
                </c:pt>
                <c:pt idx="3">
                  <c:v>34.316378641046597</c:v>
                </c:pt>
                <c:pt idx="4">
                  <c:v>98.036273942046762</c:v>
                </c:pt>
                <c:pt idx="5">
                  <c:v>813725.03051094688</c:v>
                </c:pt>
                <c:pt idx="6">
                  <c:v>0</c:v>
                </c:pt>
                <c:pt idx="7">
                  <c:v>527955.24522349262</c:v>
                </c:pt>
                <c:pt idx="8">
                  <c:v>652.37271930221084</c:v>
                </c:pt>
                <c:pt idx="9">
                  <c:v>146.97439195483562</c:v>
                </c:pt>
                <c:pt idx="10">
                  <c:v>679.85662963193954</c:v>
                </c:pt>
                <c:pt idx="11">
                  <c:v>485982.93757149833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D-4CD7-AB43-B65BE2FDBB0B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'Simoneau 2010'!$AU$51:$AU$62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2010'!$AX$51:$AX$62</c:f>
              <c:numCache>
                <c:formatCode>0</c:formatCode>
                <c:ptCount val="12"/>
                <c:pt idx="0">
                  <c:v>3431.5607042495139</c:v>
                </c:pt>
                <c:pt idx="1">
                  <c:v>1737.6622508034466</c:v>
                </c:pt>
                <c:pt idx="2">
                  <c:v>7785.0887377211629</c:v>
                </c:pt>
                <c:pt idx="3">
                  <c:v>34.316378641046597</c:v>
                </c:pt>
                <c:pt idx="4">
                  <c:v>98.036273942046762</c:v>
                </c:pt>
                <c:pt idx="5">
                  <c:v>274395.75927520433</c:v>
                </c:pt>
                <c:pt idx="6">
                  <c:v>0</c:v>
                </c:pt>
                <c:pt idx="7">
                  <c:v>78621.439366956663</c:v>
                </c:pt>
                <c:pt idx="8">
                  <c:v>652.37271930221084</c:v>
                </c:pt>
                <c:pt idx="9">
                  <c:v>85.362324887604515</c:v>
                </c:pt>
                <c:pt idx="10">
                  <c:v>238.47301880510668</c:v>
                </c:pt>
                <c:pt idx="11">
                  <c:v>100231.54689504311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D-4CD7-AB43-B65BE2FD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9775736"/>
        <c:axId val="559774168"/>
      </c:stockChart>
      <c:catAx>
        <c:axId val="55977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59774168"/>
        <c:crossesAt val="1"/>
        <c:auto val="1"/>
        <c:lblAlgn val="ctr"/>
        <c:lblOffset val="100"/>
        <c:noMultiLvlLbl val="0"/>
      </c:catAx>
      <c:valAx>
        <c:axId val="55977416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597757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'Simoneau 2010'!$AM$51:$AM$60</c:f>
              <c:numCache>
                <c:formatCode>0.0</c:formatCode>
                <c:ptCount val="10"/>
                <c:pt idx="0">
                  <c:v>52.403344757457674</c:v>
                </c:pt>
                <c:pt idx="1">
                  <c:v>893.99046251127436</c:v>
                </c:pt>
                <c:pt idx="2">
                  <c:v>90.526371390290635</c:v>
                </c:pt>
                <c:pt idx="3">
                  <c:v>1590.6967523433948</c:v>
                </c:pt>
                <c:pt idx="4">
                  <c:v>8510.2276250371633</c:v>
                </c:pt>
                <c:pt idx="5">
                  <c:v>49.820054728386758</c:v>
                </c:pt>
                <c:pt idx="6">
                  <c:v>87.547656104463883</c:v>
                </c:pt>
                <c:pt idx="7">
                  <c:v>1330.1549571383912</c:v>
                </c:pt>
                <c:pt idx="8">
                  <c:v>4544.6961035561699</c:v>
                </c:pt>
                <c:pt idx="9">
                  <c:v>98.036273942046762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A-416F-93E8-9B5CF5F29AF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'Simoneau 2010'!$AM$86:$AM$88</c:f>
              <c:numCache>
                <c:formatCode>0.0</c:formatCode>
                <c:ptCount val="3"/>
                <c:pt idx="0">
                  <c:v>407.7240528506378</c:v>
                </c:pt>
                <c:pt idx="1">
                  <c:v>12.299725997705911</c:v>
                </c:pt>
                <c:pt idx="2">
                  <c:v>652.37271930221084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A-416F-93E8-9B5CF5F29AF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'Simoneau 2010'!$AM$62:$AM$84</c:f>
              <c:numCache>
                <c:formatCode>General</c:formatCode>
                <c:ptCount val="23"/>
                <c:pt idx="2" formatCode="_-* #,##0_-;\-* #,##0_-;_-* &quot;-&quot;??_-;_-@_-">
                  <c:v>8.8501716340879213</c:v>
                </c:pt>
                <c:pt idx="3" formatCode="_-* #,##0_-;\-* #,##0_-;_-* &quot;-&quot;??_-;_-@_-">
                  <c:v>5.276413687655551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3883.2602216095324</c:v>
                </c:pt>
                <c:pt idx="12" formatCode="_-* #,##0_-;\-* #,##0_-;_-* &quot;-&quot;??_-;_-@_-">
                  <c:v>5578.9870930566149</c:v>
                </c:pt>
                <c:pt idx="13" formatCode="_-* #,##0_-;\-* #,##0_-;_-* &quot;-&quot;??_-;_-@_-">
                  <c:v>963.53904040900181</c:v>
                </c:pt>
                <c:pt idx="14" formatCode="_-* #,##0_-;\-* #,##0_-;_-* &quot;-&quot;??_-;_-@_-">
                  <c:v>581.78747305654861</c:v>
                </c:pt>
                <c:pt idx="15" formatCode="_-* #,##0_-;\-* #,##0_-;_-* &quot;-&quot;??_-;_-@_-">
                  <c:v>34.316378641046597</c:v>
                </c:pt>
                <c:pt idx="16" formatCode="_-* #,##0_-;\-* #,##0_-;_-* &quot;-&quot;??_-;_-@_-">
                  <c:v>34040.910500148653</c:v>
                </c:pt>
                <c:pt idx="17" formatCode="_-* #,##0_-;\-* #,##0_-;_-* &quot;-&quot;??_-;_-@_-">
                  <c:v>146.97439195483562</c:v>
                </c:pt>
                <c:pt idx="18" formatCode="_-* #,##0_-;\-* #,##0_-;_-* &quot;-&quot;??_-;_-@_-">
                  <c:v>23.750257820373399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17212.61655725968</c:v>
                </c:pt>
                <c:pt idx="21" formatCode="_-* #,##0_-;\-* #,##0_-;_-* &quot;-&quot;??_-;_-@_-">
                  <c:v>11559.966682145701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A-416F-93E8-9B5CF5F29AF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'Simoneau 2010'!$AM$91:$AM$117</c:f>
              <c:numCache>
                <c:formatCode>_-* #,##0_-;\-* #,##0_-;_-* "-"??_-;_-@_-</c:formatCode>
                <c:ptCount val="27"/>
                <c:pt idx="0">
                  <c:v>18090.561214819034</c:v>
                </c:pt>
                <c:pt idx="1">
                  <c:v>1733.6787830868243</c:v>
                </c:pt>
                <c:pt idx="2">
                  <c:v>738.69791627177722</c:v>
                </c:pt>
                <c:pt idx="3">
                  <c:v>813725.03051094688</c:v>
                </c:pt>
                <c:pt idx="4">
                  <c:v>527955.24522349262</c:v>
                </c:pt>
                <c:pt idx="5">
                  <c:v>340771.11282607249</c:v>
                </c:pt>
                <c:pt idx="6">
                  <c:v>119989.82845988468</c:v>
                </c:pt>
                <c:pt idx="7">
                  <c:v>57595.117660744654</c:v>
                </c:pt>
                <c:pt idx="8">
                  <c:v>17758.494612062936</c:v>
                </c:pt>
                <c:pt idx="9">
                  <c:v>9119.2269629512357</c:v>
                </c:pt>
                <c:pt idx="10">
                  <c:v>8639.2676491116963</c:v>
                </c:pt>
                <c:pt idx="11">
                  <c:v>4463.6216187077098</c:v>
                </c:pt>
                <c:pt idx="12">
                  <c:v>4031.6582362521253</c:v>
                </c:pt>
                <c:pt idx="13">
                  <c:v>3551.6989224125859</c:v>
                </c:pt>
                <c:pt idx="14">
                  <c:v>3359.7151968767703</c:v>
                </c:pt>
                <c:pt idx="15">
                  <c:v>1919.8372553581548</c:v>
                </c:pt>
                <c:pt idx="16">
                  <c:v>32648.126009743664</c:v>
                </c:pt>
                <c:pt idx="17">
                  <c:v>9226.644307101471</c:v>
                </c:pt>
                <c:pt idx="18">
                  <c:v>679.85662963193954</c:v>
                </c:pt>
                <c:pt idx="19">
                  <c:v>2.769786268870865</c:v>
                </c:pt>
                <c:pt idx="20">
                  <c:v>485982.93757149833</c:v>
                </c:pt>
                <c:pt idx="21">
                  <c:v>208972.66315574435</c:v>
                </c:pt>
                <c:pt idx="22">
                  <c:v>77757.270011439759</c:v>
                </c:pt>
                <c:pt idx="23">
                  <c:v>33532.822692433387</c:v>
                </c:pt>
                <c:pt idx="24">
                  <c:v>28672.993316718406</c:v>
                </c:pt>
                <c:pt idx="25">
                  <c:v>27701.02744157541</c:v>
                </c:pt>
                <c:pt idx="26">
                  <c:v>10691.624626572964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A-416F-93E8-9B5CF5F2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1816"/>
        <c:axId val="559772992"/>
      </c:scatterChart>
      <c:valAx>
        <c:axId val="5597718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2992"/>
        <c:crossesAt val="0"/>
        <c:crossBetween val="midCat"/>
      </c:valAx>
      <c:valAx>
        <c:axId val="55977299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77181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'Simoneau 2010'!$AJ$51:$AJ$60</c:f>
              <c:numCache>
                <c:formatCode>#,##0</c:formatCode>
                <c:ptCount val="10"/>
                <c:pt idx="0">
                  <c:v>46.040081465480675</c:v>
                </c:pt>
                <c:pt idx="1">
                  <c:v>218.38909869918274</c:v>
                </c:pt>
                <c:pt idx="2">
                  <c:v>135.78955708543594</c:v>
                </c:pt>
                <c:pt idx="3">
                  <c:v>1702.0455250074326</c:v>
                </c:pt>
                <c:pt idx="4">
                  <c:v>1702.0455250074326</c:v>
                </c:pt>
                <c:pt idx="5">
                  <c:v>681.70441553342539</c:v>
                </c:pt>
                <c:pt idx="6">
                  <c:v>681.70441553342539</c:v>
                </c:pt>
                <c:pt idx="7">
                  <c:v>681.70441553342539</c:v>
                </c:pt>
                <c:pt idx="8">
                  <c:v>681.70441553342539</c:v>
                </c:pt>
                <c:pt idx="9">
                  <c:v>12.394586062673056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C-41AD-837F-8AB4DB6E4D2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'Simoneau 2010'!$AJ$86:$AJ$88</c:f>
              <c:numCache>
                <c:formatCode>#,##0</c:formatCode>
                <c:ptCount val="3"/>
                <c:pt idx="0">
                  <c:v>19163.030483979976</c:v>
                </c:pt>
                <c:pt idx="1">
                  <c:v>4.919890399082365</c:v>
                </c:pt>
                <c:pt idx="2">
                  <c:v>11742.708947439794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C-41AD-837F-8AB4DB6E4D2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'Simoneau 2010'!$AJ$62:$AJ$84</c:f>
              <c:numCache>
                <c:formatCode>#,##0</c:formatCode>
                <c:ptCount val="23"/>
                <c:pt idx="2">
                  <c:v>0.44250858170439605</c:v>
                </c:pt>
                <c:pt idx="3">
                  <c:v>0.26382068438277756</c:v>
                </c:pt>
                <c:pt idx="4">
                  <c:v>150.52688253721175</c:v>
                </c:pt>
                <c:pt idx="5">
                  <c:v>150.52688253721175</c:v>
                </c:pt>
                <c:pt idx="6">
                  <c:v>150.52688253721175</c:v>
                </c:pt>
                <c:pt idx="7">
                  <c:v>60.216021367967613</c:v>
                </c:pt>
                <c:pt idx="8">
                  <c:v>60.216021367967613</c:v>
                </c:pt>
                <c:pt idx="9">
                  <c:v>60.216021367967613</c:v>
                </c:pt>
                <c:pt idx="10">
                  <c:v>60.216021367967613</c:v>
                </c:pt>
                <c:pt idx="11">
                  <c:v>194.16301108047662</c:v>
                </c:pt>
                <c:pt idx="12">
                  <c:v>278.94935465283078</c:v>
                </c:pt>
                <c:pt idx="13">
                  <c:v>48.176952020450095</c:v>
                </c:pt>
                <c:pt idx="14">
                  <c:v>29.08937365282743</c:v>
                </c:pt>
                <c:pt idx="15">
                  <c:v>1.71581893205233</c:v>
                </c:pt>
                <c:pt idx="16">
                  <c:v>1702.0455250074326</c:v>
                </c:pt>
                <c:pt idx="17">
                  <c:v>7.3487195977417823</c:v>
                </c:pt>
                <c:pt idx="18">
                  <c:v>1.1875128910186701</c:v>
                </c:pt>
                <c:pt idx="19">
                  <c:v>1.6396320257254793</c:v>
                </c:pt>
                <c:pt idx="20">
                  <c:v>860.63082786298401</c:v>
                </c:pt>
                <c:pt idx="21">
                  <c:v>577.99833410728513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6C-41AD-837F-8AB4DB6E4D2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'Simoneau 2010'!$AJ$91:$AJ$117</c:f>
              <c:numCache>
                <c:formatCode>#,##0</c:formatCode>
                <c:ptCount val="27"/>
                <c:pt idx="0">
                  <c:v>361.81122429638071</c:v>
                </c:pt>
                <c:pt idx="1">
                  <c:v>34.673575661736486</c:v>
                </c:pt>
                <c:pt idx="2">
                  <c:v>14.773958325435546</c:v>
                </c:pt>
                <c:pt idx="3">
                  <c:v>16274.500610218938</c:v>
                </c:pt>
                <c:pt idx="4">
                  <c:v>10559.104904469852</c:v>
                </c:pt>
                <c:pt idx="5">
                  <c:v>6815.4222565214504</c:v>
                </c:pt>
                <c:pt idx="6">
                  <c:v>2399.7965691976938</c:v>
                </c:pt>
                <c:pt idx="7">
                  <c:v>1151.9023532148931</c:v>
                </c:pt>
                <c:pt idx="8">
                  <c:v>355.16989224125871</c:v>
                </c:pt>
                <c:pt idx="9">
                  <c:v>182.38453925902473</c:v>
                </c:pt>
                <c:pt idx="10">
                  <c:v>172.78535298223395</c:v>
                </c:pt>
                <c:pt idx="11">
                  <c:v>89.272432374154192</c:v>
                </c:pt>
                <c:pt idx="12">
                  <c:v>80.633164725042505</c:v>
                </c:pt>
                <c:pt idx="13">
                  <c:v>71.033978448251716</c:v>
                </c:pt>
                <c:pt idx="14">
                  <c:v>67.194303937535409</c:v>
                </c:pt>
                <c:pt idx="15">
                  <c:v>38.396745107163099</c:v>
                </c:pt>
                <c:pt idx="16">
                  <c:v>652.96252019487326</c:v>
                </c:pt>
                <c:pt idx="17">
                  <c:v>184.53288614202941</c:v>
                </c:pt>
                <c:pt idx="18">
                  <c:v>135.97132592638792</c:v>
                </c:pt>
                <c:pt idx="19">
                  <c:v>0.55395725377417304</c:v>
                </c:pt>
                <c:pt idx="20">
                  <c:v>9719.6587514299663</c:v>
                </c:pt>
                <c:pt idx="21">
                  <c:v>4179.4532631148868</c:v>
                </c:pt>
                <c:pt idx="22">
                  <c:v>1555.1454002287951</c:v>
                </c:pt>
                <c:pt idx="23">
                  <c:v>670.65645384866775</c:v>
                </c:pt>
                <c:pt idx="24">
                  <c:v>573.45986633436814</c:v>
                </c:pt>
                <c:pt idx="25">
                  <c:v>554.02054883150822</c:v>
                </c:pt>
                <c:pt idx="26">
                  <c:v>213.83249253145928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6C-41AD-837F-8AB4DB6E4D2B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'Simoneau 2010'!$AV$68:$AV$69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'Simoneau 2010'!$AV$68:$AV$69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6C-41AD-837F-8AB4DB6E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2096"/>
        <c:axId val="558256800"/>
      </c:scatterChart>
      <c:valAx>
        <c:axId val="5582520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6800"/>
        <c:crossesAt val="0"/>
        <c:crossBetween val="midCat"/>
      </c:valAx>
      <c:valAx>
        <c:axId val="55825680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209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'Simoneau 2010'!$AM$51:$AM$60</c:f>
              <c:numCache>
                <c:formatCode>0.0</c:formatCode>
                <c:ptCount val="10"/>
                <c:pt idx="0">
                  <c:v>52.403344757457674</c:v>
                </c:pt>
                <c:pt idx="1">
                  <c:v>893.99046251127436</c:v>
                </c:pt>
                <c:pt idx="2">
                  <c:v>90.526371390290635</c:v>
                </c:pt>
                <c:pt idx="3">
                  <c:v>1590.6967523433948</c:v>
                </c:pt>
                <c:pt idx="4">
                  <c:v>8510.2276250371633</c:v>
                </c:pt>
                <c:pt idx="5">
                  <c:v>49.820054728386758</c:v>
                </c:pt>
                <c:pt idx="6">
                  <c:v>87.547656104463883</c:v>
                </c:pt>
                <c:pt idx="7">
                  <c:v>1330.1549571383912</c:v>
                </c:pt>
                <c:pt idx="8">
                  <c:v>4544.6961035561699</c:v>
                </c:pt>
                <c:pt idx="9">
                  <c:v>98.036273942046762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A-4086-A754-2FECE6AC117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'Simoneau 2010'!$AM$86:$AM$88</c:f>
              <c:numCache>
                <c:formatCode>0.0</c:formatCode>
                <c:ptCount val="3"/>
                <c:pt idx="0">
                  <c:v>407.7240528506378</c:v>
                </c:pt>
                <c:pt idx="1">
                  <c:v>12.299725997705911</c:v>
                </c:pt>
                <c:pt idx="2">
                  <c:v>652.37271930221084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A-4086-A754-2FECE6AC117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'Simoneau 2010'!$AM$62:$AM$84</c:f>
              <c:numCache>
                <c:formatCode>General</c:formatCode>
                <c:ptCount val="23"/>
                <c:pt idx="2" formatCode="_-* #,##0_-;\-* #,##0_-;_-* &quot;-&quot;??_-;_-@_-">
                  <c:v>8.8501716340879213</c:v>
                </c:pt>
                <c:pt idx="3" formatCode="_-* #,##0_-;\-* #,##0_-;_-* &quot;-&quot;??_-;_-@_-">
                  <c:v>5.276413687655551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3883.2602216095324</c:v>
                </c:pt>
                <c:pt idx="12" formatCode="_-* #,##0_-;\-* #,##0_-;_-* &quot;-&quot;??_-;_-@_-">
                  <c:v>5578.9870930566149</c:v>
                </c:pt>
                <c:pt idx="13" formatCode="_-* #,##0_-;\-* #,##0_-;_-* &quot;-&quot;??_-;_-@_-">
                  <c:v>963.53904040900181</c:v>
                </c:pt>
                <c:pt idx="14" formatCode="_-* #,##0_-;\-* #,##0_-;_-* &quot;-&quot;??_-;_-@_-">
                  <c:v>581.78747305654861</c:v>
                </c:pt>
                <c:pt idx="15" formatCode="_-* #,##0_-;\-* #,##0_-;_-* &quot;-&quot;??_-;_-@_-">
                  <c:v>34.316378641046597</c:v>
                </c:pt>
                <c:pt idx="16" formatCode="_-* #,##0_-;\-* #,##0_-;_-* &quot;-&quot;??_-;_-@_-">
                  <c:v>34040.910500148653</c:v>
                </c:pt>
                <c:pt idx="17" formatCode="_-* #,##0_-;\-* #,##0_-;_-* &quot;-&quot;??_-;_-@_-">
                  <c:v>146.97439195483562</c:v>
                </c:pt>
                <c:pt idx="18" formatCode="_-* #,##0_-;\-* #,##0_-;_-* &quot;-&quot;??_-;_-@_-">
                  <c:v>23.750257820373399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17212.61655725968</c:v>
                </c:pt>
                <c:pt idx="21" formatCode="_-* #,##0_-;\-* #,##0_-;_-* &quot;-&quot;??_-;_-@_-">
                  <c:v>11559.966682145701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A-4086-A754-2FECE6AC117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'Simoneau 2010'!$AM$91:$AM$117</c:f>
              <c:numCache>
                <c:formatCode>_-* #,##0_-;\-* #,##0_-;_-* "-"??_-;_-@_-</c:formatCode>
                <c:ptCount val="27"/>
                <c:pt idx="0">
                  <c:v>18090.561214819034</c:v>
                </c:pt>
                <c:pt idx="1">
                  <c:v>1733.6787830868243</c:v>
                </c:pt>
                <c:pt idx="2">
                  <c:v>738.69791627177722</c:v>
                </c:pt>
                <c:pt idx="3">
                  <c:v>813725.03051094688</c:v>
                </c:pt>
                <c:pt idx="4">
                  <c:v>527955.24522349262</c:v>
                </c:pt>
                <c:pt idx="5">
                  <c:v>340771.11282607249</c:v>
                </c:pt>
                <c:pt idx="6">
                  <c:v>119989.82845988468</c:v>
                </c:pt>
                <c:pt idx="7">
                  <c:v>57595.117660744654</c:v>
                </c:pt>
                <c:pt idx="8">
                  <c:v>17758.494612062936</c:v>
                </c:pt>
                <c:pt idx="9">
                  <c:v>9119.2269629512357</c:v>
                </c:pt>
                <c:pt idx="10">
                  <c:v>8639.2676491116963</c:v>
                </c:pt>
                <c:pt idx="11">
                  <c:v>4463.6216187077098</c:v>
                </c:pt>
                <c:pt idx="12">
                  <c:v>4031.6582362521253</c:v>
                </c:pt>
                <c:pt idx="13">
                  <c:v>3551.6989224125859</c:v>
                </c:pt>
                <c:pt idx="14">
                  <c:v>3359.7151968767703</c:v>
                </c:pt>
                <c:pt idx="15">
                  <c:v>1919.8372553581548</c:v>
                </c:pt>
                <c:pt idx="16">
                  <c:v>32648.126009743664</c:v>
                </c:pt>
                <c:pt idx="17">
                  <c:v>9226.644307101471</c:v>
                </c:pt>
                <c:pt idx="18">
                  <c:v>679.85662963193954</c:v>
                </c:pt>
                <c:pt idx="19">
                  <c:v>2.769786268870865</c:v>
                </c:pt>
                <c:pt idx="20">
                  <c:v>485982.93757149833</c:v>
                </c:pt>
                <c:pt idx="21">
                  <c:v>208972.66315574435</c:v>
                </c:pt>
                <c:pt idx="22">
                  <c:v>77757.270011439759</c:v>
                </c:pt>
                <c:pt idx="23">
                  <c:v>33532.822692433387</c:v>
                </c:pt>
                <c:pt idx="24">
                  <c:v>28672.993316718406</c:v>
                </c:pt>
                <c:pt idx="25">
                  <c:v>27701.02744157541</c:v>
                </c:pt>
                <c:pt idx="26">
                  <c:v>10691.624626572964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A-4086-A754-2FECE6AC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4840"/>
        <c:axId val="558259544"/>
      </c:scatterChart>
      <c:valAx>
        <c:axId val="55825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9544"/>
        <c:crossesAt val="0"/>
        <c:crossBetween val="midCat"/>
      </c:valAx>
      <c:valAx>
        <c:axId val="55825954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4840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2010'!$AS$51:$AS$60</c:f>
              <c:numCache>
                <c:formatCode>0%</c:formatCode>
                <c:ptCount val="10"/>
                <c:pt idx="0">
                  <c:v>0.19230769230769232</c:v>
                </c:pt>
                <c:pt idx="1">
                  <c:v>0.65384615384615385</c:v>
                </c:pt>
                <c:pt idx="2">
                  <c:v>0.34615384615384615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0.11538461538461539</c:v>
                </c:pt>
                <c:pt idx="6">
                  <c:v>0.26923076923076922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0.42307692307692307</c:v>
                </c:pt>
              </c:numCache>
            </c:numRef>
          </c:xVal>
          <c:yVal>
            <c:numRef>
              <c:f>'Simoneau 2010'!$AM$51:$AM$60</c:f>
              <c:numCache>
                <c:formatCode>0.0</c:formatCode>
                <c:ptCount val="10"/>
                <c:pt idx="0">
                  <c:v>52.403344757457674</c:v>
                </c:pt>
                <c:pt idx="1">
                  <c:v>893.99046251127436</c:v>
                </c:pt>
                <c:pt idx="2">
                  <c:v>90.526371390290635</c:v>
                </c:pt>
                <c:pt idx="3">
                  <c:v>1590.6967523433948</c:v>
                </c:pt>
                <c:pt idx="4">
                  <c:v>8510.2276250371633</c:v>
                </c:pt>
                <c:pt idx="5">
                  <c:v>49.820054728386758</c:v>
                </c:pt>
                <c:pt idx="6">
                  <c:v>87.547656104463883</c:v>
                </c:pt>
                <c:pt idx="7">
                  <c:v>1330.1549571383912</c:v>
                </c:pt>
                <c:pt idx="8">
                  <c:v>4544.6961035561699</c:v>
                </c:pt>
                <c:pt idx="9">
                  <c:v>98.036273942046762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142-A055-04132C18E0DA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2010'!$AS$86:$AS$88</c:f>
              <c:numCache>
                <c:formatCode>0%</c:formatCode>
                <c:ptCount val="3"/>
                <c:pt idx="0">
                  <c:v>0.5</c:v>
                </c:pt>
                <c:pt idx="1">
                  <c:v>3.8461538461538464E-2</c:v>
                </c:pt>
                <c:pt idx="2">
                  <c:v>0.57692307692307687</c:v>
                </c:pt>
              </c:numCache>
            </c:numRef>
          </c:xVal>
          <c:yVal>
            <c:numRef>
              <c:f>'Simoneau 2010'!$AM$86:$AM$88</c:f>
              <c:numCache>
                <c:formatCode>0.0</c:formatCode>
                <c:ptCount val="3"/>
                <c:pt idx="0">
                  <c:v>407.7240528506378</c:v>
                </c:pt>
                <c:pt idx="1">
                  <c:v>12.299725997705911</c:v>
                </c:pt>
                <c:pt idx="2">
                  <c:v>652.37271930221084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1-4142-A055-04132C18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2880"/>
        <c:axId val="558253664"/>
      </c:scatterChart>
      <c:valAx>
        <c:axId val="558252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3664"/>
        <c:crossesAt val="0"/>
        <c:crossBetween val="midCat"/>
      </c:valAx>
      <c:valAx>
        <c:axId val="55825366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28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2010'!$BO$51:$BO$60</c:f>
              <c:numCache>
                <c:formatCode>0%</c:formatCode>
                <c:ptCount val="10"/>
                <c:pt idx="0">
                  <c:v>0.17499999999999999</c:v>
                </c:pt>
                <c:pt idx="1">
                  <c:v>0.27500000000000002</c:v>
                </c:pt>
                <c:pt idx="2">
                  <c:v>0.14166666666666666</c:v>
                </c:pt>
                <c:pt idx="3">
                  <c:v>0.34166666666666667</c:v>
                </c:pt>
                <c:pt idx="4">
                  <c:v>0.60833333333333328</c:v>
                </c:pt>
                <c:pt idx="5">
                  <c:v>9.166666666666666E-2</c:v>
                </c:pt>
                <c:pt idx="6">
                  <c:v>0.125</c:v>
                </c:pt>
                <c:pt idx="7">
                  <c:v>0.32500000000000001</c:v>
                </c:pt>
                <c:pt idx="8">
                  <c:v>0.47499999999999998</c:v>
                </c:pt>
                <c:pt idx="9">
                  <c:v>0.15833333333333333</c:v>
                </c:pt>
              </c:numCache>
            </c:numRef>
          </c:xVal>
          <c:yVal>
            <c:numRef>
              <c:f>'Simoneau 2010'!$BK$51:$BK$60</c:f>
              <c:numCache>
                <c:formatCode>0.0</c:formatCode>
                <c:ptCount val="10"/>
                <c:pt idx="0">
                  <c:v>20.70335479434155</c:v>
                </c:pt>
                <c:pt idx="1">
                  <c:v>41.951826623208831</c:v>
                </c:pt>
                <c:pt idx="2">
                  <c:v>11.60075692329851</c:v>
                </c:pt>
                <c:pt idx="3">
                  <c:v>203.84431717756107</c:v>
                </c:pt>
                <c:pt idx="4">
                  <c:v>1090.5670968999516</c:v>
                </c:pt>
                <c:pt idx="5">
                  <c:v>6.3843312830655554</c:v>
                </c:pt>
                <c:pt idx="6">
                  <c:v>11.219041060352785</c:v>
                </c:pt>
                <c:pt idx="7">
                  <c:v>170.45645474461207</c:v>
                </c:pt>
                <c:pt idx="8">
                  <c:v>582.39288704409125</c:v>
                </c:pt>
                <c:pt idx="9">
                  <c:v>14.501156795454115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4B3D-97C7-57FF298A129A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2010'!$BO$86:$BO$88</c:f>
              <c:numCache>
                <c:formatCode>0%</c:formatCode>
                <c:ptCount val="3"/>
                <c:pt idx="0">
                  <c:v>0.22500000000000001</c:v>
                </c:pt>
                <c:pt idx="1">
                  <c:v>5.8333333333333334E-2</c:v>
                </c:pt>
                <c:pt idx="2">
                  <c:v>0.10833333333333334</c:v>
                </c:pt>
              </c:numCache>
            </c:numRef>
          </c:xVal>
          <c:yVal>
            <c:numRef>
              <c:f>'Simoneau 2010'!$BK$86:$BK$88</c:f>
              <c:numCache>
                <c:formatCode>0.0</c:formatCode>
                <c:ptCount val="3"/>
                <c:pt idx="0">
                  <c:v>29.669773578263776</c:v>
                </c:pt>
                <c:pt idx="1">
                  <c:v>2.9628337845389963</c:v>
                </c:pt>
                <c:pt idx="2">
                  <c:v>8.3722869401748721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3-4B3D-97C7-57FF298A129A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2010'!$BO$62:$BO$84</c:f>
              <c:numCache>
                <c:formatCode>General</c:formatCode>
                <c:ptCount val="23"/>
                <c:pt idx="2" formatCode="0%">
                  <c:v>7.4999999999999997E-2</c:v>
                </c:pt>
                <c:pt idx="3" formatCode="0%">
                  <c:v>8.3333333333333332E-3</c:v>
                </c:pt>
                <c:pt idx="4" formatCode="0%">
                  <c:v>0.80833333333333335</c:v>
                </c:pt>
                <c:pt idx="5" formatCode="0%">
                  <c:v>0.80833333333333335</c:v>
                </c:pt>
                <c:pt idx="6" formatCode="0%">
                  <c:v>0.80833333333333335</c:v>
                </c:pt>
                <c:pt idx="7" formatCode="0%">
                  <c:v>0.65</c:v>
                </c:pt>
                <c:pt idx="8" formatCode="0%">
                  <c:v>0.65</c:v>
                </c:pt>
                <c:pt idx="9" formatCode="0%">
                  <c:v>0.65</c:v>
                </c:pt>
                <c:pt idx="10" formatCode="0%">
                  <c:v>0.65</c:v>
                </c:pt>
                <c:pt idx="11" formatCode="0%">
                  <c:v>0.45833333333333331</c:v>
                </c:pt>
                <c:pt idx="12" formatCode="0%">
                  <c:v>0.42499999999999999</c:v>
                </c:pt>
                <c:pt idx="13" formatCode="0%">
                  <c:v>0.29166666666666669</c:v>
                </c:pt>
                <c:pt idx="14" formatCode="0%">
                  <c:v>0.20833333333333334</c:v>
                </c:pt>
                <c:pt idx="15" formatCode="0%">
                  <c:v>0.19166666666666668</c:v>
                </c:pt>
                <c:pt idx="16" formatCode="0%">
                  <c:v>0.85833333333333328</c:v>
                </c:pt>
                <c:pt idx="17" formatCode="0%">
                  <c:v>0.25833333333333336</c:v>
                </c:pt>
                <c:pt idx="18" formatCode="0%">
                  <c:v>2.5000000000000001E-2</c:v>
                </c:pt>
                <c:pt idx="19" formatCode="0%">
                  <c:v>0.24166666666666667</c:v>
                </c:pt>
                <c:pt idx="20" formatCode="0%">
                  <c:v>0.7583333333333333</c:v>
                </c:pt>
                <c:pt idx="21" formatCode="0%">
                  <c:v>0.49166666666666664</c:v>
                </c:pt>
              </c:numCache>
            </c:numRef>
          </c:xVal>
          <c:yVal>
            <c:numRef>
              <c:f>'Simoneau 2010'!$BK$62:$BK$84</c:f>
              <c:numCache>
                <c:formatCode>General</c:formatCode>
                <c:ptCount val="23"/>
                <c:pt idx="2" formatCode="_-* #,##0_-;\-* #,##0_-;_-* &quot;-&quot;??_-;_-@_-">
                  <c:v>5.8217931292724234</c:v>
                </c:pt>
                <c:pt idx="3" formatCode="_-* #,##0_-;\-* #,##0_-;_-* &quot;-&quot;??_-;_-@_-">
                  <c:v>1.9709726580600129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549.75540781540121</c:v>
                </c:pt>
                <c:pt idx="12" formatCode="_-* #,##0_-;\-* #,##0_-;_-* &quot;-&quot;??_-;_-@_-">
                  <c:v>289.22454605746543</c:v>
                </c:pt>
                <c:pt idx="13" formatCode="_-* #,##0_-;\-* #,##0_-;_-* &quot;-&quot;??_-;_-@_-">
                  <c:v>120.15821091485054</c:v>
                </c:pt>
                <c:pt idx="14" formatCode="_-* #,##0_-;\-* #,##0_-;_-* &quot;-&quot;??_-;_-@_-">
                  <c:v>26.567780751218518</c:v>
                </c:pt>
                <c:pt idx="15" formatCode="_-* #,##0_-;\-* #,##0_-;_-* &quot;-&quot;??_-;_-@_-">
                  <c:v>24.188623868799873</c:v>
                </c:pt>
                <c:pt idx="16" formatCode="_-* #,##0_-;\-* #,##0_-;_-* &quot;-&quot;??_-;_-@_-">
                  <c:v>4362.2683875998064</c:v>
                </c:pt>
                <c:pt idx="17" formatCode="_-* #,##0_-;\-* #,##0_-;_-* &quot;-&quot;??_-;_-@_-">
                  <c:v>38.665653279916704</c:v>
                </c:pt>
                <c:pt idx="18" formatCode="_-* #,##0_-;\-* #,##0_-;_-* &quot;-&quot;??_-;_-@_-">
                  <c:v>2.2880145608580924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2409.7080584090572</c:v>
                </c:pt>
                <c:pt idx="21" formatCode="_-* #,##0_-;\-* #,##0_-;_-* &quot;-&quot;??_-;_-@_-">
                  <c:v>592.62626264959215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3-4B3D-97C7-57FF298A129A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2010'!$BO$91:$BO$117</c:f>
              <c:numCache>
                <c:formatCode>0%</c:formatCode>
                <c:ptCount val="27"/>
                <c:pt idx="0">
                  <c:v>0.89166666666666672</c:v>
                </c:pt>
                <c:pt idx="1">
                  <c:v>0.55833333333333335</c:v>
                </c:pt>
                <c:pt idx="2">
                  <c:v>0.39166666666666666</c:v>
                </c:pt>
                <c:pt idx="3">
                  <c:v>0.9916666666666667</c:v>
                </c:pt>
                <c:pt idx="4">
                  <c:v>0.95833333333333337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0.84166666666666667</c:v>
                </c:pt>
                <c:pt idx="8">
                  <c:v>0.69166666666666665</c:v>
                </c:pt>
                <c:pt idx="9">
                  <c:v>0.54166666666666663</c:v>
                </c:pt>
                <c:pt idx="10">
                  <c:v>0.5083333333333333</c:v>
                </c:pt>
                <c:pt idx="11">
                  <c:v>0.44166666666666665</c:v>
                </c:pt>
                <c:pt idx="12">
                  <c:v>0.40833333333333333</c:v>
                </c:pt>
                <c:pt idx="13">
                  <c:v>0.375</c:v>
                </c:pt>
                <c:pt idx="14">
                  <c:v>0.35833333333333334</c:v>
                </c:pt>
                <c:pt idx="15">
                  <c:v>0.30833333333333335</c:v>
                </c:pt>
                <c:pt idx="16">
                  <c:v>0.7416666666666667</c:v>
                </c:pt>
                <c:pt idx="17">
                  <c:v>0.57499999999999996</c:v>
                </c:pt>
                <c:pt idx="18">
                  <c:v>0.52500000000000002</c:v>
                </c:pt>
                <c:pt idx="19">
                  <c:v>4.1666666666666664E-2</c:v>
                </c:pt>
                <c:pt idx="20">
                  <c:v>0.97499999999999998</c:v>
                </c:pt>
                <c:pt idx="21">
                  <c:v>0.92500000000000004</c:v>
                </c:pt>
                <c:pt idx="22">
                  <c:v>0.875</c:v>
                </c:pt>
                <c:pt idx="23">
                  <c:v>0.77500000000000002</c:v>
                </c:pt>
                <c:pt idx="24">
                  <c:v>0.72499999999999998</c:v>
                </c:pt>
                <c:pt idx="25">
                  <c:v>0.70833333333333337</c:v>
                </c:pt>
                <c:pt idx="26">
                  <c:v>0.59166666666666667</c:v>
                </c:pt>
              </c:numCache>
            </c:numRef>
          </c:xVal>
          <c:yVal>
            <c:numRef>
              <c:f>'Simoneau 2010'!$BK$91:$BK$117</c:f>
              <c:numCache>
                <c:formatCode>_-* #,##0_-;\-* #,##0_-;_-* "-"??_-;_-@_-</c:formatCode>
                <c:ptCount val="27"/>
                <c:pt idx="0">
                  <c:v>6757.6205419200433</c:v>
                </c:pt>
                <c:pt idx="1">
                  <c:v>647.60530193400427</c:v>
                </c:pt>
                <c:pt idx="2">
                  <c:v>275.93617212840178</c:v>
                </c:pt>
                <c:pt idx="3">
                  <c:v>65416.510909215525</c:v>
                </c:pt>
                <c:pt idx="4">
                  <c:v>37386.768740922664</c:v>
                </c:pt>
                <c:pt idx="5">
                  <c:v>24131.459823686448</c:v>
                </c:pt>
                <c:pt idx="6">
                  <c:v>8496.9928956642416</c:v>
                </c:pt>
                <c:pt idx="7">
                  <c:v>4078.5565899188364</c:v>
                </c:pt>
                <c:pt idx="8">
                  <c:v>1257.5549485583076</c:v>
                </c:pt>
                <c:pt idx="9">
                  <c:v>645.77146007048236</c:v>
                </c:pt>
                <c:pt idx="10">
                  <c:v>611.78348848782537</c:v>
                </c:pt>
                <c:pt idx="11">
                  <c:v>316.08813571870979</c:v>
                </c:pt>
                <c:pt idx="12">
                  <c:v>285.49896129431846</c:v>
                </c:pt>
                <c:pt idx="13">
                  <c:v>251.51098971166149</c:v>
                </c:pt>
                <c:pt idx="14">
                  <c:v>237.91580107859875</c:v>
                </c:pt>
                <c:pt idx="15">
                  <c:v>135.95188633062787</c:v>
                </c:pt>
                <c:pt idx="16">
                  <c:v>2375.7796472668992</c:v>
                </c:pt>
                <c:pt idx="17">
                  <c:v>671.41598727108021</c:v>
                </c:pt>
                <c:pt idx="18">
                  <c:v>634.29399825698783</c:v>
                </c:pt>
                <c:pt idx="19">
                  <c:v>2.58416073363958</c:v>
                </c:pt>
                <c:pt idx="20">
                  <c:v>38634.495281548079</c:v>
                </c:pt>
                <c:pt idx="21">
                  <c:v>16612.832971065676</c:v>
                </c:pt>
                <c:pt idx="22">
                  <c:v>6181.5192450476934</c:v>
                </c:pt>
                <c:pt idx="23">
                  <c:v>2665.7801744268186</c:v>
                </c:pt>
                <c:pt idx="24">
                  <c:v>2279.4352216113366</c:v>
                </c:pt>
                <c:pt idx="25">
                  <c:v>2202.1662310482411</c:v>
                </c:pt>
                <c:pt idx="26">
                  <c:v>849.95889619405773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3-4B3D-97C7-57FF298A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9152"/>
        <c:axId val="558255232"/>
      </c:scatterChart>
      <c:valAx>
        <c:axId val="5582591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5232"/>
        <c:crossesAt val="0"/>
        <c:crossBetween val="midCat"/>
      </c:valAx>
      <c:valAx>
        <c:axId val="55825523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9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'vdBerg 1995'!$AU$51:$AU$62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1995'!$AW$51:$AW$62</c:f>
              <c:numCache>
                <c:formatCode>0</c:formatCode>
                <c:ptCount val="12"/>
                <c:pt idx="0">
                  <c:v>1.2345679012345676</c:v>
                </c:pt>
                <c:pt idx="1">
                  <c:v>0.34642462826744658</c:v>
                </c:pt>
                <c:pt idx="2">
                  <c:v>4.2152328711775864</c:v>
                </c:pt>
                <c:pt idx="3">
                  <c:v>1.4915595867976819</c:v>
                </c:pt>
                <c:pt idx="4">
                  <c:v>8.9279486642951777</c:v>
                </c:pt>
                <c:pt idx="5">
                  <c:v>132.27513227513219</c:v>
                </c:pt>
                <c:pt idx="6">
                  <c:v>0</c:v>
                </c:pt>
                <c:pt idx="7">
                  <c:v>3.2753842277651795</c:v>
                </c:pt>
                <c:pt idx="8">
                  <c:v>4.9970605526161078</c:v>
                </c:pt>
                <c:pt idx="9">
                  <c:v>0.66515495086923637</c:v>
                </c:pt>
                <c:pt idx="10">
                  <c:v>1.385739480977576</c:v>
                </c:pt>
                <c:pt idx="11">
                  <c:v>29.730410682791636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9D2-B3CC-FB238232F2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'vdBerg 1995'!$AU$51:$AU$62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1995'!$AY$51:$AY$62</c:f>
              <c:numCache>
                <c:formatCode>0</c:formatCode>
                <c:ptCount val="12"/>
                <c:pt idx="0">
                  <c:v>4232.8042328042311</c:v>
                </c:pt>
                <c:pt idx="1">
                  <c:v>138.21631933196556</c:v>
                </c:pt>
                <c:pt idx="2">
                  <c:v>2880.1727675197058</c:v>
                </c:pt>
                <c:pt idx="3">
                  <c:v>1.4915595867976819</c:v>
                </c:pt>
                <c:pt idx="4">
                  <c:v>8.9279486642951777</c:v>
                </c:pt>
                <c:pt idx="5">
                  <c:v>44973.544973544958</c:v>
                </c:pt>
                <c:pt idx="6">
                  <c:v>0</c:v>
                </c:pt>
                <c:pt idx="7">
                  <c:v>6928.6974048878792</c:v>
                </c:pt>
                <c:pt idx="8">
                  <c:v>4.9970605526161078</c:v>
                </c:pt>
                <c:pt idx="9">
                  <c:v>28.586545729402861</c:v>
                </c:pt>
                <c:pt idx="10">
                  <c:v>340.13605442176856</c:v>
                </c:pt>
                <c:pt idx="11">
                  <c:v>26455.026455026451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9D2-B3CC-FB238232F2F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'vdBerg 1995'!$AU$51:$AU$62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1995'!$AX$51:$AX$62</c:f>
              <c:numCache>
                <c:formatCode>0</c:formatCode>
                <c:ptCount val="12"/>
                <c:pt idx="0">
                  <c:v>803.32098765432067</c:v>
                </c:pt>
                <c:pt idx="1">
                  <c:v>79.52010543968953</c:v>
                </c:pt>
                <c:pt idx="2">
                  <c:v>455.23654597736186</c:v>
                </c:pt>
                <c:pt idx="3">
                  <c:v>1.4915595867976819</c:v>
                </c:pt>
                <c:pt idx="4">
                  <c:v>8.9279486642951777</c:v>
                </c:pt>
                <c:pt idx="5">
                  <c:v>15248.412698412692</c:v>
                </c:pt>
                <c:pt idx="6">
                  <c:v>0</c:v>
                </c:pt>
                <c:pt idx="7">
                  <c:v>1033.2761940755133</c:v>
                </c:pt>
                <c:pt idx="8">
                  <c:v>4.9970605526161078</c:v>
                </c:pt>
                <c:pt idx="9">
                  <c:v>14.625850340136049</c:v>
                </c:pt>
                <c:pt idx="10">
                  <c:v>130.13353489543962</c:v>
                </c:pt>
                <c:pt idx="11">
                  <c:v>4807.9292572996283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3-49D2-B3CC-FB238232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62233480"/>
        <c:axId val="562236224"/>
      </c:stockChart>
      <c:catAx>
        <c:axId val="5622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62236224"/>
        <c:crossesAt val="1"/>
        <c:auto val="1"/>
        <c:lblAlgn val="ctr"/>
        <c:lblOffset val="100"/>
        <c:noMultiLvlLbl val="0"/>
      </c:catAx>
      <c:valAx>
        <c:axId val="56223622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6223348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'Simoneau 2010'!$BS$51:$BS$62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2010'!$BU$51:$BU$62</c:f>
              <c:numCache>
                <c:formatCode>0</c:formatCode>
                <c:ptCount val="12"/>
                <c:pt idx="0">
                  <c:v>1.9709726580600129</c:v>
                </c:pt>
                <c:pt idx="1">
                  <c:v>20.70335479434155</c:v>
                </c:pt>
                <c:pt idx="2">
                  <c:v>6.3843312830655554</c:v>
                </c:pt>
                <c:pt idx="3">
                  <c:v>24.188623868799873</c:v>
                </c:pt>
                <c:pt idx="4">
                  <c:v>14.501156795454115</c:v>
                </c:pt>
                <c:pt idx="5">
                  <c:v>289.22454605746543</c:v>
                </c:pt>
                <c:pt idx="7">
                  <c:v>26.567780751218518</c:v>
                </c:pt>
                <c:pt idx="8">
                  <c:v>8.3722869401748721</c:v>
                </c:pt>
                <c:pt idx="9">
                  <c:v>2.2880145608580924</c:v>
                </c:pt>
                <c:pt idx="10">
                  <c:v>2.58416073363958</c:v>
                </c:pt>
                <c:pt idx="11">
                  <c:v>592.62626264959215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8-4246-BC12-D2E972CFF16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'Simoneau 2010'!$BS$51:$BS$62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2010'!$BW$51:$BW$62</c:f>
              <c:numCache>
                <c:formatCode>0</c:formatCode>
                <c:ptCount val="12"/>
                <c:pt idx="0">
                  <c:v>6757.6205419200433</c:v>
                </c:pt>
                <c:pt idx="1">
                  <c:v>3010.5376507442347</c:v>
                </c:pt>
                <c:pt idx="2">
                  <c:v>4362.2683875998064</c:v>
                </c:pt>
                <c:pt idx="3">
                  <c:v>24.188623868799873</c:v>
                </c:pt>
                <c:pt idx="4">
                  <c:v>14.501156795454115</c:v>
                </c:pt>
                <c:pt idx="5">
                  <c:v>65416.510909215525</c:v>
                </c:pt>
                <c:pt idx="7">
                  <c:v>37386.768740922664</c:v>
                </c:pt>
                <c:pt idx="8">
                  <c:v>8.3722869401748721</c:v>
                </c:pt>
                <c:pt idx="9">
                  <c:v>38.665653279916704</c:v>
                </c:pt>
                <c:pt idx="10">
                  <c:v>634.29399825698783</c:v>
                </c:pt>
                <c:pt idx="11">
                  <c:v>38634.495281548079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8-4246-BC12-D2E972CFF16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'Simoneau 2010'!$BS$51:$BS$62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'Simoneau 2010'!$BV$51:$BV$62</c:f>
              <c:numCache>
                <c:formatCode>0</c:formatCode>
                <c:ptCount val="12"/>
                <c:pt idx="0">
                  <c:v>1281.9862692590534</c:v>
                </c:pt>
                <c:pt idx="1">
                  <c:v>1733.6997520580571</c:v>
                </c:pt>
                <c:pt idx="2">
                  <c:v>796.46254228934924</c:v>
                </c:pt>
                <c:pt idx="3">
                  <c:v>24.188623868799873</c:v>
                </c:pt>
                <c:pt idx="4">
                  <c:v>14.501156795454115</c:v>
                </c:pt>
                <c:pt idx="5">
                  <c:v>22085.163621029464</c:v>
                </c:pt>
                <c:pt idx="7">
                  <c:v>5570.1842652220566</c:v>
                </c:pt>
                <c:pt idx="8">
                  <c:v>8.3722869401748721</c:v>
                </c:pt>
                <c:pt idx="9">
                  <c:v>20.476833920387399</c:v>
                </c:pt>
                <c:pt idx="10">
                  <c:v>223.22359983504566</c:v>
                </c:pt>
                <c:pt idx="11">
                  <c:v>8047.6135935556167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8-4246-BC12-D2E972CF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8257584"/>
        <c:axId val="558257192"/>
      </c:stockChart>
      <c:catAx>
        <c:axId val="5582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58257192"/>
        <c:crossesAt val="1"/>
        <c:auto val="1"/>
        <c:lblAlgn val="ctr"/>
        <c:lblOffset val="100"/>
        <c:noMultiLvlLbl val="0"/>
      </c:catAx>
      <c:valAx>
        <c:axId val="55825719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582575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'Simoneau 2010'!$AO$51:$AO$60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'Simoneau 2010'!$BK$51:$BK$60</c:f>
              <c:numCache>
                <c:formatCode>0.0</c:formatCode>
                <c:ptCount val="10"/>
                <c:pt idx="0">
                  <c:v>20.70335479434155</c:v>
                </c:pt>
                <c:pt idx="1">
                  <c:v>41.951826623208831</c:v>
                </c:pt>
                <c:pt idx="2">
                  <c:v>11.60075692329851</c:v>
                </c:pt>
                <c:pt idx="3">
                  <c:v>203.84431717756107</c:v>
                </c:pt>
                <c:pt idx="4">
                  <c:v>1090.5670968999516</c:v>
                </c:pt>
                <c:pt idx="5">
                  <c:v>6.3843312830655554</c:v>
                </c:pt>
                <c:pt idx="6">
                  <c:v>11.219041060352785</c:v>
                </c:pt>
                <c:pt idx="7">
                  <c:v>170.45645474461207</c:v>
                </c:pt>
                <c:pt idx="8">
                  <c:v>582.39288704409125</c:v>
                </c:pt>
                <c:pt idx="9">
                  <c:v>14.501156795454115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6-4C37-9BA1-9C661DA1A923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'Simoneau 2010'!$BK$86:$BK$88</c:f>
              <c:numCache>
                <c:formatCode>0.0</c:formatCode>
                <c:ptCount val="3"/>
                <c:pt idx="0">
                  <c:v>29.669773578263776</c:v>
                </c:pt>
                <c:pt idx="1">
                  <c:v>2.9628337845389963</c:v>
                </c:pt>
                <c:pt idx="2">
                  <c:v>8.3722869401748721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6-4C37-9BA1-9C661DA1A923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'Simoneau 2010'!$BK$62:$BK$84</c:f>
              <c:numCache>
                <c:formatCode>General</c:formatCode>
                <c:ptCount val="23"/>
                <c:pt idx="2" formatCode="_-* #,##0_-;\-* #,##0_-;_-* &quot;-&quot;??_-;_-@_-">
                  <c:v>5.8217931292724234</c:v>
                </c:pt>
                <c:pt idx="3" formatCode="_-* #,##0_-;\-* #,##0_-;_-* &quot;-&quot;??_-;_-@_-">
                  <c:v>1.9709726580600129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549.75540781540121</c:v>
                </c:pt>
                <c:pt idx="12" formatCode="_-* #,##0_-;\-* #,##0_-;_-* &quot;-&quot;??_-;_-@_-">
                  <c:v>289.22454605746543</c:v>
                </c:pt>
                <c:pt idx="13" formatCode="_-* #,##0_-;\-* #,##0_-;_-* &quot;-&quot;??_-;_-@_-">
                  <c:v>120.15821091485054</c:v>
                </c:pt>
                <c:pt idx="14" formatCode="_-* #,##0_-;\-* #,##0_-;_-* &quot;-&quot;??_-;_-@_-">
                  <c:v>26.567780751218518</c:v>
                </c:pt>
                <c:pt idx="15" formatCode="_-* #,##0_-;\-* #,##0_-;_-* &quot;-&quot;??_-;_-@_-">
                  <c:v>24.188623868799873</c:v>
                </c:pt>
                <c:pt idx="16" formatCode="_-* #,##0_-;\-* #,##0_-;_-* &quot;-&quot;??_-;_-@_-">
                  <c:v>4362.2683875998064</c:v>
                </c:pt>
                <c:pt idx="17" formatCode="_-* #,##0_-;\-* #,##0_-;_-* &quot;-&quot;??_-;_-@_-">
                  <c:v>38.665653279916704</c:v>
                </c:pt>
                <c:pt idx="18" formatCode="_-* #,##0_-;\-* #,##0_-;_-* &quot;-&quot;??_-;_-@_-">
                  <c:v>2.2880145608580924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2409.7080584090572</c:v>
                </c:pt>
                <c:pt idx="21" formatCode="_-* #,##0_-;\-* #,##0_-;_-* &quot;-&quot;??_-;_-@_-">
                  <c:v>592.62626264959215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6-4C37-9BA1-9C661DA1A923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'Simoneau 2010'!$BK$91:$BK$117</c:f>
              <c:numCache>
                <c:formatCode>_-* #,##0_-;\-* #,##0_-;_-* "-"??_-;_-@_-</c:formatCode>
                <c:ptCount val="27"/>
                <c:pt idx="0">
                  <c:v>6757.6205419200433</c:v>
                </c:pt>
                <c:pt idx="1">
                  <c:v>647.60530193400427</c:v>
                </c:pt>
                <c:pt idx="2">
                  <c:v>275.93617212840178</c:v>
                </c:pt>
                <c:pt idx="3">
                  <c:v>65416.510909215525</c:v>
                </c:pt>
                <c:pt idx="4">
                  <c:v>37386.768740922664</c:v>
                </c:pt>
                <c:pt idx="5">
                  <c:v>24131.459823686448</c:v>
                </c:pt>
                <c:pt idx="6">
                  <c:v>8496.9928956642416</c:v>
                </c:pt>
                <c:pt idx="7">
                  <c:v>4078.5565899188364</c:v>
                </c:pt>
                <c:pt idx="8">
                  <c:v>1257.5549485583076</c:v>
                </c:pt>
                <c:pt idx="9">
                  <c:v>645.77146007048236</c:v>
                </c:pt>
                <c:pt idx="10">
                  <c:v>611.78348848782537</c:v>
                </c:pt>
                <c:pt idx="11">
                  <c:v>316.08813571870979</c:v>
                </c:pt>
                <c:pt idx="12">
                  <c:v>285.49896129431846</c:v>
                </c:pt>
                <c:pt idx="13">
                  <c:v>251.51098971166149</c:v>
                </c:pt>
                <c:pt idx="14">
                  <c:v>237.91580107859875</c:v>
                </c:pt>
                <c:pt idx="15">
                  <c:v>135.95188633062787</c:v>
                </c:pt>
                <c:pt idx="16">
                  <c:v>2375.7796472668992</c:v>
                </c:pt>
                <c:pt idx="17">
                  <c:v>671.41598727108021</c:v>
                </c:pt>
                <c:pt idx="18">
                  <c:v>634.29399825698783</c:v>
                </c:pt>
                <c:pt idx="19">
                  <c:v>2.58416073363958</c:v>
                </c:pt>
                <c:pt idx="20">
                  <c:v>38634.495281548079</c:v>
                </c:pt>
                <c:pt idx="21">
                  <c:v>16612.832971065676</c:v>
                </c:pt>
                <c:pt idx="22">
                  <c:v>6181.5192450476934</c:v>
                </c:pt>
                <c:pt idx="23">
                  <c:v>2665.7801744268186</c:v>
                </c:pt>
                <c:pt idx="24">
                  <c:v>2279.4352216113366</c:v>
                </c:pt>
                <c:pt idx="25">
                  <c:v>2202.1662310482411</c:v>
                </c:pt>
                <c:pt idx="26">
                  <c:v>849.95889619405773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06-4C37-9BA1-9C661DA1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6016"/>
        <c:axId val="558256408"/>
      </c:scatterChart>
      <c:valAx>
        <c:axId val="5582560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6408"/>
        <c:crossesAt val="0"/>
        <c:crossBetween val="midCat"/>
      </c:valAx>
      <c:valAx>
        <c:axId val="5582564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601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'Simoneau 2010'!$BE$51:$BE$60</c:f>
              <c:numCache>
                <c:formatCode>General</c:formatCode>
                <c:ptCount val="10"/>
                <c:pt idx="0">
                  <c:v>18.189375997885794</c:v>
                </c:pt>
                <c:pt idx="1">
                  <c:v>10.248231932241016</c:v>
                </c:pt>
                <c:pt idx="2">
                  <c:v>17.401135384947764</c:v>
                </c:pt>
                <c:pt idx="3">
                  <c:v>218.11341937999035</c:v>
                </c:pt>
                <c:pt idx="4">
                  <c:v>218.11341937999035</c:v>
                </c:pt>
                <c:pt idx="5">
                  <c:v>87.358933056613679</c:v>
                </c:pt>
                <c:pt idx="6">
                  <c:v>87.358933056613679</c:v>
                </c:pt>
                <c:pt idx="7">
                  <c:v>87.358933056613679</c:v>
                </c:pt>
                <c:pt idx="8">
                  <c:v>87.358933056613679</c:v>
                </c:pt>
                <c:pt idx="9">
                  <c:v>1.8333605377109847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C-44FF-8746-780E7C4FE1F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'Simoneau 2010'!$BE$86:$BE$88</c:f>
              <c:numCache>
                <c:formatCode>General</c:formatCode>
                <c:ptCount val="3"/>
                <c:pt idx="0">
                  <c:v>1394.4793581783974</c:v>
                </c:pt>
                <c:pt idx="1">
                  <c:v>1.1851335138155985</c:v>
                </c:pt>
                <c:pt idx="2">
                  <c:v>150.7011649231477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C-44FF-8746-780E7C4FE1F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'Simoneau 2010'!$BE$62:$BE$84</c:f>
              <c:numCache>
                <c:formatCode>#,##0</c:formatCode>
                <c:ptCount val="23"/>
                <c:pt idx="2" formatCode="General">
                  <c:v>0.29108965646362117</c:v>
                </c:pt>
                <c:pt idx="3" formatCode="General">
                  <c:v>9.8548632903000644E-2</c:v>
                </c:pt>
                <c:pt idx="4" formatCode="General">
                  <c:v>150.52688253721175</c:v>
                </c:pt>
                <c:pt idx="5" formatCode="General">
                  <c:v>150.52688253721175</c:v>
                </c:pt>
                <c:pt idx="6" formatCode="General">
                  <c:v>150.52688253721175</c:v>
                </c:pt>
                <c:pt idx="7" formatCode="General">
                  <c:v>60.216021367967613</c:v>
                </c:pt>
                <c:pt idx="8" formatCode="General">
                  <c:v>60.216021367967613</c:v>
                </c:pt>
                <c:pt idx="9" formatCode="General">
                  <c:v>60.216021367967613</c:v>
                </c:pt>
                <c:pt idx="10" formatCode="General">
                  <c:v>60.216021367967613</c:v>
                </c:pt>
                <c:pt idx="11" formatCode="General">
                  <c:v>27.487770390770063</c:v>
                </c:pt>
                <c:pt idx="12" formatCode="General">
                  <c:v>14.461227302873272</c:v>
                </c:pt>
                <c:pt idx="13" formatCode="General">
                  <c:v>6.0079105457425275</c:v>
                </c:pt>
                <c:pt idx="14" formatCode="General">
                  <c:v>1.328389037560926</c:v>
                </c:pt>
                <c:pt idx="15" formatCode="General">
                  <c:v>1.2094311934399937</c:v>
                </c:pt>
                <c:pt idx="16" formatCode="General">
                  <c:v>218.11341937999035</c:v>
                </c:pt>
                <c:pt idx="17" formatCode="General">
                  <c:v>1.9332826639958351</c:v>
                </c:pt>
                <c:pt idx="18" formatCode="General">
                  <c:v>0.11440072804290462</c:v>
                </c:pt>
                <c:pt idx="19" formatCode="General">
                  <c:v>1.6396320257254793</c:v>
                </c:pt>
                <c:pt idx="20" formatCode="General">
                  <c:v>120.48540292045287</c:v>
                </c:pt>
                <c:pt idx="21" formatCode="General">
                  <c:v>29.631313132479608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C-44FF-8746-780E7C4FE1F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'Simoneau 2010'!$BE$91:$BE$117</c:f>
              <c:numCache>
                <c:formatCode>General</c:formatCode>
                <c:ptCount val="27"/>
                <c:pt idx="0">
                  <c:v>135.15241083840087</c:v>
                </c:pt>
                <c:pt idx="1">
                  <c:v>12.952106038680085</c:v>
                </c:pt>
                <c:pt idx="2">
                  <c:v>5.518723442568036</c:v>
                </c:pt>
                <c:pt idx="3">
                  <c:v>1308.3302181843105</c:v>
                </c:pt>
                <c:pt idx="4">
                  <c:v>747.73537481845335</c:v>
                </c:pt>
                <c:pt idx="5">
                  <c:v>482.62919647372894</c:v>
                </c:pt>
                <c:pt idx="6">
                  <c:v>169.93985791328484</c:v>
                </c:pt>
                <c:pt idx="7">
                  <c:v>81.571131798376726</c:v>
                </c:pt>
                <c:pt idx="8">
                  <c:v>25.151098971166153</c:v>
                </c:pt>
                <c:pt idx="9">
                  <c:v>12.915429201409648</c:v>
                </c:pt>
                <c:pt idx="10">
                  <c:v>12.235669769756507</c:v>
                </c:pt>
                <c:pt idx="11">
                  <c:v>6.3217627143741959</c:v>
                </c:pt>
                <c:pt idx="12">
                  <c:v>5.7099792258863697</c:v>
                </c:pt>
                <c:pt idx="13">
                  <c:v>5.0302197942332301</c:v>
                </c:pt>
                <c:pt idx="14">
                  <c:v>4.7583160215719751</c:v>
                </c:pt>
                <c:pt idx="15">
                  <c:v>2.7190377266125574</c:v>
                </c:pt>
                <c:pt idx="16">
                  <c:v>47.515592945337985</c:v>
                </c:pt>
                <c:pt idx="17">
                  <c:v>13.428319745421604</c:v>
                </c:pt>
                <c:pt idx="18">
                  <c:v>126.85879965139758</c:v>
                </c:pt>
                <c:pt idx="19">
                  <c:v>0.516832146727916</c:v>
                </c:pt>
                <c:pt idx="20">
                  <c:v>772.68990563096156</c:v>
                </c:pt>
                <c:pt idx="21">
                  <c:v>332.25665942131354</c:v>
                </c:pt>
                <c:pt idx="22">
                  <c:v>123.63038490095387</c:v>
                </c:pt>
                <c:pt idx="23">
                  <c:v>53.315603488536368</c:v>
                </c:pt>
                <c:pt idx="24">
                  <c:v>45.588704432226734</c:v>
                </c:pt>
                <c:pt idx="25">
                  <c:v>44.043324620964825</c:v>
                </c:pt>
                <c:pt idx="26">
                  <c:v>16.999177923881156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3C-44FF-8746-780E7C4FE1FB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'Simoneau 2010'!$AV$68:$AV$69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'Simoneau 2010'!$AV$68:$AV$69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C-44FF-8746-780E7C4F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58368"/>
        <c:axId val="558258760"/>
      </c:scatterChart>
      <c:valAx>
        <c:axId val="5582583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8760"/>
        <c:crossesAt val="0"/>
        <c:crossBetween val="midCat"/>
      </c:valAx>
      <c:valAx>
        <c:axId val="55825876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58368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'Simoneau 2010'!$P$51:$P$60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'Simoneau 2010'!$BK$51:$BK$60</c:f>
              <c:numCache>
                <c:formatCode>0.0</c:formatCode>
                <c:ptCount val="10"/>
                <c:pt idx="0">
                  <c:v>20.70335479434155</c:v>
                </c:pt>
                <c:pt idx="1">
                  <c:v>41.951826623208831</c:v>
                </c:pt>
                <c:pt idx="2">
                  <c:v>11.60075692329851</c:v>
                </c:pt>
                <c:pt idx="3">
                  <c:v>203.84431717756107</c:v>
                </c:pt>
                <c:pt idx="4">
                  <c:v>1090.5670968999516</c:v>
                </c:pt>
                <c:pt idx="5">
                  <c:v>6.3843312830655554</c:v>
                </c:pt>
                <c:pt idx="6">
                  <c:v>11.219041060352785</c:v>
                </c:pt>
                <c:pt idx="7">
                  <c:v>170.45645474461207</c:v>
                </c:pt>
                <c:pt idx="8">
                  <c:v>582.39288704409125</c:v>
                </c:pt>
                <c:pt idx="9">
                  <c:v>14.501156795454115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B-4ED8-8EC9-EC9CE67890D1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'Simoneau 2010'!$BK$86:$BK$88</c:f>
              <c:numCache>
                <c:formatCode>0.0</c:formatCode>
                <c:ptCount val="3"/>
                <c:pt idx="0">
                  <c:v>29.669773578263776</c:v>
                </c:pt>
                <c:pt idx="1">
                  <c:v>2.9628337845389963</c:v>
                </c:pt>
                <c:pt idx="2">
                  <c:v>8.3722869401748721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B-4ED8-8EC9-EC9CE67890D1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'Simoneau 2010'!$P$62:$P$84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'Simoneau 2010'!$BK$62:$BK$84</c:f>
              <c:numCache>
                <c:formatCode>General</c:formatCode>
                <c:ptCount val="23"/>
                <c:pt idx="2" formatCode="_-* #,##0_-;\-* #,##0_-;_-* &quot;-&quot;??_-;_-@_-">
                  <c:v>5.8217931292724234</c:v>
                </c:pt>
                <c:pt idx="3" formatCode="_-* #,##0_-;\-* #,##0_-;_-* &quot;-&quot;??_-;_-@_-">
                  <c:v>1.9709726580600129</c:v>
                </c:pt>
                <c:pt idx="4" formatCode="_-* #,##0_-;\-* #,##0_-;_-* &quot;-&quot;??_-;_-@_-">
                  <c:v>3010.5376507442347</c:v>
                </c:pt>
                <c:pt idx="5" formatCode="_-* #,##0_-;\-* #,##0_-;_-* &quot;-&quot;??_-;_-@_-">
                  <c:v>3010.5376507442347</c:v>
                </c:pt>
                <c:pt idx="6" formatCode="_-* #,##0_-;\-* #,##0_-;_-* &quot;-&quot;??_-;_-@_-">
                  <c:v>3010.5376507442347</c:v>
                </c:pt>
                <c:pt idx="7" formatCode="_-* #,##0_-;\-* #,##0_-;_-* &quot;-&quot;??_-;_-@_-">
                  <c:v>1204.3204273593522</c:v>
                </c:pt>
                <c:pt idx="8" formatCode="_-* #,##0_-;\-* #,##0_-;_-* &quot;-&quot;??_-;_-@_-">
                  <c:v>1204.3204273593522</c:v>
                </c:pt>
                <c:pt idx="9" formatCode="_-* #,##0_-;\-* #,##0_-;_-* &quot;-&quot;??_-;_-@_-">
                  <c:v>1204.3204273593522</c:v>
                </c:pt>
                <c:pt idx="10" formatCode="_-* #,##0_-;\-* #,##0_-;_-* &quot;-&quot;??_-;_-@_-">
                  <c:v>1204.3204273593522</c:v>
                </c:pt>
                <c:pt idx="11" formatCode="_-* #,##0_-;\-* #,##0_-;_-* &quot;-&quot;??_-;_-@_-">
                  <c:v>549.75540781540121</c:v>
                </c:pt>
                <c:pt idx="12" formatCode="_-* #,##0_-;\-* #,##0_-;_-* &quot;-&quot;??_-;_-@_-">
                  <c:v>289.22454605746543</c:v>
                </c:pt>
                <c:pt idx="13" formatCode="_-* #,##0_-;\-* #,##0_-;_-* &quot;-&quot;??_-;_-@_-">
                  <c:v>120.15821091485054</c:v>
                </c:pt>
                <c:pt idx="14" formatCode="_-* #,##0_-;\-* #,##0_-;_-* &quot;-&quot;??_-;_-@_-">
                  <c:v>26.567780751218518</c:v>
                </c:pt>
                <c:pt idx="15" formatCode="_-* #,##0_-;\-* #,##0_-;_-* &quot;-&quot;??_-;_-@_-">
                  <c:v>24.188623868799873</c:v>
                </c:pt>
                <c:pt idx="16" formatCode="_-* #,##0_-;\-* #,##0_-;_-* &quot;-&quot;??_-;_-@_-">
                  <c:v>4362.2683875998064</c:v>
                </c:pt>
                <c:pt idx="17" formatCode="_-* #,##0_-;\-* #,##0_-;_-* &quot;-&quot;??_-;_-@_-">
                  <c:v>38.665653279916704</c:v>
                </c:pt>
                <c:pt idx="18" formatCode="_-* #,##0_-;\-* #,##0_-;_-* &quot;-&quot;??_-;_-@_-">
                  <c:v>2.2880145608580924</c:v>
                </c:pt>
                <c:pt idx="19" formatCode="_-* #,##0_-;\-* #,##0_-;_-* &quot;-&quot;??_-;_-@_-">
                  <c:v>32.792640514509586</c:v>
                </c:pt>
                <c:pt idx="20" formatCode="_-* #,##0_-;\-* #,##0_-;_-* &quot;-&quot;??_-;_-@_-">
                  <c:v>2409.7080584090572</c:v>
                </c:pt>
                <c:pt idx="21" formatCode="_-* #,##0_-;\-* #,##0_-;_-* &quot;-&quot;??_-;_-@_-">
                  <c:v>592.62626264959215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7B-4ED8-8EC9-EC9CE67890D1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'Simoneau 2010'!$P$91:$P$117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'Simoneau 2010'!$BK$91:$BK$117</c:f>
              <c:numCache>
                <c:formatCode>_-* #,##0_-;\-* #,##0_-;_-* "-"??_-;_-@_-</c:formatCode>
                <c:ptCount val="27"/>
                <c:pt idx="0">
                  <c:v>6757.6205419200433</c:v>
                </c:pt>
                <c:pt idx="1">
                  <c:v>647.60530193400427</c:v>
                </c:pt>
                <c:pt idx="2">
                  <c:v>275.93617212840178</c:v>
                </c:pt>
                <c:pt idx="3">
                  <c:v>65416.510909215525</c:v>
                </c:pt>
                <c:pt idx="4">
                  <c:v>37386.768740922664</c:v>
                </c:pt>
                <c:pt idx="5">
                  <c:v>24131.459823686448</c:v>
                </c:pt>
                <c:pt idx="6">
                  <c:v>8496.9928956642416</c:v>
                </c:pt>
                <c:pt idx="7">
                  <c:v>4078.5565899188364</c:v>
                </c:pt>
                <c:pt idx="8">
                  <c:v>1257.5549485583076</c:v>
                </c:pt>
                <c:pt idx="9">
                  <c:v>645.77146007048236</c:v>
                </c:pt>
                <c:pt idx="10">
                  <c:v>611.78348848782537</c:v>
                </c:pt>
                <c:pt idx="11">
                  <c:v>316.08813571870979</c:v>
                </c:pt>
                <c:pt idx="12">
                  <c:v>285.49896129431846</c:v>
                </c:pt>
                <c:pt idx="13">
                  <c:v>251.51098971166149</c:v>
                </c:pt>
                <c:pt idx="14">
                  <c:v>237.91580107859875</c:v>
                </c:pt>
                <c:pt idx="15">
                  <c:v>135.95188633062787</c:v>
                </c:pt>
                <c:pt idx="16">
                  <c:v>2375.7796472668992</c:v>
                </c:pt>
                <c:pt idx="17">
                  <c:v>671.41598727108021</c:v>
                </c:pt>
                <c:pt idx="18">
                  <c:v>634.29399825698783</c:v>
                </c:pt>
                <c:pt idx="19">
                  <c:v>2.58416073363958</c:v>
                </c:pt>
                <c:pt idx="20">
                  <c:v>38634.495281548079</c:v>
                </c:pt>
                <c:pt idx="21">
                  <c:v>16612.832971065676</c:v>
                </c:pt>
                <c:pt idx="22">
                  <c:v>6181.5192450476934</c:v>
                </c:pt>
                <c:pt idx="23">
                  <c:v>2665.7801744268186</c:v>
                </c:pt>
                <c:pt idx="24">
                  <c:v>2279.4352216113366</c:v>
                </c:pt>
                <c:pt idx="25">
                  <c:v>2202.1662310482411</c:v>
                </c:pt>
                <c:pt idx="26">
                  <c:v>849.95889619405773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B-4ED8-8EC9-EC9CE678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5488"/>
        <c:axId val="774300784"/>
      </c:scatterChart>
      <c:valAx>
        <c:axId val="7743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0784"/>
        <c:crossesAt val="0"/>
        <c:crossBetween val="midCat"/>
      </c:valAx>
      <c:valAx>
        <c:axId val="7743007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5488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'Simoneau 2010'!$BQ$51:$BQ$60</c:f>
              <c:numCache>
                <c:formatCode>0%</c:formatCode>
                <c:ptCount val="10"/>
                <c:pt idx="0">
                  <c:v>0.5</c:v>
                </c:pt>
                <c:pt idx="1">
                  <c:v>0.65384615384615385</c:v>
                </c:pt>
                <c:pt idx="2">
                  <c:v>0.34615384615384615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0.11538461538461539</c:v>
                </c:pt>
                <c:pt idx="6">
                  <c:v>0.26923076923076922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0.42307692307692307</c:v>
                </c:pt>
              </c:numCache>
            </c:numRef>
          </c:xVal>
          <c:yVal>
            <c:numRef>
              <c:f>'Simoneau 2010'!$BK$51:$BK$60</c:f>
              <c:numCache>
                <c:formatCode>0.0</c:formatCode>
                <c:ptCount val="10"/>
                <c:pt idx="0">
                  <c:v>20.70335479434155</c:v>
                </c:pt>
                <c:pt idx="1">
                  <c:v>41.951826623208831</c:v>
                </c:pt>
                <c:pt idx="2">
                  <c:v>11.60075692329851</c:v>
                </c:pt>
                <c:pt idx="3">
                  <c:v>203.84431717756107</c:v>
                </c:pt>
                <c:pt idx="4">
                  <c:v>1090.5670968999516</c:v>
                </c:pt>
                <c:pt idx="5">
                  <c:v>6.3843312830655554</c:v>
                </c:pt>
                <c:pt idx="6">
                  <c:v>11.219041060352785</c:v>
                </c:pt>
                <c:pt idx="7">
                  <c:v>170.45645474461207</c:v>
                </c:pt>
                <c:pt idx="8">
                  <c:v>582.39288704409125</c:v>
                </c:pt>
                <c:pt idx="9">
                  <c:v>14.501156795454115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2-4BC8-9834-0690F8C155ED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'Simoneau 2010'!$BQ$86:$BQ$88</c:f>
              <c:numCache>
                <c:formatCode>0%</c:formatCode>
                <c:ptCount val="3"/>
                <c:pt idx="0">
                  <c:v>0.57692307692307687</c:v>
                </c:pt>
                <c:pt idx="1">
                  <c:v>3.8461538461538464E-2</c:v>
                </c:pt>
                <c:pt idx="2">
                  <c:v>0.19230769230769232</c:v>
                </c:pt>
              </c:numCache>
            </c:numRef>
          </c:xVal>
          <c:yVal>
            <c:numRef>
              <c:f>'Simoneau 2010'!$BK$86:$BK$88</c:f>
              <c:numCache>
                <c:formatCode>0.0</c:formatCode>
                <c:ptCount val="3"/>
                <c:pt idx="0">
                  <c:v>29.669773578263776</c:v>
                </c:pt>
                <c:pt idx="1">
                  <c:v>2.9628337845389963</c:v>
                </c:pt>
                <c:pt idx="2">
                  <c:v>8.3722869401748721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2-4BC8-9834-0690F8C1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96080"/>
        <c:axId val="774301176"/>
      </c:scatterChart>
      <c:valAx>
        <c:axId val="7742960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1176"/>
        <c:crossesAt val="0"/>
        <c:crossBetween val="midCat"/>
      </c:valAx>
      <c:valAx>
        <c:axId val="77430117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296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2011'!$AQ$51:$AQ$60</c:f>
              <c:numCache>
                <c:formatCode>0%</c:formatCode>
                <c:ptCount val="10"/>
                <c:pt idx="0">
                  <c:v>0.17499999999999999</c:v>
                </c:pt>
                <c:pt idx="1">
                  <c:v>0.25833333333333336</c:v>
                </c:pt>
                <c:pt idx="2">
                  <c:v>0.14166666666666666</c:v>
                </c:pt>
                <c:pt idx="3">
                  <c:v>0.30833333333333335</c:v>
                </c:pt>
                <c:pt idx="4">
                  <c:v>0.54166666666666663</c:v>
                </c:pt>
                <c:pt idx="5">
                  <c:v>7.4999999999999997E-2</c:v>
                </c:pt>
                <c:pt idx="6">
                  <c:v>0.125</c:v>
                </c:pt>
                <c:pt idx="7">
                  <c:v>0.29166666666666669</c:v>
                </c:pt>
                <c:pt idx="8">
                  <c:v>0.45833333333333331</c:v>
                </c:pt>
                <c:pt idx="9">
                  <c:v>0.19166666666666668</c:v>
                </c:pt>
              </c:numCache>
            </c:numRef>
          </c:xVal>
          <c:yVal>
            <c:numRef>
              <c:f>'Lohman 2011'!$AM$51:$AM$60</c:f>
              <c:numCache>
                <c:formatCode>0.0</c:formatCode>
                <c:ptCount val="10"/>
                <c:pt idx="0">
                  <c:v>54.19306046982787</c:v>
                </c:pt>
                <c:pt idx="1">
                  <c:v>292.03972339104456</c:v>
                </c:pt>
                <c:pt idx="2">
                  <c:v>29.570111843229743</c:v>
                </c:pt>
                <c:pt idx="3">
                  <c:v>519.59534170063353</c:v>
                </c:pt>
                <c:pt idx="4">
                  <c:v>2779.8350780983892</c:v>
                </c:pt>
                <c:pt idx="5">
                  <c:v>16.273540712272808</c:v>
                </c:pt>
                <c:pt idx="6">
                  <c:v>28.597125267071867</c:v>
                </c:pt>
                <c:pt idx="7">
                  <c:v>434.49030649677974</c:v>
                </c:pt>
                <c:pt idx="8">
                  <c:v>1484.5085471973307</c:v>
                </c:pt>
                <c:pt idx="9">
                  <c:v>58.527720696718525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C-4B64-BF45-39567DB98480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2011'!$AQ$86:$AQ$88</c:f>
              <c:numCache>
                <c:formatCode>0%</c:formatCode>
                <c:ptCount val="3"/>
                <c:pt idx="0">
                  <c:v>0.20833333333333334</c:v>
                </c:pt>
                <c:pt idx="1">
                  <c:v>9.166666666666666E-2</c:v>
                </c:pt>
                <c:pt idx="2">
                  <c:v>0.24166666666666667</c:v>
                </c:pt>
              </c:numCache>
            </c:numRef>
          </c:xVal>
          <c:yVal>
            <c:numRef>
              <c:f>'Lohman 2011'!$AM$86:$AM$88</c:f>
              <c:numCache>
                <c:formatCode>0.0</c:formatCode>
                <c:ptCount val="3"/>
                <c:pt idx="0">
                  <c:v>133.18697506573906</c:v>
                </c:pt>
                <c:pt idx="1">
                  <c:v>16.635487165779452</c:v>
                </c:pt>
                <c:pt idx="2">
                  <c:v>169.7297644236256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C-4B64-BF45-39567DB98480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2011'!$AQ$62:$AQ$84</c:f>
              <c:numCache>
                <c:formatCode>General</c:formatCode>
                <c:ptCount val="23"/>
                <c:pt idx="2" formatCode="0%">
                  <c:v>5.8333333333333334E-2</c:v>
                </c:pt>
                <c:pt idx="3" formatCode="0%">
                  <c:v>2.5000000000000001E-2</c:v>
                </c:pt>
                <c:pt idx="4" formatCode="0%">
                  <c:v>0.60833333333333328</c:v>
                </c:pt>
                <c:pt idx="5" formatCode="0%">
                  <c:v>0.60833333333333328</c:v>
                </c:pt>
                <c:pt idx="6" formatCode="0%">
                  <c:v>0.60833333333333328</c:v>
                </c:pt>
                <c:pt idx="7" formatCode="0%">
                  <c:v>0.41666666666666669</c:v>
                </c:pt>
                <c:pt idx="8" formatCode="0%">
                  <c:v>0.41666666666666669</c:v>
                </c:pt>
                <c:pt idx="9" formatCode="0%">
                  <c:v>0.41666666666666669</c:v>
                </c:pt>
                <c:pt idx="10" formatCode="0%">
                  <c:v>0.41666666666666669</c:v>
                </c:pt>
                <c:pt idx="11" formatCode="0%">
                  <c:v>0.64166666666666672</c:v>
                </c:pt>
                <c:pt idx="12" formatCode="0%">
                  <c:v>0.65833333333333333</c:v>
                </c:pt>
                <c:pt idx="13" formatCode="0%">
                  <c:v>0.32500000000000001</c:v>
                </c:pt>
                <c:pt idx="14" formatCode="0%">
                  <c:v>0.27500000000000002</c:v>
                </c:pt>
                <c:pt idx="15" formatCode="0%">
                  <c:v>4.1666666666666664E-2</c:v>
                </c:pt>
                <c:pt idx="16" formatCode="0%">
                  <c:v>0.7583333333333333</c:v>
                </c:pt>
                <c:pt idx="17" formatCode="0%">
                  <c:v>0.22500000000000001</c:v>
                </c:pt>
                <c:pt idx="18" formatCode="0%">
                  <c:v>0.10833333333333334</c:v>
                </c:pt>
                <c:pt idx="19" formatCode="0%">
                  <c:v>0.15833333333333333</c:v>
                </c:pt>
                <c:pt idx="20" formatCode="0%">
                  <c:v>0.79166666666666663</c:v>
                </c:pt>
                <c:pt idx="21" formatCode="0%">
                  <c:v>0.72499999999999998</c:v>
                </c:pt>
              </c:numCache>
            </c:numRef>
          </c:xVal>
          <c:yVal>
            <c:numRef>
              <c:f>'Lohman 2011'!$AM$62:$AM$84</c:f>
              <c:numCache>
                <c:formatCode>General</c:formatCode>
                <c:ptCount val="23"/>
                <c:pt idx="2" formatCode="_-* #,##0_-;\-* #,##0_-;_-* &quot;-&quot;??_-;_-@_-">
                  <c:v>11.969075091748991</c:v>
                </c:pt>
                <c:pt idx="3" formatCode="_-* #,##0_-;\-* #,##0_-;_-* &quot;-&quot;??_-;_-@_-">
                  <c:v>7.1361719347934383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3488.3612852052379</c:v>
                </c:pt>
                <c:pt idx="12" formatCode="_-* #,##0_-;\-* #,##0_-;_-* &quot;-&quot;??_-;_-@_-">
                  <c:v>5012.0051537571271</c:v>
                </c:pt>
                <c:pt idx="13" formatCode="_-* #,##0_-;\-* #,##0_-;_-* &quot;-&quot;??_-;_-@_-">
                  <c:v>606.97795810809077</c:v>
                </c:pt>
                <c:pt idx="14" formatCode="_-* #,##0_-;\-* #,##0_-;_-* &quot;-&quot;??_-;_-@_-">
                  <c:v>366.52124962961022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11119.340312393557</c:v>
                </c:pt>
                <c:pt idx="17" formatCode="_-* #,##0_-;\-* #,##0_-;_-* &quot;-&quot;??_-;_-@_-">
                  <c:v>163.17044380952271</c:v>
                </c:pt>
                <c:pt idx="18" formatCode="_-* #,##0_-;\-* #,##0_-;_-* &quot;-&quot;??_-;_-@_-">
                  <c:v>26.369344828516653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15461.953558418805</c:v>
                </c:pt>
                <c:pt idx="21" formatCode="_-* #,##0_-;\-* #,##0_-;_-* &quot;-&quot;??_-;_-@_-">
                  <c:v>10384.969875730321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C-4B64-BF45-39567DB98480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2011'!$AQ$91:$AQ$117</c:f>
              <c:numCache>
                <c:formatCode>0%</c:formatCode>
                <c:ptCount val="27"/>
                <c:pt idx="0">
                  <c:v>0.80833333333333335</c:v>
                </c:pt>
                <c:pt idx="1">
                  <c:v>0.5083333333333333</c:v>
                </c:pt>
                <c:pt idx="2">
                  <c:v>0.34166666666666667</c:v>
                </c:pt>
                <c:pt idx="3">
                  <c:v>0.9916666666666667</c:v>
                </c:pt>
                <c:pt idx="4">
                  <c:v>0.95833333333333337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0.875</c:v>
                </c:pt>
                <c:pt idx="8">
                  <c:v>0.77500000000000002</c:v>
                </c:pt>
                <c:pt idx="9">
                  <c:v>0.69166666666666665</c:v>
                </c:pt>
                <c:pt idx="10">
                  <c:v>0.67500000000000004</c:v>
                </c:pt>
                <c:pt idx="11">
                  <c:v>0.55833333333333335</c:v>
                </c:pt>
                <c:pt idx="12">
                  <c:v>0.52500000000000002</c:v>
                </c:pt>
                <c:pt idx="13">
                  <c:v>0.49166666666666664</c:v>
                </c:pt>
                <c:pt idx="14">
                  <c:v>0.47499999999999998</c:v>
                </c:pt>
                <c:pt idx="15">
                  <c:v>0.375</c:v>
                </c:pt>
                <c:pt idx="16">
                  <c:v>0.7416666666666667</c:v>
                </c:pt>
                <c:pt idx="17">
                  <c:v>0.57499999999999996</c:v>
                </c:pt>
                <c:pt idx="18">
                  <c:v>0.35833333333333334</c:v>
                </c:pt>
                <c:pt idx="19">
                  <c:v>8.3333333333333332E-3</c:v>
                </c:pt>
                <c:pt idx="20">
                  <c:v>0.97499999999999998</c:v>
                </c:pt>
                <c:pt idx="21">
                  <c:v>0.92500000000000004</c:v>
                </c:pt>
                <c:pt idx="22">
                  <c:v>0.89166666666666672</c:v>
                </c:pt>
                <c:pt idx="23">
                  <c:v>0.85833333333333328</c:v>
                </c:pt>
                <c:pt idx="24">
                  <c:v>0.84166666666666667</c:v>
                </c:pt>
                <c:pt idx="25">
                  <c:v>0.82499999999999996</c:v>
                </c:pt>
                <c:pt idx="26">
                  <c:v>0.70833333333333337</c:v>
                </c:pt>
              </c:numCache>
            </c:numRef>
          </c:xVal>
          <c:yVal>
            <c:numRef>
              <c:f>'Lohman 2011'!$AM$91:$AM$117</c:f>
              <c:numCache>
                <c:formatCode>_-* #,##0_-;\-* #,##0_-;_-* "-"??_-;_-@_-</c:formatCode>
                <c:ptCount val="27"/>
                <c:pt idx="0">
                  <c:v>24466.875205006076</c:v>
                </c:pt>
                <c:pt idx="1">
                  <c:v>2344.7422071464157</c:v>
                </c:pt>
                <c:pt idx="2">
                  <c:v>999.06407087108153</c:v>
                </c:pt>
                <c:pt idx="3">
                  <c:v>731004.76433363103</c:v>
                </c:pt>
                <c:pt idx="4">
                  <c:v>332596.96482121473</c:v>
                </c:pt>
                <c:pt idx="5">
                  <c:v>214676.22274823862</c:v>
                </c:pt>
                <c:pt idx="6">
                  <c:v>75590.219277548822</c:v>
                </c:pt>
                <c:pt idx="7">
                  <c:v>36283.305253223429</c:v>
                </c:pt>
                <c:pt idx="8">
                  <c:v>11187.352453077225</c:v>
                </c:pt>
                <c:pt idx="9">
                  <c:v>5744.8566650937091</c:v>
                </c:pt>
                <c:pt idx="10">
                  <c:v>5442.4957879835138</c:v>
                </c:pt>
                <c:pt idx="11">
                  <c:v>2811.9561571248159</c:v>
                </c:pt>
                <c:pt idx="12">
                  <c:v>2539.8313677256401</c:v>
                </c:pt>
                <c:pt idx="13">
                  <c:v>2237.4704906154448</c:v>
                </c:pt>
                <c:pt idx="14">
                  <c:v>2116.5261397713666</c:v>
                </c:pt>
                <c:pt idx="15">
                  <c:v>1209.443508440781</c:v>
                </c:pt>
                <c:pt idx="16">
                  <c:v>10664.823707115844</c:v>
                </c:pt>
                <c:pt idx="17">
                  <c:v>3013.9719172283908</c:v>
                </c:pt>
                <c:pt idx="18">
                  <c:v>1121.0948580486381</c:v>
                </c:pt>
                <c:pt idx="19">
                  <c:v>4.5674234957537099</c:v>
                </c:pt>
                <c:pt idx="20">
                  <c:v>436572.18315969728</c:v>
                </c:pt>
                <c:pt idx="21">
                  <c:v>187726.03875866986</c:v>
                </c:pt>
                <c:pt idx="22">
                  <c:v>69851.549305551569</c:v>
                </c:pt>
                <c:pt idx="23">
                  <c:v>30123.480638019118</c:v>
                </c:pt>
                <c:pt idx="24">
                  <c:v>25757.758806422138</c:v>
                </c:pt>
                <c:pt idx="25">
                  <c:v>24884.614440102752</c:v>
                </c:pt>
                <c:pt idx="26">
                  <c:v>9604.5880295133411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C-4B64-BF45-39567DB9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96864"/>
        <c:axId val="774302352"/>
      </c:scatterChart>
      <c:valAx>
        <c:axId val="7742968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2352"/>
        <c:crossesAt val="0"/>
        <c:crossBetween val="midCat"/>
      </c:valAx>
      <c:valAx>
        <c:axId val="77430235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296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'Lohman 2011'!$AU$51:$AU$62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2011'!$AW$51:$AW$62</c:f>
              <c:numCache>
                <c:formatCode>0</c:formatCode>
                <c:ptCount val="12"/>
                <c:pt idx="0">
                  <c:v>7.1361719347934383</c:v>
                </c:pt>
                <c:pt idx="1">
                  <c:v>54.19306046982787</c:v>
                </c:pt>
                <c:pt idx="2">
                  <c:v>16.273540712272808</c:v>
                </c:pt>
                <c:pt idx="3">
                  <c:v>10.800623543373151</c:v>
                </c:pt>
                <c:pt idx="4">
                  <c:v>58.527720696718525</c:v>
                </c:pt>
                <c:pt idx="5">
                  <c:v>3488.3612852052379</c:v>
                </c:pt>
                <c:pt idx="6">
                  <c:v>0</c:v>
                </c:pt>
                <c:pt idx="7">
                  <c:v>366.52124962961022</c:v>
                </c:pt>
                <c:pt idx="8">
                  <c:v>169.7297644236256</c:v>
                </c:pt>
                <c:pt idx="9">
                  <c:v>26.369344828516653</c:v>
                </c:pt>
                <c:pt idx="10">
                  <c:v>4.5674234957537099</c:v>
                </c:pt>
                <c:pt idx="11">
                  <c:v>9604.5880295133411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8-435F-BC8C-B0CEF1DB3F2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'Lohman 2011'!$AU$51:$AU$62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2011'!$AY$51:$AY$62</c:f>
              <c:numCache>
                <c:formatCode>0</c:formatCode>
                <c:ptCount val="12"/>
                <c:pt idx="0">
                  <c:v>24466.875205006076</c:v>
                </c:pt>
                <c:pt idx="1">
                  <c:v>3113.1320657809356</c:v>
                </c:pt>
                <c:pt idx="2">
                  <c:v>11119.340312393557</c:v>
                </c:pt>
                <c:pt idx="3">
                  <c:v>10.800623543373151</c:v>
                </c:pt>
                <c:pt idx="4">
                  <c:v>58.527720696718525</c:v>
                </c:pt>
                <c:pt idx="5">
                  <c:v>731004.76433363103</c:v>
                </c:pt>
                <c:pt idx="6">
                  <c:v>0</c:v>
                </c:pt>
                <c:pt idx="7">
                  <c:v>332596.96482121473</c:v>
                </c:pt>
                <c:pt idx="8">
                  <c:v>169.7297644236256</c:v>
                </c:pt>
                <c:pt idx="9">
                  <c:v>163.17044380952271</c:v>
                </c:pt>
                <c:pt idx="10">
                  <c:v>1121.0948580486381</c:v>
                </c:pt>
                <c:pt idx="11">
                  <c:v>436572.18315969728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8-435F-BC8C-B0CEF1DB3F2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'Lohman 2011'!$AU$51:$AU$62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2011'!$AX$51:$AX$62</c:f>
              <c:numCache>
                <c:formatCode>0</c:formatCode>
                <c:ptCount val="12"/>
                <c:pt idx="0">
                  <c:v>4641.0703695359825</c:v>
                </c:pt>
                <c:pt idx="1">
                  <c:v>1796.879549285936</c:v>
                </c:pt>
                <c:pt idx="2">
                  <c:v>2543.0193905425235</c:v>
                </c:pt>
                <c:pt idx="3">
                  <c:v>10.800623543373151</c:v>
                </c:pt>
                <c:pt idx="4">
                  <c:v>58.527720696718525</c:v>
                </c:pt>
                <c:pt idx="5">
                  <c:v>246501.71025753114</c:v>
                </c:pt>
                <c:pt idx="6">
                  <c:v>0</c:v>
                </c:pt>
                <c:pt idx="7">
                  <c:v>49529.295991271116</c:v>
                </c:pt>
                <c:pt idx="8">
                  <c:v>169.7297644236256</c:v>
                </c:pt>
                <c:pt idx="9">
                  <c:v>94.769894319019684</c:v>
                </c:pt>
                <c:pt idx="10">
                  <c:v>393.24523405942887</c:v>
                </c:pt>
                <c:pt idx="11">
                  <c:v>90040.79295245836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8-435F-BC8C-B0CEF1DB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4304704"/>
        <c:axId val="774305096"/>
      </c:stockChart>
      <c:catAx>
        <c:axId val="7743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774305096"/>
        <c:crossesAt val="1"/>
        <c:auto val="1"/>
        <c:lblAlgn val="ctr"/>
        <c:lblOffset val="100"/>
        <c:noMultiLvlLbl val="0"/>
      </c:catAx>
      <c:valAx>
        <c:axId val="77430509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7743047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'Lohman 2011'!$AM$51:$AM$60</c:f>
              <c:numCache>
                <c:formatCode>0.0</c:formatCode>
                <c:ptCount val="10"/>
                <c:pt idx="0">
                  <c:v>54.19306046982787</c:v>
                </c:pt>
                <c:pt idx="1">
                  <c:v>292.03972339104456</c:v>
                </c:pt>
                <c:pt idx="2">
                  <c:v>29.570111843229743</c:v>
                </c:pt>
                <c:pt idx="3">
                  <c:v>519.59534170063353</c:v>
                </c:pt>
                <c:pt idx="4">
                  <c:v>2779.8350780983892</c:v>
                </c:pt>
                <c:pt idx="5">
                  <c:v>16.273540712272808</c:v>
                </c:pt>
                <c:pt idx="6">
                  <c:v>28.597125267071867</c:v>
                </c:pt>
                <c:pt idx="7">
                  <c:v>434.49030649677974</c:v>
                </c:pt>
                <c:pt idx="8">
                  <c:v>1484.5085471973307</c:v>
                </c:pt>
                <c:pt idx="9">
                  <c:v>58.527720696718525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E-4173-98F6-72ACB7125AAC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'Lohman 2011'!$AM$86:$AM$88</c:f>
              <c:numCache>
                <c:formatCode>0.0</c:formatCode>
                <c:ptCount val="3"/>
                <c:pt idx="0">
                  <c:v>133.18697506573906</c:v>
                </c:pt>
                <c:pt idx="1">
                  <c:v>16.635487165779452</c:v>
                </c:pt>
                <c:pt idx="2">
                  <c:v>169.7297644236256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E-4173-98F6-72ACB7125AAC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'Lohman 2011'!$AM$62:$AM$84</c:f>
              <c:numCache>
                <c:formatCode>General</c:formatCode>
                <c:ptCount val="23"/>
                <c:pt idx="2" formatCode="_-* #,##0_-;\-* #,##0_-;_-* &quot;-&quot;??_-;_-@_-">
                  <c:v>11.969075091748991</c:v>
                </c:pt>
                <c:pt idx="3" formatCode="_-* #,##0_-;\-* #,##0_-;_-* &quot;-&quot;??_-;_-@_-">
                  <c:v>7.1361719347934383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3488.3612852052379</c:v>
                </c:pt>
                <c:pt idx="12" formatCode="_-* #,##0_-;\-* #,##0_-;_-* &quot;-&quot;??_-;_-@_-">
                  <c:v>5012.0051537571271</c:v>
                </c:pt>
                <c:pt idx="13" formatCode="_-* #,##0_-;\-* #,##0_-;_-* &quot;-&quot;??_-;_-@_-">
                  <c:v>606.97795810809077</c:v>
                </c:pt>
                <c:pt idx="14" formatCode="_-* #,##0_-;\-* #,##0_-;_-* &quot;-&quot;??_-;_-@_-">
                  <c:v>366.52124962961022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11119.340312393557</c:v>
                </c:pt>
                <c:pt idx="17" formatCode="_-* #,##0_-;\-* #,##0_-;_-* &quot;-&quot;??_-;_-@_-">
                  <c:v>163.17044380952271</c:v>
                </c:pt>
                <c:pt idx="18" formatCode="_-* #,##0_-;\-* #,##0_-;_-* &quot;-&quot;??_-;_-@_-">
                  <c:v>26.369344828516653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15461.953558418805</c:v>
                </c:pt>
                <c:pt idx="21" formatCode="_-* #,##0_-;\-* #,##0_-;_-* &quot;-&quot;??_-;_-@_-">
                  <c:v>10384.969875730321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E-4173-98F6-72ACB7125AAC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'Lohman 2011'!$AM$91:$AM$117</c:f>
              <c:numCache>
                <c:formatCode>_-* #,##0_-;\-* #,##0_-;_-* "-"??_-;_-@_-</c:formatCode>
                <c:ptCount val="27"/>
                <c:pt idx="0">
                  <c:v>24466.875205006076</c:v>
                </c:pt>
                <c:pt idx="1">
                  <c:v>2344.7422071464157</c:v>
                </c:pt>
                <c:pt idx="2">
                  <c:v>999.06407087108153</c:v>
                </c:pt>
                <c:pt idx="3">
                  <c:v>731004.76433363103</c:v>
                </c:pt>
                <c:pt idx="4">
                  <c:v>332596.96482121473</c:v>
                </c:pt>
                <c:pt idx="5">
                  <c:v>214676.22274823862</c:v>
                </c:pt>
                <c:pt idx="6">
                  <c:v>75590.219277548822</c:v>
                </c:pt>
                <c:pt idx="7">
                  <c:v>36283.305253223429</c:v>
                </c:pt>
                <c:pt idx="8">
                  <c:v>11187.352453077225</c:v>
                </c:pt>
                <c:pt idx="9">
                  <c:v>5744.8566650937091</c:v>
                </c:pt>
                <c:pt idx="10">
                  <c:v>5442.4957879835138</c:v>
                </c:pt>
                <c:pt idx="11">
                  <c:v>2811.9561571248159</c:v>
                </c:pt>
                <c:pt idx="12">
                  <c:v>2539.8313677256401</c:v>
                </c:pt>
                <c:pt idx="13">
                  <c:v>2237.4704906154448</c:v>
                </c:pt>
                <c:pt idx="14">
                  <c:v>2116.5261397713666</c:v>
                </c:pt>
                <c:pt idx="15">
                  <c:v>1209.443508440781</c:v>
                </c:pt>
                <c:pt idx="16">
                  <c:v>10664.823707115844</c:v>
                </c:pt>
                <c:pt idx="17">
                  <c:v>3013.9719172283908</c:v>
                </c:pt>
                <c:pt idx="18">
                  <c:v>1121.0948580486381</c:v>
                </c:pt>
                <c:pt idx="19">
                  <c:v>4.5674234957537099</c:v>
                </c:pt>
                <c:pt idx="20">
                  <c:v>436572.18315969728</c:v>
                </c:pt>
                <c:pt idx="21">
                  <c:v>187726.03875866986</c:v>
                </c:pt>
                <c:pt idx="22">
                  <c:v>69851.549305551569</c:v>
                </c:pt>
                <c:pt idx="23">
                  <c:v>30123.480638019118</c:v>
                </c:pt>
                <c:pt idx="24">
                  <c:v>25757.758806422138</c:v>
                </c:pt>
                <c:pt idx="25">
                  <c:v>24884.614440102752</c:v>
                </c:pt>
                <c:pt idx="26">
                  <c:v>9604.5880295133411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E-4173-98F6-72ACB712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4312"/>
        <c:axId val="774303136"/>
      </c:scatterChart>
      <c:valAx>
        <c:axId val="7743043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3136"/>
        <c:crossesAt val="0"/>
        <c:crossBetween val="midCat"/>
      </c:valAx>
      <c:valAx>
        <c:axId val="77430313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431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'Lohman 2011'!$AJ$51:$AJ$60</c:f>
              <c:numCache>
                <c:formatCode>#,##0</c:formatCode>
                <c:ptCount val="10"/>
                <c:pt idx="0">
                  <c:v>47.612474555634492</c:v>
                </c:pt>
                <c:pt idx="1">
                  <c:v>71.341132428383744</c:v>
                </c:pt>
                <c:pt idx="2">
                  <c:v>44.355167764844616</c:v>
                </c:pt>
                <c:pt idx="3">
                  <c:v>555.96701561967791</c:v>
                </c:pt>
                <c:pt idx="4">
                  <c:v>555.96701561967791</c:v>
                </c:pt>
                <c:pt idx="5">
                  <c:v>222.67628207959959</c:v>
                </c:pt>
                <c:pt idx="6">
                  <c:v>222.67628207959959</c:v>
                </c:pt>
                <c:pt idx="7">
                  <c:v>222.67628207959959</c:v>
                </c:pt>
                <c:pt idx="8">
                  <c:v>222.67628207959959</c:v>
                </c:pt>
                <c:pt idx="9">
                  <c:v>7.399576116656557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290-8BAB-0C9C71D943F4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'Lohman 2011'!$AJ$86:$AJ$88</c:f>
              <c:numCache>
                <c:formatCode>#,##0</c:formatCode>
                <c:ptCount val="3"/>
                <c:pt idx="0">
                  <c:v>6259.7878280897357</c:v>
                </c:pt>
                <c:pt idx="1">
                  <c:v>6.6541948663117809</c:v>
                </c:pt>
                <c:pt idx="2">
                  <c:v>3055.1357596252606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5-4290-8BAB-0C9C71D943F4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'Lohman 2011'!$AJ$62:$AJ$84</c:f>
              <c:numCache>
                <c:formatCode>#,##0</c:formatCode>
                <c:ptCount val="23"/>
                <c:pt idx="2">
                  <c:v>0.59845375458744954</c:v>
                </c:pt>
                <c:pt idx="3">
                  <c:v>0.35680859673967191</c:v>
                </c:pt>
                <c:pt idx="4">
                  <c:v>155.65660328904679</c:v>
                </c:pt>
                <c:pt idx="5">
                  <c:v>155.65660328904679</c:v>
                </c:pt>
                <c:pt idx="6">
                  <c:v>155.65660328904679</c:v>
                </c:pt>
                <c:pt idx="7">
                  <c:v>62.268089205935667</c:v>
                </c:pt>
                <c:pt idx="8">
                  <c:v>62.268089205935667</c:v>
                </c:pt>
                <c:pt idx="9">
                  <c:v>62.268089205935667</c:v>
                </c:pt>
                <c:pt idx="10">
                  <c:v>62.268089205935667</c:v>
                </c:pt>
                <c:pt idx="11">
                  <c:v>174.4180642602619</c:v>
                </c:pt>
                <c:pt idx="12">
                  <c:v>250.60025768785636</c:v>
                </c:pt>
                <c:pt idx="13">
                  <c:v>30.348897905404542</c:v>
                </c:pt>
                <c:pt idx="14">
                  <c:v>18.326062481480513</c:v>
                </c:pt>
                <c:pt idx="15">
                  <c:v>0.54003117716865756</c:v>
                </c:pt>
                <c:pt idx="16">
                  <c:v>555.96701561967791</c:v>
                </c:pt>
                <c:pt idx="17">
                  <c:v>8.1585221904761358</c:v>
                </c:pt>
                <c:pt idx="18">
                  <c:v>1.3184672414258327</c:v>
                </c:pt>
                <c:pt idx="19">
                  <c:v>2.7036710316947428</c:v>
                </c:pt>
                <c:pt idx="20">
                  <c:v>773.09767792094033</c:v>
                </c:pt>
                <c:pt idx="21">
                  <c:v>519.24849378651606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5-4290-8BAB-0C9C71D943F4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'Lohman 2011'!$AJ$91:$AJ$117</c:f>
              <c:numCache>
                <c:formatCode>#,##0</c:formatCode>
                <c:ptCount val="27"/>
                <c:pt idx="0">
                  <c:v>489.33750410012152</c:v>
                </c:pt>
                <c:pt idx="1">
                  <c:v>46.894844142928314</c:v>
                </c:pt>
                <c:pt idx="2">
                  <c:v>19.981281417421631</c:v>
                </c:pt>
                <c:pt idx="3">
                  <c:v>14620.095286672622</c:v>
                </c:pt>
                <c:pt idx="4">
                  <c:v>6651.9392964242952</c:v>
                </c:pt>
                <c:pt idx="5">
                  <c:v>4293.5244549647723</c:v>
                </c:pt>
                <c:pt idx="6">
                  <c:v>1511.8043855509763</c:v>
                </c:pt>
                <c:pt idx="7">
                  <c:v>725.66610506446864</c:v>
                </c:pt>
                <c:pt idx="8">
                  <c:v>223.74704906154449</c:v>
                </c:pt>
                <c:pt idx="9">
                  <c:v>114.89713330187419</c:v>
                </c:pt>
                <c:pt idx="10">
                  <c:v>108.84991575967028</c:v>
                </c:pt>
                <c:pt idx="11">
                  <c:v>56.239123142496318</c:v>
                </c:pt>
                <c:pt idx="12">
                  <c:v>50.796627354512808</c:v>
                </c:pt>
                <c:pt idx="13">
                  <c:v>44.749409812308897</c:v>
                </c:pt>
                <c:pt idx="14">
                  <c:v>42.330522795427335</c:v>
                </c:pt>
                <c:pt idx="15">
                  <c:v>24.188870168815619</c:v>
                </c:pt>
                <c:pt idx="16">
                  <c:v>213.2964741423169</c:v>
                </c:pt>
                <c:pt idx="17">
                  <c:v>60.279438344567815</c:v>
                </c:pt>
                <c:pt idx="18">
                  <c:v>224.21897160972762</c:v>
                </c:pt>
                <c:pt idx="19">
                  <c:v>0.91348469915074204</c:v>
                </c:pt>
                <c:pt idx="20">
                  <c:v>8731.4436631939461</c:v>
                </c:pt>
                <c:pt idx="21">
                  <c:v>3754.5207751733974</c:v>
                </c:pt>
                <c:pt idx="22">
                  <c:v>1397.0309861110316</c:v>
                </c:pt>
                <c:pt idx="23">
                  <c:v>602.46961276038235</c:v>
                </c:pt>
                <c:pt idx="24">
                  <c:v>515.1551761284428</c:v>
                </c:pt>
                <c:pt idx="25">
                  <c:v>497.69228880205503</c:v>
                </c:pt>
                <c:pt idx="26">
                  <c:v>192.09176059026683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5-4290-8BAB-0C9C71D943F4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'Lohman 2011'!$AV$68:$AV$69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'Lohman 2011'!$AV$68:$AV$69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B5-4290-8BAB-0C9C71D9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6272"/>
        <c:axId val="774301568"/>
      </c:scatterChart>
      <c:valAx>
        <c:axId val="7743062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1568"/>
        <c:crossesAt val="0"/>
        <c:crossBetween val="midCat"/>
      </c:valAx>
      <c:valAx>
        <c:axId val="77430156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627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'Lohman 2011'!$AM$51:$AM$60</c:f>
              <c:numCache>
                <c:formatCode>0.0</c:formatCode>
                <c:ptCount val="10"/>
                <c:pt idx="0">
                  <c:v>54.19306046982787</c:v>
                </c:pt>
                <c:pt idx="1">
                  <c:v>292.03972339104456</c:v>
                </c:pt>
                <c:pt idx="2">
                  <c:v>29.570111843229743</c:v>
                </c:pt>
                <c:pt idx="3">
                  <c:v>519.59534170063353</c:v>
                </c:pt>
                <c:pt idx="4">
                  <c:v>2779.8350780983892</c:v>
                </c:pt>
                <c:pt idx="5">
                  <c:v>16.273540712272808</c:v>
                </c:pt>
                <c:pt idx="6">
                  <c:v>28.597125267071867</c:v>
                </c:pt>
                <c:pt idx="7">
                  <c:v>434.49030649677974</c:v>
                </c:pt>
                <c:pt idx="8">
                  <c:v>1484.5085471973307</c:v>
                </c:pt>
                <c:pt idx="9">
                  <c:v>58.527720696718525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7B8-8DA9-B19BE735969A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'Lohman 2011'!$AM$86:$AM$88</c:f>
              <c:numCache>
                <c:formatCode>0.0</c:formatCode>
                <c:ptCount val="3"/>
                <c:pt idx="0">
                  <c:v>133.18697506573906</c:v>
                </c:pt>
                <c:pt idx="1">
                  <c:v>16.635487165779452</c:v>
                </c:pt>
                <c:pt idx="2">
                  <c:v>169.7297644236256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C-47B8-8DA9-B19BE735969A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'Lohman 2011'!$AM$62:$AM$84</c:f>
              <c:numCache>
                <c:formatCode>General</c:formatCode>
                <c:ptCount val="23"/>
                <c:pt idx="2" formatCode="_-* #,##0_-;\-* #,##0_-;_-* &quot;-&quot;??_-;_-@_-">
                  <c:v>11.969075091748991</c:v>
                </c:pt>
                <c:pt idx="3" formatCode="_-* #,##0_-;\-* #,##0_-;_-* &quot;-&quot;??_-;_-@_-">
                  <c:v>7.1361719347934383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3488.3612852052379</c:v>
                </c:pt>
                <c:pt idx="12" formatCode="_-* #,##0_-;\-* #,##0_-;_-* &quot;-&quot;??_-;_-@_-">
                  <c:v>5012.0051537571271</c:v>
                </c:pt>
                <c:pt idx="13" formatCode="_-* #,##0_-;\-* #,##0_-;_-* &quot;-&quot;??_-;_-@_-">
                  <c:v>606.97795810809077</c:v>
                </c:pt>
                <c:pt idx="14" formatCode="_-* #,##0_-;\-* #,##0_-;_-* &quot;-&quot;??_-;_-@_-">
                  <c:v>366.52124962961022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11119.340312393557</c:v>
                </c:pt>
                <c:pt idx="17" formatCode="_-* #,##0_-;\-* #,##0_-;_-* &quot;-&quot;??_-;_-@_-">
                  <c:v>163.17044380952271</c:v>
                </c:pt>
                <c:pt idx="18" formatCode="_-* #,##0_-;\-* #,##0_-;_-* &quot;-&quot;??_-;_-@_-">
                  <c:v>26.369344828516653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15461.953558418805</c:v>
                </c:pt>
                <c:pt idx="21" formatCode="_-* #,##0_-;\-* #,##0_-;_-* &quot;-&quot;??_-;_-@_-">
                  <c:v>10384.969875730321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C-47B8-8DA9-B19BE735969A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'Lohman 2011'!$AM$91:$AM$117</c:f>
              <c:numCache>
                <c:formatCode>_-* #,##0_-;\-* #,##0_-;_-* "-"??_-;_-@_-</c:formatCode>
                <c:ptCount val="27"/>
                <c:pt idx="0">
                  <c:v>24466.875205006076</c:v>
                </c:pt>
                <c:pt idx="1">
                  <c:v>2344.7422071464157</c:v>
                </c:pt>
                <c:pt idx="2">
                  <c:v>999.06407087108153</c:v>
                </c:pt>
                <c:pt idx="3">
                  <c:v>731004.76433363103</c:v>
                </c:pt>
                <c:pt idx="4">
                  <c:v>332596.96482121473</c:v>
                </c:pt>
                <c:pt idx="5">
                  <c:v>214676.22274823862</c:v>
                </c:pt>
                <c:pt idx="6">
                  <c:v>75590.219277548822</c:v>
                </c:pt>
                <c:pt idx="7">
                  <c:v>36283.305253223429</c:v>
                </c:pt>
                <c:pt idx="8">
                  <c:v>11187.352453077225</c:v>
                </c:pt>
                <c:pt idx="9">
                  <c:v>5744.8566650937091</c:v>
                </c:pt>
                <c:pt idx="10">
                  <c:v>5442.4957879835138</c:v>
                </c:pt>
                <c:pt idx="11">
                  <c:v>2811.9561571248159</c:v>
                </c:pt>
                <c:pt idx="12">
                  <c:v>2539.8313677256401</c:v>
                </c:pt>
                <c:pt idx="13">
                  <c:v>2237.4704906154448</c:v>
                </c:pt>
                <c:pt idx="14">
                  <c:v>2116.5261397713666</c:v>
                </c:pt>
                <c:pt idx="15">
                  <c:v>1209.443508440781</c:v>
                </c:pt>
                <c:pt idx="16">
                  <c:v>10664.823707115844</c:v>
                </c:pt>
                <c:pt idx="17">
                  <c:v>3013.9719172283908</c:v>
                </c:pt>
                <c:pt idx="18">
                  <c:v>1121.0948580486381</c:v>
                </c:pt>
                <c:pt idx="19">
                  <c:v>4.5674234957537099</c:v>
                </c:pt>
                <c:pt idx="20">
                  <c:v>436572.18315969728</c:v>
                </c:pt>
                <c:pt idx="21">
                  <c:v>187726.03875866986</c:v>
                </c:pt>
                <c:pt idx="22">
                  <c:v>69851.549305551569</c:v>
                </c:pt>
                <c:pt idx="23">
                  <c:v>30123.480638019118</c:v>
                </c:pt>
                <c:pt idx="24">
                  <c:v>25757.758806422138</c:v>
                </c:pt>
                <c:pt idx="25">
                  <c:v>24884.614440102752</c:v>
                </c:pt>
                <c:pt idx="26">
                  <c:v>9604.5880295133411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C-47B8-8DA9-B19BE735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5880"/>
        <c:axId val="774300000"/>
      </c:scatterChart>
      <c:valAx>
        <c:axId val="77430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0000"/>
        <c:crossesAt val="0"/>
        <c:crossBetween val="midCat"/>
      </c:valAx>
      <c:valAx>
        <c:axId val="77430000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5880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'vdBerg 1995'!$AM$51:$AM$60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10.891426096104455</c:v>
                </c:pt>
                <c:pt idx="2">
                  <c:v>7.6593600403124205</c:v>
                </c:pt>
                <c:pt idx="3">
                  <c:v>134.58751250092084</c:v>
                </c:pt>
                <c:pt idx="4">
                  <c:v>720.04319187992644</c:v>
                </c:pt>
                <c:pt idx="5">
                  <c:v>4.2152328711775864</c:v>
                </c:pt>
                <c:pt idx="6">
                  <c:v>7.4073334487089006</c:v>
                </c:pt>
                <c:pt idx="7">
                  <c:v>112.54329064184711</c:v>
                </c:pt>
                <c:pt idx="8">
                  <c:v>384.52290969297758</c:v>
                </c:pt>
                <c:pt idx="9">
                  <c:v>8.9279486642951777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9-4BE6-8B51-5B64B4550D7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'vdBerg 1995'!$AM$86:$AM$88</c:f>
              <c:numCache>
                <c:formatCode>0.0</c:formatCode>
                <c:ptCount val="3"/>
                <c:pt idx="0">
                  <c:v>11.579099724996379</c:v>
                </c:pt>
                <c:pt idx="1">
                  <c:v>1.2345679012345676</c:v>
                </c:pt>
                <c:pt idx="2">
                  <c:v>4.9970605526161078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9-4BE6-8B51-5B64B4550D7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'vdBerg 1995'!$AM$62:$AM$84</c:f>
              <c:numCache>
                <c:formatCode>General</c:formatCode>
                <c:ptCount val="23"/>
                <c:pt idx="2" formatCode="_-* #,##0_-;\-* #,##0_-;_-* &quot;-&quot;??_-;_-@_-">
                  <c:v>6.1693121693121693</c:v>
                </c:pt>
                <c:pt idx="3" formatCode="_-* #,##0_-;\-* #,##0_-;_-* &quot;-&quot;??_-;_-@_-">
                  <c:v>1.2345679012345676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639.41798941798925</c:v>
                </c:pt>
                <c:pt idx="12" formatCode="_-* #,##0_-;\-* #,##0_-;_-* &quot;-&quot;??_-;_-@_-">
                  <c:v>132.27513227513219</c:v>
                </c:pt>
                <c:pt idx="13" formatCode="_-* #,##0_-;\-* #,##0_-;_-* &quot;-&quot;??_-;_-@_-">
                  <c:v>37.673217435122183</c:v>
                </c:pt>
                <c:pt idx="14" formatCode="_-* #,##0_-;\-* #,##0_-;_-* &quot;-&quot;??_-;_-@_-">
                  <c:v>3.2753842277651795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2880.1727675197058</c:v>
                </c:pt>
                <c:pt idx="17" formatCode="_-* #,##0_-;\-* #,##0_-;_-* &quot;-&quot;??_-;_-@_-">
                  <c:v>28.586545729402861</c:v>
                </c:pt>
                <c:pt idx="18" formatCode="_-* #,##0_-;\-* #,##0_-;_-* &quot;-&quot;??_-;_-@_-">
                  <c:v>0.66515495086923637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2791.5343915343906</c:v>
                </c:pt>
                <c:pt idx="21" formatCode="_-* #,##0_-;\-* #,##0_-;_-* &quot;-&quot;??_-;_-@_-">
                  <c:v>269.95238095238079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9-4BE6-8B51-5B64B4550D7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'vdBerg 1995'!$AM$91:$AM$117</c:f>
              <c:numCache>
                <c:formatCode>_-* #,##0_-;\-* #,##0_-;_-* "-"??_-;_-@_-</c:formatCode>
                <c:ptCount val="27"/>
                <c:pt idx="0">
                  <c:v>4232.8042328042311</c:v>
                </c:pt>
                <c:pt idx="1">
                  <c:v>405.64373897707219</c:v>
                </c:pt>
                <c:pt idx="2">
                  <c:v>172.83950617283946</c:v>
                </c:pt>
                <c:pt idx="3">
                  <c:v>44973.544973544958</c:v>
                </c:pt>
                <c:pt idx="4">
                  <c:v>6928.6974048878792</c:v>
                </c:pt>
                <c:pt idx="5">
                  <c:v>4472.1592340639954</c:v>
                </c:pt>
                <c:pt idx="6">
                  <c:v>1574.7039556563361</c:v>
                </c:pt>
                <c:pt idx="7">
                  <c:v>755.8578987150413</c:v>
                </c:pt>
                <c:pt idx="8">
                  <c:v>233.05618543713774</c:v>
                </c:pt>
                <c:pt idx="9">
                  <c:v>119.67750062988156</c:v>
                </c:pt>
                <c:pt idx="10">
                  <c:v>113.37868480725621</c:v>
                </c:pt>
                <c:pt idx="11">
                  <c:v>58.578987150415713</c:v>
                </c:pt>
                <c:pt idx="12">
                  <c:v>52.910052910052904</c:v>
                </c:pt>
                <c:pt idx="13">
                  <c:v>46.611237087427554</c:v>
                </c:pt>
                <c:pt idx="14">
                  <c:v>44.091710758377403</c:v>
                </c:pt>
                <c:pt idx="15">
                  <c:v>25.19526329050138</c:v>
                </c:pt>
                <c:pt idx="16">
                  <c:v>927.18568909045086</c:v>
                </c:pt>
                <c:pt idx="17">
                  <c:v>262.03073822121434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26455.026455026451</c:v>
                </c:pt>
                <c:pt idx="21">
                  <c:v>11375.661375661373</c:v>
                </c:pt>
                <c:pt idx="22">
                  <c:v>1007.810531620055</c:v>
                </c:pt>
                <c:pt idx="23">
                  <c:v>434.6182917611489</c:v>
                </c:pt>
                <c:pt idx="24">
                  <c:v>29.730410682791636</c:v>
                </c:pt>
                <c:pt idx="25">
                  <c:v>574.45200302343153</c:v>
                </c:pt>
                <c:pt idx="26">
                  <c:v>332.57747543461818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9-4BE6-8B51-5B64B455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0736"/>
        <c:axId val="562231912"/>
      </c:scatterChart>
      <c:valAx>
        <c:axId val="562230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1912"/>
        <c:crossesAt val="0"/>
        <c:crossBetween val="midCat"/>
      </c:valAx>
      <c:valAx>
        <c:axId val="56223191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073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2011'!$AS$51:$AS$60</c:f>
              <c:numCache>
                <c:formatCode>0%</c:formatCode>
                <c:ptCount val="10"/>
                <c:pt idx="0">
                  <c:v>0.34615384615384615</c:v>
                </c:pt>
                <c:pt idx="1">
                  <c:v>0.65384615384615385</c:v>
                </c:pt>
                <c:pt idx="2">
                  <c:v>0.26923076923076922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3.8461538461538464E-2</c:v>
                </c:pt>
                <c:pt idx="6">
                  <c:v>0.19230769230769232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0.42307692307692307</c:v>
                </c:pt>
              </c:numCache>
            </c:numRef>
          </c:xVal>
          <c:yVal>
            <c:numRef>
              <c:f>'Lohman 2011'!$AM$51:$AM$60</c:f>
              <c:numCache>
                <c:formatCode>0.0</c:formatCode>
                <c:ptCount val="10"/>
                <c:pt idx="0">
                  <c:v>54.19306046982787</c:v>
                </c:pt>
                <c:pt idx="1">
                  <c:v>292.03972339104456</c:v>
                </c:pt>
                <c:pt idx="2">
                  <c:v>29.570111843229743</c:v>
                </c:pt>
                <c:pt idx="3">
                  <c:v>519.59534170063353</c:v>
                </c:pt>
                <c:pt idx="4">
                  <c:v>2779.8350780983892</c:v>
                </c:pt>
                <c:pt idx="5">
                  <c:v>16.273540712272808</c:v>
                </c:pt>
                <c:pt idx="6">
                  <c:v>28.597125267071867</c:v>
                </c:pt>
                <c:pt idx="7">
                  <c:v>434.49030649677974</c:v>
                </c:pt>
                <c:pt idx="8">
                  <c:v>1484.5085471973307</c:v>
                </c:pt>
                <c:pt idx="9">
                  <c:v>58.527720696718525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4-4945-B386-1A05A9CA5B54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2011'!$AS$86:$AS$88</c:f>
              <c:numCache>
                <c:formatCode>0%</c:formatCode>
                <c:ptCount val="3"/>
                <c:pt idx="0">
                  <c:v>0.5</c:v>
                </c:pt>
                <c:pt idx="1">
                  <c:v>0.11538461538461539</c:v>
                </c:pt>
                <c:pt idx="2">
                  <c:v>0.57692307692307687</c:v>
                </c:pt>
              </c:numCache>
            </c:numRef>
          </c:xVal>
          <c:yVal>
            <c:numRef>
              <c:f>'Lohman 2011'!$AM$86:$AM$88</c:f>
              <c:numCache>
                <c:formatCode>0.0</c:formatCode>
                <c:ptCount val="3"/>
                <c:pt idx="0">
                  <c:v>133.18697506573906</c:v>
                </c:pt>
                <c:pt idx="1">
                  <c:v>16.635487165779452</c:v>
                </c:pt>
                <c:pt idx="2">
                  <c:v>169.7297644236256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4-4945-B386-1A05A9CA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7448"/>
        <c:axId val="774299608"/>
      </c:scatterChart>
      <c:valAx>
        <c:axId val="7743074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299608"/>
        <c:crossesAt val="0"/>
        <c:crossBetween val="midCat"/>
      </c:valAx>
      <c:valAx>
        <c:axId val="7742996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7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2011'!$BO$51:$BO$60</c:f>
              <c:numCache>
                <c:formatCode>0%</c:formatCode>
                <c:ptCount val="10"/>
                <c:pt idx="0">
                  <c:v>0.24166666666666667</c:v>
                </c:pt>
                <c:pt idx="1">
                  <c:v>0.22500000000000001</c:v>
                </c:pt>
                <c:pt idx="2">
                  <c:v>0.125</c:v>
                </c:pt>
                <c:pt idx="3">
                  <c:v>0.32500000000000001</c:v>
                </c:pt>
                <c:pt idx="4">
                  <c:v>0.54166666666666663</c:v>
                </c:pt>
                <c:pt idx="5">
                  <c:v>4.1666666666666664E-2</c:v>
                </c:pt>
                <c:pt idx="6">
                  <c:v>0.10833333333333334</c:v>
                </c:pt>
                <c:pt idx="7">
                  <c:v>0.29166666666666669</c:v>
                </c:pt>
                <c:pt idx="8">
                  <c:v>0.44166666666666665</c:v>
                </c:pt>
                <c:pt idx="9">
                  <c:v>0.15833333333333333</c:v>
                </c:pt>
              </c:numCache>
            </c:numRef>
          </c:xVal>
          <c:yVal>
            <c:numRef>
              <c:f>'Lohman 2011'!$BK$51:$BK$60</c:f>
              <c:numCache>
                <c:formatCode>0.0</c:formatCode>
                <c:ptCount val="10"/>
                <c:pt idx="0">
                  <c:v>21.14742211259669</c:v>
                </c:pt>
                <c:pt idx="1">
                  <c:v>20.68685709082159</c:v>
                </c:pt>
                <c:pt idx="2">
                  <c:v>5.7201873948938777</c:v>
                </c:pt>
                <c:pt idx="3">
                  <c:v>100.51307008235213</c:v>
                </c:pt>
                <c:pt idx="4">
                  <c:v>537.74492494058393</c:v>
                </c:pt>
                <c:pt idx="5">
                  <c:v>3.1480334922692652</c:v>
                </c:pt>
                <c:pt idx="6">
                  <c:v>5.5319681017831046</c:v>
                </c:pt>
                <c:pt idx="7">
                  <c:v>84.049934866766392</c:v>
                </c:pt>
                <c:pt idx="8">
                  <c:v>287.1706107947852</c:v>
                </c:pt>
                <c:pt idx="9">
                  <c:v>10.467212778471625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2-409C-9AE4-5E43EF35813C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2011'!$BO$86:$BO$88</c:f>
              <c:numCache>
                <c:formatCode>0%</c:formatCode>
                <c:ptCount val="3"/>
                <c:pt idx="0">
                  <c:v>0.19166666666666668</c:v>
                </c:pt>
                <c:pt idx="1">
                  <c:v>9.166666666666666E-2</c:v>
                </c:pt>
                <c:pt idx="2">
                  <c:v>7.4999999999999997E-2</c:v>
                </c:pt>
              </c:numCache>
            </c:numRef>
          </c:xVal>
          <c:yVal>
            <c:numRef>
              <c:f>'Lohman 2011'!$BK$86:$BK$88</c:f>
              <c:numCache>
                <c:formatCode>0.0</c:formatCode>
                <c:ptCount val="3"/>
                <c:pt idx="0">
                  <c:v>14.630166343617436</c:v>
                </c:pt>
                <c:pt idx="1">
                  <c:v>3.5857549809684857</c:v>
                </c:pt>
                <c:pt idx="2">
                  <c:v>3.5753781848480748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2-409C-9AE4-5E43EF35813C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2011'!$BO$62:$BO$84</c:f>
              <c:numCache>
                <c:formatCode>General</c:formatCode>
                <c:ptCount val="23"/>
                <c:pt idx="2" formatCode="0%">
                  <c:v>0.14166666666666666</c:v>
                </c:pt>
                <c:pt idx="3" formatCode="0%">
                  <c:v>8.3333333333333332E-3</c:v>
                </c:pt>
                <c:pt idx="4" formatCode="0%">
                  <c:v>0.84166666666666667</c:v>
                </c:pt>
                <c:pt idx="5" formatCode="0%">
                  <c:v>0.84166666666666667</c:v>
                </c:pt>
                <c:pt idx="6" formatCode="0%">
                  <c:v>0.84166666666666667</c:v>
                </c:pt>
                <c:pt idx="7" formatCode="0%">
                  <c:v>0.68333333333333335</c:v>
                </c:pt>
                <c:pt idx="8" formatCode="0%">
                  <c:v>0.68333333333333335</c:v>
                </c:pt>
                <c:pt idx="9" formatCode="0%">
                  <c:v>0.68333333333333335</c:v>
                </c:pt>
                <c:pt idx="10" formatCode="0%">
                  <c:v>0.68333333333333335</c:v>
                </c:pt>
                <c:pt idx="11" formatCode="0%">
                  <c:v>0.52500000000000002</c:v>
                </c:pt>
                <c:pt idx="12" formatCode="0%">
                  <c:v>0.42499999999999999</c:v>
                </c:pt>
                <c:pt idx="13" formatCode="0%">
                  <c:v>0.30833333333333335</c:v>
                </c:pt>
                <c:pt idx="14" formatCode="0%">
                  <c:v>0.20833333333333334</c:v>
                </c:pt>
                <c:pt idx="15" formatCode="0%">
                  <c:v>0.17499999999999999</c:v>
                </c:pt>
                <c:pt idx="16" formatCode="0%">
                  <c:v>0.7583333333333333</c:v>
                </c:pt>
                <c:pt idx="17" formatCode="0%">
                  <c:v>0.25833333333333336</c:v>
                </c:pt>
                <c:pt idx="18" formatCode="0%">
                  <c:v>2.5000000000000001E-2</c:v>
                </c:pt>
                <c:pt idx="19" formatCode="0%">
                  <c:v>0.27500000000000002</c:v>
                </c:pt>
                <c:pt idx="20" formatCode="0%">
                  <c:v>0.77500000000000002</c:v>
                </c:pt>
                <c:pt idx="21" formatCode="0%">
                  <c:v>0.55833333333333335</c:v>
                </c:pt>
              </c:numCache>
            </c:numRef>
          </c:xVal>
          <c:yVal>
            <c:numRef>
              <c:f>'Lohman 2011'!$BK$62:$BK$84</c:f>
              <c:numCache>
                <c:formatCode>General</c:formatCode>
                <c:ptCount val="23"/>
                <c:pt idx="2" formatCode="_-* #,##0_-;\-* #,##0_-;_-* &quot;-&quot;??_-;_-@_-">
                  <c:v>7.0454766851228907</c:v>
                </c:pt>
                <c:pt idx="3" formatCode="_-* #,##0_-;\-* #,##0_-;_-* &quot;-&quot;??_-;_-@_-">
                  <c:v>2.3853126685494677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513.73203598839859</c:v>
                </c:pt>
                <c:pt idx="12" formatCode="_-* #,##0_-;\-* #,##0_-;_-* &quot;-&quot;??_-;_-@_-">
                  <c:v>270.2850322968157</c:v>
                </c:pt>
                <c:pt idx="13" formatCode="_-* #,##0_-;\-* #,##0_-;_-* &quot;-&quot;??_-;_-@_-">
                  <c:v>89.727252492336021</c:v>
                </c:pt>
                <c:pt idx="14" formatCode="_-* #,##0_-;\-* #,##0_-;_-* &quot;-&quot;??_-;_-@_-">
                  <c:v>19.840193533397834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2150.9796997623357</c:v>
                </c:pt>
                <c:pt idx="17" formatCode="_-* #,##0_-;\-* #,##0_-;_-* &quot;-&quot;??_-;_-@_-">
                  <c:v>41.30622849948076</c:v>
                </c:pt>
                <c:pt idx="18" formatCode="_-* #,##0_-;\-* #,##0_-;_-* &quot;-&quot;??_-;_-@_-">
                  <c:v>2.4443797893186234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2251.7845410743475</c:v>
                </c:pt>
                <c:pt idx="21" formatCode="_-* #,##0_-;\-* #,##0_-;_-* &quot;-&quot;??_-;_-@_-">
                  <c:v>553.81282181963741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B2-409C-9AE4-5E43EF35813C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2011'!$BO$91:$BO$117</c:f>
              <c:numCache>
                <c:formatCode>0%</c:formatCode>
                <c:ptCount val="27"/>
                <c:pt idx="0">
                  <c:v>0.90833333333333333</c:v>
                </c:pt>
                <c:pt idx="1">
                  <c:v>0.57499999999999996</c:v>
                </c:pt>
                <c:pt idx="2">
                  <c:v>0.47499999999999998</c:v>
                </c:pt>
                <c:pt idx="3">
                  <c:v>0.9916666666666667</c:v>
                </c:pt>
                <c:pt idx="4">
                  <c:v>0.95833333333333337</c:v>
                </c:pt>
                <c:pt idx="5">
                  <c:v>0.94166666666666665</c:v>
                </c:pt>
                <c:pt idx="6">
                  <c:v>0.89166666666666672</c:v>
                </c:pt>
                <c:pt idx="7">
                  <c:v>0.80833333333333335</c:v>
                </c:pt>
                <c:pt idx="8">
                  <c:v>0.625</c:v>
                </c:pt>
                <c:pt idx="9">
                  <c:v>0.5083333333333333</c:v>
                </c:pt>
                <c:pt idx="10">
                  <c:v>0.49166666666666664</c:v>
                </c:pt>
                <c:pt idx="11">
                  <c:v>0.40833333333333333</c:v>
                </c:pt>
                <c:pt idx="12">
                  <c:v>0.39166666666666666</c:v>
                </c:pt>
                <c:pt idx="13">
                  <c:v>0.375</c:v>
                </c:pt>
                <c:pt idx="14">
                  <c:v>0.35833333333333334</c:v>
                </c:pt>
                <c:pt idx="15">
                  <c:v>0.34166666666666667</c:v>
                </c:pt>
                <c:pt idx="16">
                  <c:v>0.64166666666666672</c:v>
                </c:pt>
                <c:pt idx="17">
                  <c:v>0.45833333333333331</c:v>
                </c:pt>
                <c:pt idx="18">
                  <c:v>0.60833333333333328</c:v>
                </c:pt>
                <c:pt idx="19">
                  <c:v>5.8333333333333334E-2</c:v>
                </c:pt>
                <c:pt idx="20">
                  <c:v>0.97499999999999998</c:v>
                </c:pt>
                <c:pt idx="21">
                  <c:v>0.92500000000000004</c:v>
                </c:pt>
                <c:pt idx="22">
                  <c:v>0.875</c:v>
                </c:pt>
                <c:pt idx="23">
                  <c:v>0.79166666666666663</c:v>
                </c:pt>
                <c:pt idx="24">
                  <c:v>0.7416666666666667</c:v>
                </c:pt>
                <c:pt idx="25">
                  <c:v>0.72499999999999998</c:v>
                </c:pt>
                <c:pt idx="26">
                  <c:v>0.59166666666666667</c:v>
                </c:pt>
              </c:numCache>
            </c:numRef>
          </c:xVal>
          <c:yVal>
            <c:numRef>
              <c:f>'Lohman 2011'!$BK$91:$BK$117</c:f>
              <c:numCache>
                <c:formatCode>_-* #,##0_-;\-* #,##0_-;_-* "-"??_-;_-@_-</c:formatCode>
                <c:ptCount val="27"/>
                <c:pt idx="0">
                  <c:v>8178.2148635981766</c:v>
                </c:pt>
                <c:pt idx="1">
                  <c:v>783.74559109482516</c:v>
                </c:pt>
                <c:pt idx="2">
                  <c:v>333.9437735969255</c:v>
                </c:pt>
                <c:pt idx="3">
                  <c:v>61131.579577180004</c:v>
                </c:pt>
                <c:pt idx="4">
                  <c:v>27919.005876218245</c:v>
                </c:pt>
                <c:pt idx="5">
                  <c:v>18020.449247377233</c:v>
                </c:pt>
                <c:pt idx="6">
                  <c:v>6345.2286082314204</c:v>
                </c:pt>
                <c:pt idx="7">
                  <c:v>3045.7097319510822</c:v>
                </c:pt>
                <c:pt idx="8">
                  <c:v>939.09383401825005</c:v>
                </c:pt>
                <c:pt idx="9">
                  <c:v>482.23737422558798</c:v>
                </c:pt>
                <c:pt idx="10">
                  <c:v>456.85645979266229</c:v>
                </c:pt>
                <c:pt idx="11">
                  <c:v>236.04250422620888</c:v>
                </c:pt>
                <c:pt idx="12">
                  <c:v>213.19968123657569</c:v>
                </c:pt>
                <c:pt idx="13">
                  <c:v>187.81876680365005</c:v>
                </c:pt>
                <c:pt idx="14">
                  <c:v>177.66640103047973</c:v>
                </c:pt>
                <c:pt idx="15">
                  <c:v>101.52365773170273</c:v>
                </c:pt>
                <c:pt idx="16">
                  <c:v>1171.497023514848</c:v>
                </c:pt>
                <c:pt idx="17">
                  <c:v>331.07524577593529</c:v>
                </c:pt>
                <c:pt idx="18">
                  <c:v>870.09138718546478</c:v>
                </c:pt>
                <c:pt idx="19">
                  <c:v>3.54481676260745</c:v>
                </c:pt>
                <c:pt idx="20">
                  <c:v>36103.453660961619</c:v>
                </c:pt>
                <c:pt idx="21">
                  <c:v>15524.485074213495</c:v>
                </c:pt>
                <c:pt idx="22">
                  <c:v>5776.5525857538578</c:v>
                </c:pt>
                <c:pt idx="23">
                  <c:v>2491.1383026063513</c:v>
                </c:pt>
                <c:pt idx="24">
                  <c:v>2130.1037659967351</c:v>
                </c:pt>
                <c:pt idx="25">
                  <c:v>2057.8968586748119</c:v>
                </c:pt>
                <c:pt idx="26">
                  <c:v>794.2759805411556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B2-409C-9AE4-5E43EF35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7840"/>
        <c:axId val="774295688"/>
      </c:scatterChart>
      <c:valAx>
        <c:axId val="77430784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295688"/>
        <c:crossesAt val="0"/>
        <c:crossBetween val="midCat"/>
      </c:valAx>
      <c:valAx>
        <c:axId val="77429568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7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'Lohman 2011'!$BS$51:$BS$62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2011'!$BU$51:$BU$62</c:f>
              <c:numCache>
                <c:formatCode>0</c:formatCode>
                <c:ptCount val="12"/>
                <c:pt idx="0">
                  <c:v>2.3853126685494677</c:v>
                </c:pt>
                <c:pt idx="1">
                  <c:v>21.14742211259669</c:v>
                </c:pt>
                <c:pt idx="2">
                  <c:v>3.1480334922692652</c:v>
                </c:pt>
                <c:pt idx="3">
                  <c:v>10.800623543373151</c:v>
                </c:pt>
                <c:pt idx="4">
                  <c:v>10.467212778471625</c:v>
                </c:pt>
                <c:pt idx="5">
                  <c:v>270.2850322968157</c:v>
                </c:pt>
                <c:pt idx="7">
                  <c:v>19.840193533397834</c:v>
                </c:pt>
                <c:pt idx="8">
                  <c:v>3.5753781848480748</c:v>
                </c:pt>
                <c:pt idx="9">
                  <c:v>2.4443797893186234</c:v>
                </c:pt>
                <c:pt idx="10">
                  <c:v>3.54481676260745</c:v>
                </c:pt>
                <c:pt idx="11">
                  <c:v>553.81282181963741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7-49F0-BF34-0E5EA46C16E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'Lohman 2011'!$BS$51:$BS$62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2011'!$BW$51:$BW$62</c:f>
              <c:numCache>
                <c:formatCode>0</c:formatCode>
                <c:ptCount val="12"/>
                <c:pt idx="0">
                  <c:v>8178.2148635981766</c:v>
                </c:pt>
                <c:pt idx="1">
                  <c:v>3113.1320657809356</c:v>
                </c:pt>
                <c:pt idx="2">
                  <c:v>2150.9796997623357</c:v>
                </c:pt>
                <c:pt idx="3">
                  <c:v>10.800623543373151</c:v>
                </c:pt>
                <c:pt idx="4">
                  <c:v>10.467212778471625</c:v>
                </c:pt>
                <c:pt idx="5">
                  <c:v>61131.579577180004</c:v>
                </c:pt>
                <c:pt idx="7">
                  <c:v>27919.005876218245</c:v>
                </c:pt>
                <c:pt idx="8">
                  <c:v>3.5753781848480748</c:v>
                </c:pt>
                <c:pt idx="9">
                  <c:v>41.30622849948076</c:v>
                </c:pt>
                <c:pt idx="10">
                  <c:v>870.09138718546478</c:v>
                </c:pt>
                <c:pt idx="11">
                  <c:v>36103.453660961619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7-49F0-BF34-0E5EA46C16EF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'Lohman 2011'!$BS$51:$BS$62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'Lohman 2011'!$BV$51:$BV$62</c:f>
              <c:numCache>
                <c:formatCode>0</c:formatCode>
                <c:ptCount val="12"/>
                <c:pt idx="0">
                  <c:v>1551.4867954374279</c:v>
                </c:pt>
                <c:pt idx="1">
                  <c:v>1792.7488444912822</c:v>
                </c:pt>
                <c:pt idx="2">
                  <c:v>392.72897684674939</c:v>
                </c:pt>
                <c:pt idx="3">
                  <c:v>10.800623543373151</c:v>
                </c:pt>
                <c:pt idx="4">
                  <c:v>10.467212778471625</c:v>
                </c:pt>
                <c:pt idx="5">
                  <c:v>20638.532215155072</c:v>
                </c:pt>
                <c:pt idx="7">
                  <c:v>4159.5999706334878</c:v>
                </c:pt>
                <c:pt idx="8">
                  <c:v>3.5753781848480748</c:v>
                </c:pt>
                <c:pt idx="9">
                  <c:v>21.875304144399692</c:v>
                </c:pt>
                <c:pt idx="10">
                  <c:v>309.23654152732234</c:v>
                </c:pt>
                <c:pt idx="11">
                  <c:v>7520.3892879602245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7-49F0-BF34-0E5EA46C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74302744"/>
        <c:axId val="774301960"/>
      </c:stockChart>
      <c:catAx>
        <c:axId val="77430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774301960"/>
        <c:crossesAt val="1"/>
        <c:auto val="1"/>
        <c:lblAlgn val="ctr"/>
        <c:lblOffset val="100"/>
        <c:noMultiLvlLbl val="0"/>
      </c:catAx>
      <c:valAx>
        <c:axId val="77430196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77430274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'Lohman 2011'!$AO$51:$AO$60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'Lohman 2011'!$BK$51:$BK$60</c:f>
              <c:numCache>
                <c:formatCode>0.0</c:formatCode>
                <c:ptCount val="10"/>
                <c:pt idx="0">
                  <c:v>21.14742211259669</c:v>
                </c:pt>
                <c:pt idx="1">
                  <c:v>20.68685709082159</c:v>
                </c:pt>
                <c:pt idx="2">
                  <c:v>5.7201873948938777</c:v>
                </c:pt>
                <c:pt idx="3">
                  <c:v>100.51307008235213</c:v>
                </c:pt>
                <c:pt idx="4">
                  <c:v>537.74492494058393</c:v>
                </c:pt>
                <c:pt idx="5">
                  <c:v>3.1480334922692652</c:v>
                </c:pt>
                <c:pt idx="6">
                  <c:v>5.5319681017831046</c:v>
                </c:pt>
                <c:pt idx="7">
                  <c:v>84.049934866766392</c:v>
                </c:pt>
                <c:pt idx="8">
                  <c:v>287.1706107947852</c:v>
                </c:pt>
                <c:pt idx="9">
                  <c:v>10.467212778471625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A-4914-BD14-FA9621F6EAC0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'Lohman 2011'!$BK$86:$BK$88</c:f>
              <c:numCache>
                <c:formatCode>0.0</c:formatCode>
                <c:ptCount val="3"/>
                <c:pt idx="0">
                  <c:v>14.630166343617436</c:v>
                </c:pt>
                <c:pt idx="1">
                  <c:v>3.5857549809684857</c:v>
                </c:pt>
                <c:pt idx="2">
                  <c:v>3.5753781848480748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A-4914-BD14-FA9621F6EAC0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'Lohman 2011'!$BK$62:$BK$84</c:f>
              <c:numCache>
                <c:formatCode>General</c:formatCode>
                <c:ptCount val="23"/>
                <c:pt idx="2" formatCode="_-* #,##0_-;\-* #,##0_-;_-* &quot;-&quot;??_-;_-@_-">
                  <c:v>7.0454766851228907</c:v>
                </c:pt>
                <c:pt idx="3" formatCode="_-* #,##0_-;\-* #,##0_-;_-* &quot;-&quot;??_-;_-@_-">
                  <c:v>2.3853126685494677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513.73203598839859</c:v>
                </c:pt>
                <c:pt idx="12" formatCode="_-* #,##0_-;\-* #,##0_-;_-* &quot;-&quot;??_-;_-@_-">
                  <c:v>270.2850322968157</c:v>
                </c:pt>
                <c:pt idx="13" formatCode="_-* #,##0_-;\-* #,##0_-;_-* &quot;-&quot;??_-;_-@_-">
                  <c:v>89.727252492336021</c:v>
                </c:pt>
                <c:pt idx="14" formatCode="_-* #,##0_-;\-* #,##0_-;_-* &quot;-&quot;??_-;_-@_-">
                  <c:v>19.840193533397834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2150.9796997623357</c:v>
                </c:pt>
                <c:pt idx="17" formatCode="_-* #,##0_-;\-* #,##0_-;_-* &quot;-&quot;??_-;_-@_-">
                  <c:v>41.30622849948076</c:v>
                </c:pt>
                <c:pt idx="18" formatCode="_-* #,##0_-;\-* #,##0_-;_-* &quot;-&quot;??_-;_-@_-">
                  <c:v>2.4443797893186234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2251.7845410743475</c:v>
                </c:pt>
                <c:pt idx="21" formatCode="_-* #,##0_-;\-* #,##0_-;_-* &quot;-&quot;??_-;_-@_-">
                  <c:v>553.81282181963741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A-4914-BD14-FA9621F6EAC0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'Lohman 2011'!$BK$91:$BK$117</c:f>
              <c:numCache>
                <c:formatCode>_-* #,##0_-;\-* #,##0_-;_-* "-"??_-;_-@_-</c:formatCode>
                <c:ptCount val="27"/>
                <c:pt idx="0">
                  <c:v>8178.2148635981766</c:v>
                </c:pt>
                <c:pt idx="1">
                  <c:v>783.74559109482516</c:v>
                </c:pt>
                <c:pt idx="2">
                  <c:v>333.9437735969255</c:v>
                </c:pt>
                <c:pt idx="3">
                  <c:v>61131.579577180004</c:v>
                </c:pt>
                <c:pt idx="4">
                  <c:v>27919.005876218245</c:v>
                </c:pt>
                <c:pt idx="5">
                  <c:v>18020.449247377233</c:v>
                </c:pt>
                <c:pt idx="6">
                  <c:v>6345.2286082314204</c:v>
                </c:pt>
                <c:pt idx="7">
                  <c:v>3045.7097319510822</c:v>
                </c:pt>
                <c:pt idx="8">
                  <c:v>939.09383401825005</c:v>
                </c:pt>
                <c:pt idx="9">
                  <c:v>482.23737422558798</c:v>
                </c:pt>
                <c:pt idx="10">
                  <c:v>456.85645979266229</c:v>
                </c:pt>
                <c:pt idx="11">
                  <c:v>236.04250422620888</c:v>
                </c:pt>
                <c:pt idx="12">
                  <c:v>213.19968123657569</c:v>
                </c:pt>
                <c:pt idx="13">
                  <c:v>187.81876680365005</c:v>
                </c:pt>
                <c:pt idx="14">
                  <c:v>177.66640103047973</c:v>
                </c:pt>
                <c:pt idx="15">
                  <c:v>101.52365773170273</c:v>
                </c:pt>
                <c:pt idx="16">
                  <c:v>1171.497023514848</c:v>
                </c:pt>
                <c:pt idx="17">
                  <c:v>331.07524577593529</c:v>
                </c:pt>
                <c:pt idx="18">
                  <c:v>870.09138718546478</c:v>
                </c:pt>
                <c:pt idx="19">
                  <c:v>3.54481676260745</c:v>
                </c:pt>
                <c:pt idx="20">
                  <c:v>36103.453660961619</c:v>
                </c:pt>
                <c:pt idx="21">
                  <c:v>15524.485074213495</c:v>
                </c:pt>
                <c:pt idx="22">
                  <c:v>5776.5525857538578</c:v>
                </c:pt>
                <c:pt idx="23">
                  <c:v>2491.1383026063513</c:v>
                </c:pt>
                <c:pt idx="24">
                  <c:v>2130.1037659967351</c:v>
                </c:pt>
                <c:pt idx="25">
                  <c:v>2057.8968586748119</c:v>
                </c:pt>
                <c:pt idx="26">
                  <c:v>794.2759805411556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A-4914-BD14-FA9621F6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10192"/>
        <c:axId val="774310976"/>
      </c:scatterChart>
      <c:valAx>
        <c:axId val="774310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10976"/>
        <c:crossesAt val="0"/>
        <c:crossBetween val="midCat"/>
      </c:valAx>
      <c:valAx>
        <c:axId val="77431097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1019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'Lohman 2011'!$BE$51:$BE$60</c:f>
              <c:numCache>
                <c:formatCode>General</c:formatCode>
                <c:ptCount val="10"/>
                <c:pt idx="0">
                  <c:v>18.579520856067095</c:v>
                </c:pt>
                <c:pt idx="1">
                  <c:v>5.0535036607578459</c:v>
                </c:pt>
                <c:pt idx="2">
                  <c:v>8.580281092340817</c:v>
                </c:pt>
                <c:pt idx="3">
                  <c:v>107.54898498811679</c:v>
                </c:pt>
                <c:pt idx="4">
                  <c:v>107.54898498811679</c:v>
                </c:pt>
                <c:pt idx="5">
                  <c:v>43.075591619217775</c:v>
                </c:pt>
                <c:pt idx="6">
                  <c:v>43.075591619217775</c:v>
                </c:pt>
                <c:pt idx="7">
                  <c:v>43.075591619217775</c:v>
                </c:pt>
                <c:pt idx="8">
                  <c:v>43.075591619217775</c:v>
                </c:pt>
                <c:pt idx="9">
                  <c:v>1.3233547584210557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F-45D3-87B7-05396851BD9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'Lohman 2011'!$BE$86:$BE$88</c:f>
              <c:numCache>
                <c:formatCode>General</c:formatCode>
                <c:ptCount val="3"/>
                <c:pt idx="0">
                  <c:v>687.6178181500195</c:v>
                </c:pt>
                <c:pt idx="1">
                  <c:v>1.4343019923873943</c:v>
                </c:pt>
                <c:pt idx="2">
                  <c:v>64.356807327265344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F-45D3-87B7-05396851BD96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'Lohman 2011'!$BE$62:$BE$84</c:f>
              <c:numCache>
                <c:formatCode>#,##0</c:formatCode>
                <c:ptCount val="23"/>
                <c:pt idx="2" formatCode="General">
                  <c:v>0.35227383425614456</c:v>
                </c:pt>
                <c:pt idx="3" formatCode="General">
                  <c:v>0.11926563342747339</c:v>
                </c:pt>
                <c:pt idx="4" formatCode="General">
                  <c:v>155.65660328904679</c:v>
                </c:pt>
                <c:pt idx="5" formatCode="General">
                  <c:v>155.65660328904679</c:v>
                </c:pt>
                <c:pt idx="6" formatCode="General">
                  <c:v>155.65660328904679</c:v>
                </c:pt>
                <c:pt idx="7" formatCode="General">
                  <c:v>62.268089205935667</c:v>
                </c:pt>
                <c:pt idx="8" formatCode="General">
                  <c:v>62.268089205935667</c:v>
                </c:pt>
                <c:pt idx="9" formatCode="General">
                  <c:v>62.268089205935667</c:v>
                </c:pt>
                <c:pt idx="10" formatCode="General">
                  <c:v>62.268089205935667</c:v>
                </c:pt>
                <c:pt idx="11" formatCode="General">
                  <c:v>25.686601799419929</c:v>
                </c:pt>
                <c:pt idx="12" formatCode="General">
                  <c:v>13.514251614840786</c:v>
                </c:pt>
                <c:pt idx="13" formatCode="General">
                  <c:v>4.4863626246168016</c:v>
                </c:pt>
                <c:pt idx="14" formatCode="General">
                  <c:v>0.99200967666989182</c:v>
                </c:pt>
                <c:pt idx="15" formatCode="General">
                  <c:v>0.54003117716865756</c:v>
                </c:pt>
                <c:pt idx="16" formatCode="General">
                  <c:v>107.54898498811679</c:v>
                </c:pt>
                <c:pt idx="17" formatCode="General">
                  <c:v>2.0653114249740381</c:v>
                </c:pt>
                <c:pt idx="18" formatCode="General">
                  <c:v>0.12221898946593118</c:v>
                </c:pt>
                <c:pt idx="19" formatCode="General">
                  <c:v>2.7036710316947428</c:v>
                </c:pt>
                <c:pt idx="20" formatCode="General">
                  <c:v>112.58922705371738</c:v>
                </c:pt>
                <c:pt idx="21" formatCode="General">
                  <c:v>27.690641090981874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F-45D3-87B7-05396851BD96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'Lohman 2011'!$BE$91:$BE$117</c:f>
              <c:numCache>
                <c:formatCode>General</c:formatCode>
                <c:ptCount val="27"/>
                <c:pt idx="0">
                  <c:v>163.56429727196354</c:v>
                </c:pt>
                <c:pt idx="1">
                  <c:v>15.674911821896503</c:v>
                </c:pt>
                <c:pt idx="2">
                  <c:v>6.6788754719385102</c:v>
                </c:pt>
                <c:pt idx="3">
                  <c:v>1222.6315915436001</c:v>
                </c:pt>
                <c:pt idx="4">
                  <c:v>558.38011752436489</c:v>
                </c:pt>
                <c:pt idx="5">
                  <c:v>360.4089849475447</c:v>
                </c:pt>
                <c:pt idx="6">
                  <c:v>126.90457216462841</c:v>
                </c:pt>
                <c:pt idx="7">
                  <c:v>60.914194639021645</c:v>
                </c:pt>
                <c:pt idx="8">
                  <c:v>18.781876680365002</c:v>
                </c:pt>
                <c:pt idx="9">
                  <c:v>9.6447474845117593</c:v>
                </c:pt>
                <c:pt idx="10">
                  <c:v>9.1371291958532463</c:v>
                </c:pt>
                <c:pt idx="11">
                  <c:v>4.7208500845241774</c:v>
                </c:pt>
                <c:pt idx="12">
                  <c:v>4.2639936247315138</c:v>
                </c:pt>
                <c:pt idx="13">
                  <c:v>3.7563753360730012</c:v>
                </c:pt>
                <c:pt idx="14">
                  <c:v>3.553328020609595</c:v>
                </c:pt>
                <c:pt idx="15">
                  <c:v>2.0304731546340546</c:v>
                </c:pt>
                <c:pt idx="16">
                  <c:v>23.429940470296962</c:v>
                </c:pt>
                <c:pt idx="17">
                  <c:v>6.621504915518706</c:v>
                </c:pt>
                <c:pt idx="18">
                  <c:v>174.01827743709296</c:v>
                </c:pt>
                <c:pt idx="19">
                  <c:v>0.70896335252149001</c:v>
                </c:pt>
                <c:pt idx="20">
                  <c:v>722.06907321923234</c:v>
                </c:pt>
                <c:pt idx="21">
                  <c:v>310.48970148426991</c:v>
                </c:pt>
                <c:pt idx="22">
                  <c:v>115.53105171507715</c:v>
                </c:pt>
                <c:pt idx="23">
                  <c:v>49.822766052127029</c:v>
                </c:pt>
                <c:pt idx="24">
                  <c:v>42.602075319934706</c:v>
                </c:pt>
                <c:pt idx="25">
                  <c:v>41.157937173496244</c:v>
                </c:pt>
                <c:pt idx="26">
                  <c:v>15.885519610823112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F-45D3-87B7-05396851BD96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'Lohman 2011'!$AV$68:$AV$69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'Lohman 2011'!$AV$68:$AV$69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F-45D3-87B7-05396851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10584"/>
        <c:axId val="774311368"/>
      </c:scatterChart>
      <c:valAx>
        <c:axId val="774310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11368"/>
        <c:crossesAt val="0"/>
        <c:crossBetween val="midCat"/>
      </c:valAx>
      <c:valAx>
        <c:axId val="77431136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10584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'Lohman 2011'!$P$51:$P$60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'Lohman 2011'!$BK$51:$BK$60</c:f>
              <c:numCache>
                <c:formatCode>0.0</c:formatCode>
                <c:ptCount val="10"/>
                <c:pt idx="0">
                  <c:v>21.14742211259669</c:v>
                </c:pt>
                <c:pt idx="1">
                  <c:v>20.68685709082159</c:v>
                </c:pt>
                <c:pt idx="2">
                  <c:v>5.7201873948938777</c:v>
                </c:pt>
                <c:pt idx="3">
                  <c:v>100.51307008235213</c:v>
                </c:pt>
                <c:pt idx="4">
                  <c:v>537.74492494058393</c:v>
                </c:pt>
                <c:pt idx="5">
                  <c:v>3.1480334922692652</c:v>
                </c:pt>
                <c:pt idx="6">
                  <c:v>5.5319681017831046</c:v>
                </c:pt>
                <c:pt idx="7">
                  <c:v>84.049934866766392</c:v>
                </c:pt>
                <c:pt idx="8">
                  <c:v>287.1706107947852</c:v>
                </c:pt>
                <c:pt idx="9">
                  <c:v>10.467212778471625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BB1-9568-398E213CE4C8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'Lohman 2011'!$BK$86:$BK$88</c:f>
              <c:numCache>
                <c:formatCode>0.0</c:formatCode>
                <c:ptCount val="3"/>
                <c:pt idx="0">
                  <c:v>14.630166343617436</c:v>
                </c:pt>
                <c:pt idx="1">
                  <c:v>3.5857549809684857</c:v>
                </c:pt>
                <c:pt idx="2">
                  <c:v>3.5753781848480748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1-4BB1-9568-398E213CE4C8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'Lohman 2011'!$P$62:$P$84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'Lohman 2011'!$BK$62:$BK$84</c:f>
              <c:numCache>
                <c:formatCode>General</c:formatCode>
                <c:ptCount val="23"/>
                <c:pt idx="2" formatCode="_-* #,##0_-;\-* #,##0_-;_-* &quot;-&quot;??_-;_-@_-">
                  <c:v>7.0454766851228907</c:v>
                </c:pt>
                <c:pt idx="3" formatCode="_-* #,##0_-;\-* #,##0_-;_-* &quot;-&quot;??_-;_-@_-">
                  <c:v>2.3853126685494677</c:v>
                </c:pt>
                <c:pt idx="4" formatCode="_-* #,##0_-;\-* #,##0_-;_-* &quot;-&quot;??_-;_-@_-">
                  <c:v>3113.1320657809356</c:v>
                </c:pt>
                <c:pt idx="5" formatCode="_-* #,##0_-;\-* #,##0_-;_-* &quot;-&quot;??_-;_-@_-">
                  <c:v>3113.1320657809356</c:v>
                </c:pt>
                <c:pt idx="6" formatCode="_-* #,##0_-;\-* #,##0_-;_-* &quot;-&quot;??_-;_-@_-">
                  <c:v>3113.1320657809356</c:v>
                </c:pt>
                <c:pt idx="7" formatCode="_-* #,##0_-;\-* #,##0_-;_-* &quot;-&quot;??_-;_-@_-">
                  <c:v>1245.3617841187133</c:v>
                </c:pt>
                <c:pt idx="8" formatCode="_-* #,##0_-;\-* #,##0_-;_-* &quot;-&quot;??_-;_-@_-">
                  <c:v>1245.3617841187133</c:v>
                </c:pt>
                <c:pt idx="9" formatCode="_-* #,##0_-;\-* #,##0_-;_-* &quot;-&quot;??_-;_-@_-">
                  <c:v>1245.3617841187133</c:v>
                </c:pt>
                <c:pt idx="10" formatCode="_-* #,##0_-;\-* #,##0_-;_-* &quot;-&quot;??_-;_-@_-">
                  <c:v>1245.3617841187133</c:v>
                </c:pt>
                <c:pt idx="11" formatCode="_-* #,##0_-;\-* #,##0_-;_-* &quot;-&quot;??_-;_-@_-">
                  <c:v>513.73203598839859</c:v>
                </c:pt>
                <c:pt idx="12" formatCode="_-* #,##0_-;\-* #,##0_-;_-* &quot;-&quot;??_-;_-@_-">
                  <c:v>270.2850322968157</c:v>
                </c:pt>
                <c:pt idx="13" formatCode="_-* #,##0_-;\-* #,##0_-;_-* &quot;-&quot;??_-;_-@_-">
                  <c:v>89.727252492336021</c:v>
                </c:pt>
                <c:pt idx="14" formatCode="_-* #,##0_-;\-* #,##0_-;_-* &quot;-&quot;??_-;_-@_-">
                  <c:v>19.840193533397834</c:v>
                </c:pt>
                <c:pt idx="15" formatCode="_-* #,##0_-;\-* #,##0_-;_-* &quot;-&quot;??_-;_-@_-">
                  <c:v>10.800623543373151</c:v>
                </c:pt>
                <c:pt idx="16" formatCode="_-* #,##0_-;\-* #,##0_-;_-* &quot;-&quot;??_-;_-@_-">
                  <c:v>2150.9796997623357</c:v>
                </c:pt>
                <c:pt idx="17" formatCode="_-* #,##0_-;\-* #,##0_-;_-* &quot;-&quot;??_-;_-@_-">
                  <c:v>41.30622849948076</c:v>
                </c:pt>
                <c:pt idx="18" formatCode="_-* #,##0_-;\-* #,##0_-;_-* &quot;-&quot;??_-;_-@_-">
                  <c:v>2.4443797893186234</c:v>
                </c:pt>
                <c:pt idx="19" formatCode="_-* #,##0_-;\-* #,##0_-;_-* &quot;-&quot;??_-;_-@_-">
                  <c:v>54.073420633894855</c:v>
                </c:pt>
                <c:pt idx="20" formatCode="_-* #,##0_-;\-* #,##0_-;_-* &quot;-&quot;??_-;_-@_-">
                  <c:v>2251.7845410743475</c:v>
                </c:pt>
                <c:pt idx="21" formatCode="_-* #,##0_-;\-* #,##0_-;_-* &quot;-&quot;??_-;_-@_-">
                  <c:v>553.81282181963741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1-4BB1-9568-398E213CE4C8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'Lohman 2011'!$P$91:$P$117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'Lohman 2011'!$BK$91:$BK$117</c:f>
              <c:numCache>
                <c:formatCode>_-* #,##0_-;\-* #,##0_-;_-* "-"??_-;_-@_-</c:formatCode>
                <c:ptCount val="27"/>
                <c:pt idx="0">
                  <c:v>8178.2148635981766</c:v>
                </c:pt>
                <c:pt idx="1">
                  <c:v>783.74559109482516</c:v>
                </c:pt>
                <c:pt idx="2">
                  <c:v>333.9437735969255</c:v>
                </c:pt>
                <c:pt idx="3">
                  <c:v>61131.579577180004</c:v>
                </c:pt>
                <c:pt idx="4">
                  <c:v>27919.005876218245</c:v>
                </c:pt>
                <c:pt idx="5">
                  <c:v>18020.449247377233</c:v>
                </c:pt>
                <c:pt idx="6">
                  <c:v>6345.2286082314204</c:v>
                </c:pt>
                <c:pt idx="7">
                  <c:v>3045.7097319510822</c:v>
                </c:pt>
                <c:pt idx="8">
                  <c:v>939.09383401825005</c:v>
                </c:pt>
                <c:pt idx="9">
                  <c:v>482.23737422558798</c:v>
                </c:pt>
                <c:pt idx="10">
                  <c:v>456.85645979266229</c:v>
                </c:pt>
                <c:pt idx="11">
                  <c:v>236.04250422620888</c:v>
                </c:pt>
                <c:pt idx="12">
                  <c:v>213.19968123657569</c:v>
                </c:pt>
                <c:pt idx="13">
                  <c:v>187.81876680365005</c:v>
                </c:pt>
                <c:pt idx="14">
                  <c:v>177.66640103047973</c:v>
                </c:pt>
                <c:pt idx="15">
                  <c:v>101.52365773170273</c:v>
                </c:pt>
                <c:pt idx="16">
                  <c:v>1171.497023514848</c:v>
                </c:pt>
                <c:pt idx="17">
                  <c:v>331.07524577593529</c:v>
                </c:pt>
                <c:pt idx="18">
                  <c:v>870.09138718546478</c:v>
                </c:pt>
                <c:pt idx="19">
                  <c:v>3.54481676260745</c:v>
                </c:pt>
                <c:pt idx="20">
                  <c:v>36103.453660961619</c:v>
                </c:pt>
                <c:pt idx="21">
                  <c:v>15524.485074213495</c:v>
                </c:pt>
                <c:pt idx="22">
                  <c:v>5776.5525857538578</c:v>
                </c:pt>
                <c:pt idx="23">
                  <c:v>2491.1383026063513</c:v>
                </c:pt>
                <c:pt idx="24">
                  <c:v>2130.1037659967351</c:v>
                </c:pt>
                <c:pt idx="25">
                  <c:v>2057.8968586748119</c:v>
                </c:pt>
                <c:pt idx="26">
                  <c:v>794.2759805411556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1-4BB1-9568-398E213C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09800"/>
        <c:axId val="774309408"/>
      </c:scatterChart>
      <c:valAx>
        <c:axId val="77430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9408"/>
        <c:crossesAt val="0"/>
        <c:crossBetween val="midCat"/>
      </c:valAx>
      <c:valAx>
        <c:axId val="7743094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4309800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'Lohman 2011'!$BQ$51:$BQ$60</c:f>
              <c:numCache>
                <c:formatCode>0%</c:formatCode>
                <c:ptCount val="10"/>
                <c:pt idx="0">
                  <c:v>0.65384615384615385</c:v>
                </c:pt>
                <c:pt idx="1">
                  <c:v>0.57692307692307687</c:v>
                </c:pt>
                <c:pt idx="2">
                  <c:v>0.34615384615384615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3.8461538461538464E-2</c:v>
                </c:pt>
                <c:pt idx="6">
                  <c:v>0.26923076923076922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0.42307692307692307</c:v>
                </c:pt>
              </c:numCache>
            </c:numRef>
          </c:xVal>
          <c:yVal>
            <c:numRef>
              <c:f>'Lohman 2011'!$BK$51:$BK$60</c:f>
              <c:numCache>
                <c:formatCode>0.0</c:formatCode>
                <c:ptCount val="10"/>
                <c:pt idx="0">
                  <c:v>21.14742211259669</c:v>
                </c:pt>
                <c:pt idx="1">
                  <c:v>20.68685709082159</c:v>
                </c:pt>
                <c:pt idx="2">
                  <c:v>5.7201873948938777</c:v>
                </c:pt>
                <c:pt idx="3">
                  <c:v>100.51307008235213</c:v>
                </c:pt>
                <c:pt idx="4">
                  <c:v>537.74492494058393</c:v>
                </c:pt>
                <c:pt idx="5">
                  <c:v>3.1480334922692652</c:v>
                </c:pt>
                <c:pt idx="6">
                  <c:v>5.5319681017831046</c:v>
                </c:pt>
                <c:pt idx="7">
                  <c:v>84.049934866766392</c:v>
                </c:pt>
                <c:pt idx="8">
                  <c:v>287.1706107947852</c:v>
                </c:pt>
                <c:pt idx="9">
                  <c:v>10.467212778471625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5-4444-AA56-1A6BA948134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'Lohman 2011'!$BQ$86:$BQ$88</c:f>
              <c:numCache>
                <c:formatCode>0%</c:formatCode>
                <c:ptCount val="3"/>
                <c:pt idx="0">
                  <c:v>0.5</c:v>
                </c:pt>
                <c:pt idx="1">
                  <c:v>0.19230769230769232</c:v>
                </c:pt>
                <c:pt idx="2">
                  <c:v>0.11538461538461539</c:v>
                </c:pt>
              </c:numCache>
            </c:numRef>
          </c:xVal>
          <c:yVal>
            <c:numRef>
              <c:f>'Lohman 2011'!$BK$86:$BK$88</c:f>
              <c:numCache>
                <c:formatCode>0.0</c:formatCode>
                <c:ptCount val="3"/>
                <c:pt idx="0">
                  <c:v>14.630166343617436</c:v>
                </c:pt>
                <c:pt idx="1">
                  <c:v>3.5857549809684857</c:v>
                </c:pt>
                <c:pt idx="2">
                  <c:v>3.5753781848480748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5-4444-AA56-1A6BA948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7016"/>
        <c:axId val="553115248"/>
      </c:scatterChart>
      <c:valAx>
        <c:axId val="5531070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5248"/>
        <c:crossesAt val="0"/>
        <c:crossBetween val="midCat"/>
      </c:valAx>
      <c:valAx>
        <c:axId val="55311524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7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praktijk'!$AQ$51:$AQ$60</c:f>
              <c:numCache>
                <c:formatCode>0%</c:formatCode>
                <c:ptCount val="10"/>
                <c:pt idx="0">
                  <c:v>7.4999999999999997E-2</c:v>
                </c:pt>
                <c:pt idx="1">
                  <c:v>0.20833333333333334</c:v>
                </c:pt>
                <c:pt idx="2">
                  <c:v>0.15833333333333333</c:v>
                </c:pt>
                <c:pt idx="3">
                  <c:v>0.35833333333333334</c:v>
                </c:pt>
                <c:pt idx="4">
                  <c:v>0.70833333333333337</c:v>
                </c:pt>
                <c:pt idx="5">
                  <c:v>0.14166666666666666</c:v>
                </c:pt>
                <c:pt idx="6">
                  <c:v>0.17499999999999999</c:v>
                </c:pt>
                <c:pt idx="7">
                  <c:v>0.30833333333333335</c:v>
                </c:pt>
                <c:pt idx="8">
                  <c:v>0.55833333333333335</c:v>
                </c:pt>
                <c:pt idx="9">
                  <c:v>0.125</c:v>
                </c:pt>
              </c:numCache>
            </c:numRef>
          </c:xVal>
          <c:yVal>
            <c:numRef>
              <c:f>'Regressie &amp; praktijk'!$AM$51:$AM$60</c:f>
              <c:numCache>
                <c:formatCode>0.0</c:formatCode>
                <c:ptCount val="10"/>
                <c:pt idx="0">
                  <c:v>4.6703574039855882</c:v>
                </c:pt>
                <c:pt idx="1">
                  <c:v>47.55603908475225</c:v>
                </c:pt>
                <c:pt idx="2">
                  <c:v>23.951425635745043</c:v>
                </c:pt>
                <c:pt idx="3">
                  <c:v>471.25456330218827</c:v>
                </c:pt>
                <c:pt idx="4">
                  <c:v>2521.211913666707</c:v>
                </c:pt>
                <c:pt idx="5">
                  <c:v>13.711289498344373</c:v>
                </c:pt>
                <c:pt idx="6">
                  <c:v>24.094539122732726</c:v>
                </c:pt>
                <c:pt idx="7">
                  <c:v>366.08028221595873</c:v>
                </c:pt>
                <c:pt idx="8">
                  <c:v>1250.7742975711924</c:v>
                </c:pt>
                <c:pt idx="9">
                  <c:v>6.2835203245355791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180-9D5B-45256B170EB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praktijk'!$AQ$86:$AQ$88</c:f>
              <c:numCache>
                <c:formatCode>0%</c:formatCode>
                <c:ptCount val="3"/>
                <c:pt idx="0">
                  <c:v>0.24166666666666667</c:v>
                </c:pt>
                <c:pt idx="1">
                  <c:v>4.1666666666666664E-2</c:v>
                </c:pt>
                <c:pt idx="2">
                  <c:v>0.77500000000000002</c:v>
                </c:pt>
              </c:numCache>
            </c:numRef>
          </c:xVal>
          <c:yVal>
            <c:numRef>
              <c:f>'Regressie &amp; praktijk'!$AM$86:$AM$88</c:f>
              <c:numCache>
                <c:formatCode>0.0</c:formatCode>
                <c:ptCount val="3"/>
                <c:pt idx="0">
                  <c:v>67.747092368079521</c:v>
                </c:pt>
                <c:pt idx="1">
                  <c:v>1.8559150386026702</c:v>
                </c:pt>
                <c:pt idx="2">
                  <c:v>5967.8334888520631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1-4180-9D5B-45256B170EB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praktijk'!$AQ$62:$AQ$84</c:f>
              <c:numCache>
                <c:formatCode>General</c:formatCode>
                <c:ptCount val="23"/>
                <c:pt idx="2" formatCode="0%">
                  <c:v>9.166666666666666E-2</c:v>
                </c:pt>
                <c:pt idx="3" formatCode="0%">
                  <c:v>2.5000000000000001E-2</c:v>
                </c:pt>
                <c:pt idx="4" formatCode="0%">
                  <c:v>0.60833333333333328</c:v>
                </c:pt>
                <c:pt idx="5" formatCode="0%">
                  <c:v>0.60833333333333328</c:v>
                </c:pt>
                <c:pt idx="6" formatCode="0%">
                  <c:v>0.60833333333333328</c:v>
                </c:pt>
                <c:pt idx="7" formatCode="0%">
                  <c:v>0.41666666666666669</c:v>
                </c:pt>
                <c:pt idx="8" formatCode="0%">
                  <c:v>0.41666666666666669</c:v>
                </c:pt>
                <c:pt idx="9" formatCode="0%">
                  <c:v>0.41666666666666669</c:v>
                </c:pt>
                <c:pt idx="10" formatCode="0%">
                  <c:v>0.41666666666666669</c:v>
                </c:pt>
                <c:pt idx="11" formatCode="0%">
                  <c:v>0.67500000000000004</c:v>
                </c:pt>
                <c:pt idx="12" formatCode="0%">
                  <c:v>0.45833333333333331</c:v>
                </c:pt>
                <c:pt idx="13" formatCode="0%">
                  <c:v>0.375</c:v>
                </c:pt>
                <c:pt idx="14" formatCode="0%">
                  <c:v>0.22500000000000001</c:v>
                </c:pt>
                <c:pt idx="15" formatCode="0%">
                  <c:v>0.10833333333333334</c:v>
                </c:pt>
                <c:pt idx="16" formatCode="0%">
                  <c:v>0.84166666666666667</c:v>
                </c:pt>
                <c:pt idx="17" formatCode="0%">
                  <c:v>0.25833333333333336</c:v>
                </c:pt>
                <c:pt idx="18" formatCode="0%">
                  <c:v>5.8333333333333334E-2</c:v>
                </c:pt>
                <c:pt idx="19" formatCode="0%">
                  <c:v>0.19166666666666668</c:v>
                </c:pt>
                <c:pt idx="20" formatCode="0%">
                  <c:v>0.85833333333333328</c:v>
                </c:pt>
                <c:pt idx="21" formatCode="0%">
                  <c:v>0.57499999999999996</c:v>
                </c:pt>
              </c:numCache>
            </c:numRef>
          </c:xVal>
          <c:yVal>
            <c:numRef>
              <c:f>'Regressie &amp; praktijk'!$AM$62:$AM$84</c:f>
              <c:numCache>
                <c:formatCode>General</c:formatCode>
                <c:ptCount val="23"/>
                <c:pt idx="2" formatCode="_-* #,##0_-;\-* #,##0_-;_-* &quot;-&quot;??_-;_-@_-">
                  <c:v>5.3490625806081349</c:v>
                </c:pt>
                <c:pt idx="3" formatCode="_-* #,##0_-;\-* #,##0_-;_-* &quot;-&quot;??_-;_-@_-">
                  <c:v>1.4148754463534376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2389.7246368956089</c:v>
                </c:pt>
                <c:pt idx="12" formatCode="_-* #,##0_-;\-* #,##0_-;_-* &quot;-&quot;??_-;_-@_-">
                  <c:v>647.7796298130994</c:v>
                </c:pt>
                <c:pt idx="13" formatCode="_-* #,##0_-;\-* #,##0_-;_-* &quot;-&quot;??_-;_-@_-">
                  <c:v>494.89334321205655</c:v>
                </c:pt>
                <c:pt idx="14" formatCode="_-* #,##0_-;\-* #,##0_-;_-* &quot;-&quot;??_-;_-@_-">
                  <c:v>56.069769088970475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10084.847654666828</c:v>
                </c:pt>
                <c:pt idx="17" formatCode="_-* #,##0_-;\-* #,##0_-;_-* &quot;-&quot;??_-;_-@_-">
                  <c:v>90.800888593903068</c:v>
                </c:pt>
                <c:pt idx="18" formatCode="_-* #,##0_-;\-* #,##0_-;_-* &quot;-&quot;??_-;_-@_-">
                  <c:v>2.7984587184950938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10589.543847737663</c:v>
                </c:pt>
                <c:pt idx="21" formatCode="_-* #,##0_-;\-* #,##0_-;_-* &quot;-&quot;??_-;_-@_-">
                  <c:v>1326.3431075814105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1-4180-9D5B-45256B170EB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praktijk'!$AQ$91:$AQ$117</c:f>
              <c:numCache>
                <c:formatCode>0%</c:formatCode>
                <c:ptCount val="27"/>
                <c:pt idx="0">
                  <c:v>0.7583333333333333</c:v>
                </c:pt>
                <c:pt idx="1">
                  <c:v>0.34166666666666667</c:v>
                </c:pt>
                <c:pt idx="2">
                  <c:v>0.27500000000000002</c:v>
                </c:pt>
                <c:pt idx="3">
                  <c:v>0.9916666666666667</c:v>
                </c:pt>
                <c:pt idx="4">
                  <c:v>0.97499999999999998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0.875</c:v>
                </c:pt>
                <c:pt idx="8">
                  <c:v>0.7416666666666667</c:v>
                </c:pt>
                <c:pt idx="9">
                  <c:v>0.65833333333333333</c:v>
                </c:pt>
                <c:pt idx="10">
                  <c:v>0.64166666666666672</c:v>
                </c:pt>
                <c:pt idx="11">
                  <c:v>0.52500000000000002</c:v>
                </c:pt>
                <c:pt idx="12">
                  <c:v>0.5083333333333333</c:v>
                </c:pt>
                <c:pt idx="13">
                  <c:v>0.49166666666666664</c:v>
                </c:pt>
                <c:pt idx="14">
                  <c:v>0.47499999999999998</c:v>
                </c:pt>
                <c:pt idx="15">
                  <c:v>0.32500000000000001</c:v>
                </c:pt>
                <c:pt idx="16">
                  <c:v>0.72499999999999998</c:v>
                </c:pt>
                <c:pt idx="17">
                  <c:v>0.54166666666666663</c:v>
                </c:pt>
                <c:pt idx="18">
                  <c:v>0.29166666666666669</c:v>
                </c:pt>
                <c:pt idx="19">
                  <c:v>8.3333333333333332E-3</c:v>
                </c:pt>
                <c:pt idx="20">
                  <c:v>0.95833333333333337</c:v>
                </c:pt>
                <c:pt idx="21">
                  <c:v>0.92500000000000004</c:v>
                </c:pt>
                <c:pt idx="22">
                  <c:v>0.89166666666666672</c:v>
                </c:pt>
                <c:pt idx="23">
                  <c:v>0.82499999999999996</c:v>
                </c:pt>
                <c:pt idx="24">
                  <c:v>0.80833333333333335</c:v>
                </c:pt>
                <c:pt idx="25">
                  <c:v>0.79166666666666663</c:v>
                </c:pt>
                <c:pt idx="26">
                  <c:v>0.69166666666666665</c:v>
                </c:pt>
              </c:numCache>
            </c:numRef>
          </c:xVal>
          <c:yVal>
            <c:numRef>
              <c:f>'Regressie &amp; praktijk'!$AM$91:$AM$117</c:f>
              <c:numCache>
                <c:formatCode>_-* #,##0_-;\-* #,##0_-;_-* "-"??_-;_-@_-</c:formatCode>
                <c:ptCount val="27"/>
                <c:pt idx="0">
                  <c:v>4233.9396274640121</c:v>
                </c:pt>
                <c:pt idx="1">
                  <c:v>404.84832943409248</c:v>
                </c:pt>
                <c:pt idx="2">
                  <c:v>172.47718414473809</c:v>
                </c:pt>
                <c:pt idx="3">
                  <c:v>238387.75807097025</c:v>
                </c:pt>
                <c:pt idx="4">
                  <c:v>209872.83975237879</c:v>
                </c:pt>
                <c:pt idx="5">
                  <c:v>105417.09958783313</c:v>
                </c:pt>
                <c:pt idx="6">
                  <c:v>27614.283811369685</c:v>
                </c:pt>
                <c:pt idx="7">
                  <c:v>12191.900461771173</c:v>
                </c:pt>
                <c:pt idx="8">
                  <c:v>3563.800837954208</c:v>
                </c:pt>
                <c:pt idx="9">
                  <c:v>1809.0003395183548</c:v>
                </c:pt>
                <c:pt idx="10">
                  <c:v>1712.6881542642177</c:v>
                </c:pt>
                <c:pt idx="11">
                  <c:v>879.9524157641506</c:v>
                </c:pt>
                <c:pt idx="12">
                  <c:v>794.33590326879369</c:v>
                </c:pt>
                <c:pt idx="13">
                  <c:v>699.3222848146155</c:v>
                </c:pt>
                <c:pt idx="14">
                  <c:v>661.35095449439814</c:v>
                </c:pt>
                <c:pt idx="15">
                  <c:v>377.18651730870596</c:v>
                </c:pt>
                <c:pt idx="16">
                  <c:v>3463.9147547018547</c:v>
                </c:pt>
                <c:pt idx="17">
                  <c:v>967.88235439076345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124298.78148698482</c:v>
                </c:pt>
                <c:pt idx="21">
                  <c:v>50550.650573108345</c:v>
                </c:pt>
                <c:pt idx="22">
                  <c:v>18319.391978837699</c:v>
                </c:pt>
                <c:pt idx="23">
                  <c:v>7830.2438162912349</c:v>
                </c:pt>
                <c:pt idx="24">
                  <c:v>6688.8813794179468</c:v>
                </c:pt>
                <c:pt idx="25">
                  <c:v>6460.8758504939196</c:v>
                </c:pt>
                <c:pt idx="26">
                  <c:v>2485.1506992847626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1-4180-9D5B-45256B17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7800"/>
        <c:axId val="553112504"/>
      </c:scatterChart>
      <c:valAx>
        <c:axId val="5531078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2504"/>
        <c:crossesAt val="0"/>
        <c:crossBetween val="midCat"/>
      </c:valAx>
      <c:valAx>
        <c:axId val="55311250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78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praktijk'!$AW$51:$AW$62</c:f>
              <c:numCache>
                <c:formatCode>0</c:formatCode>
                <c:ptCount val="12"/>
                <c:pt idx="0">
                  <c:v>1.4148754463534376</c:v>
                </c:pt>
                <c:pt idx="1">
                  <c:v>4.6703574039855882</c:v>
                </c:pt>
                <c:pt idx="2">
                  <c:v>13.711289498344373</c:v>
                </c:pt>
                <c:pt idx="3">
                  <c:v>5.3670466260330327</c:v>
                </c:pt>
                <c:pt idx="4">
                  <c:v>6.2835203245355791</c:v>
                </c:pt>
                <c:pt idx="5">
                  <c:v>647.7796298130994</c:v>
                </c:pt>
                <c:pt idx="6">
                  <c:v>0</c:v>
                </c:pt>
                <c:pt idx="7">
                  <c:v>56.069769088970475</c:v>
                </c:pt>
                <c:pt idx="8">
                  <c:v>5967.8334888520631</c:v>
                </c:pt>
                <c:pt idx="9">
                  <c:v>2.7984587184950938</c:v>
                </c:pt>
                <c:pt idx="10">
                  <c:v>0.76439555829233852</c:v>
                </c:pt>
                <c:pt idx="11">
                  <c:v>1326.3431075814105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C-45BF-BD7A-90036118BD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praktijk'!$AY$51:$AY$62</c:f>
              <c:numCache>
                <c:formatCode>0</c:formatCode>
                <c:ptCount val="12"/>
                <c:pt idx="0">
                  <c:v>4233.9396274640121</c:v>
                </c:pt>
                <c:pt idx="1">
                  <c:v>1412.6660301122608</c:v>
                </c:pt>
                <c:pt idx="2">
                  <c:v>10084.847654666828</c:v>
                </c:pt>
                <c:pt idx="3">
                  <c:v>5.3670466260330327</c:v>
                </c:pt>
                <c:pt idx="4">
                  <c:v>6.2835203245355791</c:v>
                </c:pt>
                <c:pt idx="5">
                  <c:v>238387.75807097025</c:v>
                </c:pt>
                <c:pt idx="6">
                  <c:v>0</c:v>
                </c:pt>
                <c:pt idx="7">
                  <c:v>209872.83975237879</c:v>
                </c:pt>
                <c:pt idx="8">
                  <c:v>5967.8334888520631</c:v>
                </c:pt>
                <c:pt idx="9">
                  <c:v>90.800888593903068</c:v>
                </c:pt>
                <c:pt idx="10">
                  <c:v>190.05029403782405</c:v>
                </c:pt>
                <c:pt idx="11">
                  <c:v>124298.78148698482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C-45BF-BD7A-90036118BD0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praktijk'!$AU$51:$AU$62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praktijk'!$AX$51:$AX$62</c:f>
              <c:numCache>
                <c:formatCode>0</c:formatCode>
                <c:ptCount val="12"/>
                <c:pt idx="0">
                  <c:v>803.31416568473435</c:v>
                </c:pt>
                <c:pt idx="1">
                  <c:v>809.84329202938613</c:v>
                </c:pt>
                <c:pt idx="2">
                  <c:v>1608.5855171854291</c:v>
                </c:pt>
                <c:pt idx="3">
                  <c:v>5.3670466260330327</c:v>
                </c:pt>
                <c:pt idx="4">
                  <c:v>6.2835203245355791</c:v>
                </c:pt>
                <c:pt idx="5">
                  <c:v>80475.08744589299</c:v>
                </c:pt>
                <c:pt idx="6">
                  <c:v>0</c:v>
                </c:pt>
                <c:pt idx="7">
                  <c:v>26153.194580931515</c:v>
                </c:pt>
                <c:pt idx="8">
                  <c:v>5967.8334888520631</c:v>
                </c:pt>
                <c:pt idx="9">
                  <c:v>46.799673656199083</c:v>
                </c:pt>
                <c:pt idx="10">
                  <c:v>71.684851800174357</c:v>
                </c:pt>
                <c:pt idx="11">
                  <c:v>25394.429193304204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C-45BF-BD7A-90036118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3110152"/>
        <c:axId val="553111328"/>
      </c:stockChart>
      <c:catAx>
        <c:axId val="55311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53111328"/>
        <c:crossesAt val="1"/>
        <c:auto val="1"/>
        <c:lblAlgn val="ctr"/>
        <c:lblOffset val="100"/>
        <c:noMultiLvlLbl val="0"/>
      </c:catAx>
      <c:valAx>
        <c:axId val="55311132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5311015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praktijk'!$AO$51:$AO$60</c:f>
              <c:numCache>
                <c:formatCode>0.00</c:formatCode>
                <c:ptCount val="10"/>
                <c:pt idx="0">
                  <c:v>3.8937596699329551E-4</c:v>
                </c:pt>
                <c:pt idx="1">
                  <c:v>1.1103400073574857E-3</c:v>
                </c:pt>
                <c:pt idx="2">
                  <c:v>4.794650031770961E-3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'Regressie &amp; praktijk'!$AM$51:$AM$60</c:f>
              <c:numCache>
                <c:formatCode>0.0</c:formatCode>
                <c:ptCount val="10"/>
                <c:pt idx="0">
                  <c:v>4.6703574039855882</c:v>
                </c:pt>
                <c:pt idx="1">
                  <c:v>47.55603908475225</c:v>
                </c:pt>
                <c:pt idx="2">
                  <c:v>23.951425635745043</c:v>
                </c:pt>
                <c:pt idx="3">
                  <c:v>471.25456330218827</c:v>
                </c:pt>
                <c:pt idx="4">
                  <c:v>2521.211913666707</c:v>
                </c:pt>
                <c:pt idx="5">
                  <c:v>13.711289498344373</c:v>
                </c:pt>
                <c:pt idx="6">
                  <c:v>24.094539122732726</c:v>
                </c:pt>
                <c:pt idx="7">
                  <c:v>366.08028221595873</c:v>
                </c:pt>
                <c:pt idx="8">
                  <c:v>1250.7742975711924</c:v>
                </c:pt>
                <c:pt idx="9">
                  <c:v>6.2835203245355791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6-4B04-87DF-53EDD9B48AC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'Regressie &amp; praktijk'!$AM$86:$AM$88</c:f>
              <c:numCache>
                <c:formatCode>0.0</c:formatCode>
                <c:ptCount val="3"/>
                <c:pt idx="0">
                  <c:v>67.747092368079521</c:v>
                </c:pt>
                <c:pt idx="1">
                  <c:v>1.8559150386026702</c:v>
                </c:pt>
                <c:pt idx="2">
                  <c:v>5967.8334888520631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6-4B04-87DF-53EDD9B48AC6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3.5368010019892434E-3</c:v>
                </c:pt>
                <c:pt idx="8">
                  <c:v>3.5368010019892434E-3</c:v>
                </c:pt>
                <c:pt idx="9">
                  <c:v>3.5368010019892434E-3</c:v>
                </c:pt>
                <c:pt idx="10">
                  <c:v>3.5368010019892434E-3</c:v>
                </c:pt>
                <c:pt idx="11">
                  <c:v>3.7896027678728369E-3</c:v>
                </c:pt>
                <c:pt idx="12">
                  <c:v>7.8394761437170803E-4</c:v>
                </c:pt>
                <c:pt idx="13">
                  <c:v>4.7020440251572329E-3</c:v>
                </c:pt>
                <c:pt idx="14">
                  <c:v>4.0880503144654089E-4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1.8015331141330192E-6</c:v>
                </c:pt>
                <c:pt idx="19">
                  <c:v>2.2663551401869158E-4</c:v>
                </c:pt>
                <c:pt idx="20">
                  <c:v>1.2616404066306146E-2</c:v>
                </c:pt>
                <c:pt idx="21">
                  <c:v>1.2200560118783279E-3</c:v>
                </c:pt>
              </c:numCache>
            </c:numRef>
          </c:xVal>
          <c:yVal>
            <c:numRef>
              <c:f>'Regressie &amp; praktijk'!$AM$62:$AM$84</c:f>
              <c:numCache>
                <c:formatCode>General</c:formatCode>
                <c:ptCount val="23"/>
                <c:pt idx="2" formatCode="_-* #,##0_-;\-* #,##0_-;_-* &quot;-&quot;??_-;_-@_-">
                  <c:v>5.3490625806081349</c:v>
                </c:pt>
                <c:pt idx="3" formatCode="_-* #,##0_-;\-* #,##0_-;_-* &quot;-&quot;??_-;_-@_-">
                  <c:v>1.4148754463534376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2389.7246368956089</c:v>
                </c:pt>
                <c:pt idx="12" formatCode="_-* #,##0_-;\-* #,##0_-;_-* &quot;-&quot;??_-;_-@_-">
                  <c:v>647.7796298130994</c:v>
                </c:pt>
                <c:pt idx="13" formatCode="_-* #,##0_-;\-* #,##0_-;_-* &quot;-&quot;??_-;_-@_-">
                  <c:v>494.89334321205655</c:v>
                </c:pt>
                <c:pt idx="14" formatCode="_-* #,##0_-;\-* #,##0_-;_-* &quot;-&quot;??_-;_-@_-">
                  <c:v>56.069769088970475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10084.847654666828</c:v>
                </c:pt>
                <c:pt idx="17" formatCode="_-* #,##0_-;\-* #,##0_-;_-* &quot;-&quot;??_-;_-@_-">
                  <c:v>90.800888593903068</c:v>
                </c:pt>
                <c:pt idx="18" formatCode="_-* #,##0_-;\-* #,##0_-;_-* &quot;-&quot;??_-;_-@_-">
                  <c:v>2.7984587184950938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10589.543847737663</c:v>
                </c:pt>
                <c:pt idx="21" formatCode="_-* #,##0_-;\-* #,##0_-;_-* &quot;-&quot;??_-;_-@_-">
                  <c:v>1326.3431075814105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6-4B04-87DF-53EDD9B48AC6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1.1564188032140223E-4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0.22327044025157233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2.9245283018867925E-3</c:v>
                </c:pt>
                <c:pt idx="12">
                  <c:v>2.6415094339622643E-3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2.1870333478253507E-3</c:v>
                </c:pt>
                <c:pt idx="18">
                  <c:v>6.3084112149532712E-3</c:v>
                </c:pt>
                <c:pt idx="19">
                  <c:v>2.570093457943925E-5</c:v>
                </c:pt>
                <c:pt idx="20">
                  <c:v>4.7825640888196158E-2</c:v>
                </c:pt>
                <c:pt idx="21">
                  <c:v>2.056502558192435E-2</c:v>
                </c:pt>
                <c:pt idx="22">
                  <c:v>7.6521025421113862E-3</c:v>
                </c:pt>
                <c:pt idx="23">
                  <c:v>3.2999692212855353E-3</c:v>
                </c:pt>
                <c:pt idx="24">
                  <c:v>2.8217128124035733E-3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'Regressie &amp; praktijk'!$AM$91:$AM$117</c:f>
              <c:numCache>
                <c:formatCode>_-* #,##0_-;\-* #,##0_-;_-* "-"??_-;_-@_-</c:formatCode>
                <c:ptCount val="27"/>
                <c:pt idx="0">
                  <c:v>4233.9396274640121</c:v>
                </c:pt>
                <c:pt idx="1">
                  <c:v>404.84832943409248</c:v>
                </c:pt>
                <c:pt idx="2">
                  <c:v>172.47718414473809</c:v>
                </c:pt>
                <c:pt idx="3">
                  <c:v>238387.75807097025</c:v>
                </c:pt>
                <c:pt idx="4">
                  <c:v>209872.83975237879</c:v>
                </c:pt>
                <c:pt idx="5">
                  <c:v>105417.09958783313</c:v>
                </c:pt>
                <c:pt idx="6">
                  <c:v>27614.283811369685</c:v>
                </c:pt>
                <c:pt idx="7">
                  <c:v>12191.900461771173</c:v>
                </c:pt>
                <c:pt idx="8">
                  <c:v>3563.800837954208</c:v>
                </c:pt>
                <c:pt idx="9">
                  <c:v>1809.0003395183548</c:v>
                </c:pt>
                <c:pt idx="10">
                  <c:v>1712.6881542642177</c:v>
                </c:pt>
                <c:pt idx="11">
                  <c:v>879.9524157641506</c:v>
                </c:pt>
                <c:pt idx="12">
                  <c:v>794.33590326879369</c:v>
                </c:pt>
                <c:pt idx="13">
                  <c:v>699.3222848146155</c:v>
                </c:pt>
                <c:pt idx="14">
                  <c:v>661.35095449439814</c:v>
                </c:pt>
                <c:pt idx="15">
                  <c:v>377.18651730870596</c:v>
                </c:pt>
                <c:pt idx="16">
                  <c:v>3463.9147547018547</c:v>
                </c:pt>
                <c:pt idx="17">
                  <c:v>967.88235439076345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124298.78148698482</c:v>
                </c:pt>
                <c:pt idx="21">
                  <c:v>50550.650573108345</c:v>
                </c:pt>
                <c:pt idx="22">
                  <c:v>18319.391978837699</c:v>
                </c:pt>
                <c:pt idx="23">
                  <c:v>7830.2438162912349</c:v>
                </c:pt>
                <c:pt idx="24">
                  <c:v>6688.8813794179468</c:v>
                </c:pt>
                <c:pt idx="25">
                  <c:v>6460.8758504939196</c:v>
                </c:pt>
                <c:pt idx="26">
                  <c:v>2485.1506992847626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6-4B04-87DF-53EDD9B4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4272"/>
        <c:axId val="553105448"/>
      </c:scatterChart>
      <c:valAx>
        <c:axId val="5531042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5448"/>
        <c:crossesAt val="0"/>
        <c:crossBetween val="midCat"/>
      </c:valAx>
      <c:valAx>
        <c:axId val="55310544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427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1995'!$AH$51:$AH$60</c:f>
              <c:numCache>
                <c:formatCode>0.00</c:formatCode>
                <c:ptCount val="10"/>
                <c:pt idx="0">
                  <c:v>0.87857142857142867</c:v>
                </c:pt>
                <c:pt idx="1">
                  <c:v>0.2442857142857143</c:v>
                </c:pt>
                <c:pt idx="2">
                  <c:v>1.5</c:v>
                </c:pt>
                <c:pt idx="3">
                  <c:v>1.07</c:v>
                </c:pt>
                <c:pt idx="4">
                  <c:v>0.2</c:v>
                </c:pt>
                <c:pt idx="5">
                  <c:v>13.683333333333332</c:v>
                </c:pt>
                <c:pt idx="6">
                  <c:v>7.7866666666666662</c:v>
                </c:pt>
                <c:pt idx="7">
                  <c:v>0.51249999999999996</c:v>
                </c:pt>
                <c:pt idx="8">
                  <c:v>0.15</c:v>
                </c:pt>
                <c:pt idx="9">
                  <c:v>0.12642857142857145</c:v>
                </c:pt>
              </c:numCache>
            </c:numRef>
          </c:xVal>
          <c:yVal>
            <c:numRef>
              <c:f>'vdBerg 1995'!$AJ$51:$AJ$60</c:f>
              <c:numCache>
                <c:formatCode>#,##0</c:formatCode>
                <c:ptCount val="10"/>
                <c:pt idx="0">
                  <c:v>0.30435878054925669</c:v>
                </c:pt>
                <c:pt idx="1">
                  <c:v>2.6606198034769455</c:v>
                </c:pt>
                <c:pt idx="2">
                  <c:v>11.48904006046863</c:v>
                </c:pt>
                <c:pt idx="3">
                  <c:v>144.0086383759853</c:v>
                </c:pt>
                <c:pt idx="4">
                  <c:v>144.0086383759853</c:v>
                </c:pt>
                <c:pt idx="5">
                  <c:v>57.678436453946638</c:v>
                </c:pt>
                <c:pt idx="6">
                  <c:v>57.678436453946638</c:v>
                </c:pt>
                <c:pt idx="7">
                  <c:v>57.678436453946638</c:v>
                </c:pt>
                <c:pt idx="8">
                  <c:v>57.678436453946638</c:v>
                </c:pt>
                <c:pt idx="9">
                  <c:v>1.128747795414462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C-4B68-AE34-B6141B77A003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1995'!$AH$86:$AH$88</c:f>
              <c:numCache>
                <c:formatCode>General</c:formatCode>
                <c:ptCount val="3"/>
                <c:pt idx="0">
                  <c:v>47</c:v>
                </c:pt>
                <c:pt idx="1">
                  <c:v>0.4</c:v>
                </c:pt>
                <c:pt idx="2" formatCode="#,##0">
                  <c:v>18</c:v>
                </c:pt>
              </c:numCache>
            </c:numRef>
          </c:xVal>
          <c:yVal>
            <c:numRef>
              <c:f>'vdBerg 1995'!$AJ$86:$AJ$88</c:f>
              <c:numCache>
                <c:formatCode>#,##0</c:formatCode>
                <c:ptCount val="3"/>
                <c:pt idx="0">
                  <c:v>544.21768707482977</c:v>
                </c:pt>
                <c:pt idx="1">
                  <c:v>0.49382716049382708</c:v>
                </c:pt>
                <c:pt idx="2">
                  <c:v>89.947089947089935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C-4B68-AE34-B6141B77A003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1995'!$AI$62:$AI$84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</c:numCache>
            </c:numRef>
          </c:xVal>
          <c:yVal>
            <c:numRef>
              <c:f>'vdBerg 1995'!$AJ$62:$AJ$84</c:f>
              <c:numCache>
                <c:formatCode>#,##0</c:formatCode>
                <c:ptCount val="23"/>
                <c:pt idx="2">
                  <c:v>0.3084656084656085</c:v>
                </c:pt>
                <c:pt idx="3">
                  <c:v>6.1728395061728385E-2</c:v>
                </c:pt>
                <c:pt idx="4">
                  <c:v>6.9108159665982782</c:v>
                </c:pt>
                <c:pt idx="5">
                  <c:v>6.9108159665982782</c:v>
                </c:pt>
                <c:pt idx="6">
                  <c:v>6.9108159665982782</c:v>
                </c:pt>
                <c:pt idx="7">
                  <c:v>2.7645682611669002</c:v>
                </c:pt>
                <c:pt idx="8">
                  <c:v>2.7645682611669002</c:v>
                </c:pt>
                <c:pt idx="9">
                  <c:v>2.7645682611669002</c:v>
                </c:pt>
                <c:pt idx="10">
                  <c:v>2.7645682611669002</c:v>
                </c:pt>
                <c:pt idx="11">
                  <c:v>31.970899470899464</c:v>
                </c:pt>
                <c:pt idx="12">
                  <c:v>6.6137566137566104</c:v>
                </c:pt>
                <c:pt idx="13">
                  <c:v>1.8836608717561094</c:v>
                </c:pt>
                <c:pt idx="14">
                  <c:v>0.16376921138825898</c:v>
                </c:pt>
                <c:pt idx="15">
                  <c:v>7.4577979339884096E-2</c:v>
                </c:pt>
                <c:pt idx="16">
                  <c:v>144.0086383759853</c:v>
                </c:pt>
                <c:pt idx="17">
                  <c:v>1.4293272864701432</c:v>
                </c:pt>
                <c:pt idx="18">
                  <c:v>3.3257747543461821E-2</c:v>
                </c:pt>
                <c:pt idx="19">
                  <c:v>2.4439405391786337</c:v>
                </c:pt>
                <c:pt idx="20">
                  <c:v>139.57671957671954</c:v>
                </c:pt>
                <c:pt idx="21">
                  <c:v>13.497619047619041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C-4B68-AE34-B6141B77A003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1995'!$AI$91:$AI$117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</c:v>
                </c:pt>
                <c:pt idx="19">
                  <c:v>0.2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xVal>
          <c:yVal>
            <c:numRef>
              <c:f>'vdBerg 1995'!$AJ$91:$AJ$117</c:f>
              <c:numCache>
                <c:formatCode>#,##0</c:formatCode>
                <c:ptCount val="27"/>
                <c:pt idx="0">
                  <c:v>84.65608465608463</c:v>
                </c:pt>
                <c:pt idx="1">
                  <c:v>8.1128747795414444</c:v>
                </c:pt>
                <c:pt idx="2">
                  <c:v>3.4567901234567895</c:v>
                </c:pt>
                <c:pt idx="3">
                  <c:v>899.47089947089921</c:v>
                </c:pt>
                <c:pt idx="4">
                  <c:v>138.57394809775758</c:v>
                </c:pt>
                <c:pt idx="5">
                  <c:v>89.443184681279902</c:v>
                </c:pt>
                <c:pt idx="6">
                  <c:v>31.494079113126723</c:v>
                </c:pt>
                <c:pt idx="7">
                  <c:v>15.117157974300827</c:v>
                </c:pt>
                <c:pt idx="8">
                  <c:v>4.6611237087427551</c:v>
                </c:pt>
                <c:pt idx="9">
                  <c:v>2.3935500125976312</c:v>
                </c:pt>
                <c:pt idx="10">
                  <c:v>2.2675736961451243</c:v>
                </c:pt>
                <c:pt idx="11">
                  <c:v>1.1715797430083144</c:v>
                </c:pt>
                <c:pt idx="12">
                  <c:v>1.0582010582010581</c:v>
                </c:pt>
                <c:pt idx="13">
                  <c:v>0.93222474174855108</c:v>
                </c:pt>
                <c:pt idx="14">
                  <c:v>0.88183421516754812</c:v>
                </c:pt>
                <c:pt idx="15">
                  <c:v>0.50390526581002759</c:v>
                </c:pt>
                <c:pt idx="16">
                  <c:v>18.543713781809018</c:v>
                </c:pt>
                <c:pt idx="17">
                  <c:v>5.2406147644242873</c:v>
                </c:pt>
                <c:pt idx="18">
                  <c:v>68.027210884353721</c:v>
                </c:pt>
                <c:pt idx="19">
                  <c:v>0.27714789619551522</c:v>
                </c:pt>
                <c:pt idx="20">
                  <c:v>529.100529100529</c:v>
                </c:pt>
                <c:pt idx="21">
                  <c:v>227.51322751322746</c:v>
                </c:pt>
                <c:pt idx="22">
                  <c:v>20.156210632401102</c:v>
                </c:pt>
                <c:pt idx="23">
                  <c:v>8.6923658352229776</c:v>
                </c:pt>
                <c:pt idx="24">
                  <c:v>0.59460821365583272</c:v>
                </c:pt>
                <c:pt idx="25">
                  <c:v>11.48904006046863</c:v>
                </c:pt>
                <c:pt idx="26">
                  <c:v>6.6515495086923639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C-4B68-AE34-B6141B77A003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'vdBerg 1995'!$AV$68:$AV$69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xVal>
          <c:yVal>
            <c:numRef>
              <c:f>'vdBerg 1995'!$AV$68:$AV$69</c:f>
              <c:numCache>
                <c:formatCode>General</c:formatCode>
                <c:ptCount val="2"/>
                <c:pt idx="0">
                  <c:v>0.01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BC-4B68-AE34-B6141B7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0344"/>
        <c:axId val="562236616"/>
      </c:scatterChart>
      <c:valAx>
        <c:axId val="562230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6616"/>
        <c:crossesAt val="0"/>
        <c:crossBetween val="midCat"/>
      </c:valAx>
      <c:valAx>
        <c:axId val="56223661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0344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praktijk'!$AH$51:$AH$60</c:f>
              <c:numCache>
                <c:formatCode>0.000000</c:formatCode>
                <c:ptCount val="10"/>
                <c:pt idx="0">
                  <c:v>8.7857142857142854E-4</c:v>
                </c:pt>
                <c:pt idx="1">
                  <c:v>2.442857142857143E-4</c:v>
                </c:pt>
                <c:pt idx="2">
                  <c:v>1.5E-3</c:v>
                </c:pt>
                <c:pt idx="3">
                  <c:v>1.07E-3</c:v>
                </c:pt>
                <c:pt idx="4">
                  <c:v>2.0000000000000001E-4</c:v>
                </c:pt>
                <c:pt idx="5">
                  <c:v>1.3683333333333332E-2</c:v>
                </c:pt>
                <c:pt idx="6">
                  <c:v>7.7866666666666666E-3</c:v>
                </c:pt>
                <c:pt idx="7">
                  <c:v>5.1249999999999993E-4</c:v>
                </c:pt>
                <c:pt idx="8">
                  <c:v>1.4999999999999999E-4</c:v>
                </c:pt>
                <c:pt idx="9">
                  <c:v>1.2642857142857142E-4</c:v>
                </c:pt>
              </c:numCache>
            </c:numRef>
          </c:xVal>
          <c:yVal>
            <c:numRef>
              <c:f>'Regressie &amp; praktijk'!$AJ$51:$AJ$60</c:f>
              <c:numCache>
                <c:formatCode>#,##0</c:formatCode>
                <c:ptCount val="10"/>
                <c:pt idx="0">
                  <c:v>4.1032425763587663E-3</c:v>
                </c:pt>
                <c:pt idx="1">
                  <c:v>1.161726097641805E-2</c:v>
                </c:pt>
                <c:pt idx="2">
                  <c:v>3.5927138453617564E-2</c:v>
                </c:pt>
                <c:pt idx="3">
                  <c:v>0.50424238273334143</c:v>
                </c:pt>
                <c:pt idx="4">
                  <c:v>0.50424238273334143</c:v>
                </c:pt>
                <c:pt idx="5">
                  <c:v>0.18761614463567883</c:v>
                </c:pt>
                <c:pt idx="6">
                  <c:v>0.18761614463567883</c:v>
                </c:pt>
                <c:pt idx="7">
                  <c:v>0.18761614463567883</c:v>
                </c:pt>
                <c:pt idx="8">
                  <c:v>0.18761614463567883</c:v>
                </c:pt>
                <c:pt idx="9">
                  <c:v>7.9441649817342671E-4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A-493E-84FC-E27690E318F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praktijk'!$AH$86:$AH$88</c:f>
              <c:numCache>
                <c:formatCode>General</c:formatCode>
                <c:ptCount val="3"/>
                <c:pt idx="0">
                  <c:v>4.7E-2</c:v>
                </c:pt>
                <c:pt idx="1">
                  <c:v>4.0000000000000002E-4</c:v>
                </c:pt>
                <c:pt idx="2" formatCode="#,##0.000">
                  <c:v>1.7999999999999999E-2</c:v>
                </c:pt>
              </c:numCache>
            </c:numRef>
          </c:xVal>
          <c:yVal>
            <c:numRef>
              <c:f>'Regressie &amp; praktijk'!$AJ$86:$AJ$88</c:f>
              <c:numCache>
                <c:formatCode>#,##0</c:formatCode>
                <c:ptCount val="3"/>
                <c:pt idx="0">
                  <c:v>3.1841133412997378</c:v>
                </c:pt>
                <c:pt idx="1">
                  <c:v>7.4236601544106808E-4</c:v>
                </c:pt>
                <c:pt idx="2">
                  <c:v>107.42100279933713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A-493E-84FC-E27690E318F6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praktijk'!$AI$62:$AI$84</c:f>
              <c:numCache>
                <c:formatCode>General</c:formatCode>
                <c:ptCount val="23"/>
                <c:pt idx="2">
                  <c:v>5.0000000000000002E-5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5.0000000000000002E-5</c:v>
                </c:pt>
                <c:pt idx="11">
                  <c:v>5.0000000000000002E-5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5.0000000000000002E-5</c:v>
                </c:pt>
                <c:pt idx="15">
                  <c:v>5.0000000000000002E-5</c:v>
                </c:pt>
                <c:pt idx="16">
                  <c:v>5.0000000000000002E-5</c:v>
                </c:pt>
                <c:pt idx="17">
                  <c:v>5.0000000000000002E-5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</c:numCache>
            </c:numRef>
          </c:xVal>
          <c:yVal>
            <c:numRef>
              <c:f>'Regressie &amp; praktijk'!$AJ$62:$AJ$84</c:f>
              <c:numCache>
                <c:formatCode>#,##0</c:formatCode>
                <c:ptCount val="23"/>
                <c:pt idx="2">
                  <c:v>2.6745312903040676E-4</c:v>
                </c:pt>
                <c:pt idx="3">
                  <c:v>7.0743772317671889E-5</c:v>
                </c:pt>
                <c:pt idx="4">
                  <c:v>7.0633301505613047E-2</c:v>
                </c:pt>
                <c:pt idx="5">
                  <c:v>7.0633301505613047E-2</c:v>
                </c:pt>
                <c:pt idx="6">
                  <c:v>7.0633301505613047E-2</c:v>
                </c:pt>
                <c:pt idx="7">
                  <c:v>2.7950973606179014E-2</c:v>
                </c:pt>
                <c:pt idx="8">
                  <c:v>2.7950973606179014E-2</c:v>
                </c:pt>
                <c:pt idx="9">
                  <c:v>2.7950973606179014E-2</c:v>
                </c:pt>
                <c:pt idx="10">
                  <c:v>2.7950973606179014E-2</c:v>
                </c:pt>
                <c:pt idx="11">
                  <c:v>0.11948623184478045</c:v>
                </c:pt>
                <c:pt idx="12">
                  <c:v>3.2388981490654972E-2</c:v>
                </c:pt>
                <c:pt idx="13">
                  <c:v>2.4744667160602828E-2</c:v>
                </c:pt>
                <c:pt idx="14">
                  <c:v>2.8034884544485238E-3</c:v>
                </c:pt>
                <c:pt idx="15">
                  <c:v>2.6835233130165166E-4</c:v>
                </c:pt>
                <c:pt idx="16">
                  <c:v>0.50424238273334143</c:v>
                </c:pt>
                <c:pt idx="17">
                  <c:v>4.5400444296951536E-3</c:v>
                </c:pt>
                <c:pt idx="18">
                  <c:v>1.399229359247547E-4</c:v>
                </c:pt>
                <c:pt idx="19">
                  <c:v>1.2119932902203349E-3</c:v>
                </c:pt>
                <c:pt idx="20">
                  <c:v>0.52947719238688318</c:v>
                </c:pt>
                <c:pt idx="21">
                  <c:v>6.6317155379070528E-2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A-493E-84FC-E27690E318F6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praktijk'!$AI$91:$AI$117</c:f>
              <c:numCache>
                <c:formatCode>General</c:formatCode>
                <c:ptCount val="27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</c:numCache>
            </c:numRef>
          </c:xVal>
          <c:yVal>
            <c:numRef>
              <c:f>'Regressie &amp; praktijk'!$AJ$91:$AJ$117</c:f>
              <c:numCache>
                <c:formatCode>#,##0</c:formatCode>
                <c:ptCount val="27"/>
                <c:pt idx="0">
                  <c:v>8.4678792549280249E-2</c:v>
                </c:pt>
                <c:pt idx="1">
                  <c:v>8.0969665886818504E-3</c:v>
                </c:pt>
                <c:pt idx="2">
                  <c:v>3.4495436828947622E-3</c:v>
                </c:pt>
                <c:pt idx="3">
                  <c:v>4.7677551614194051</c:v>
                </c:pt>
                <c:pt idx="4">
                  <c:v>4.1974567950475761</c:v>
                </c:pt>
                <c:pt idx="5">
                  <c:v>2.1083419917566628</c:v>
                </c:pt>
                <c:pt idx="6">
                  <c:v>0.55228567622739377</c:v>
                </c:pt>
                <c:pt idx="7">
                  <c:v>0.24383800923542345</c:v>
                </c:pt>
                <c:pt idx="8">
                  <c:v>7.1276016759084168E-2</c:v>
                </c:pt>
                <c:pt idx="9">
                  <c:v>3.6180006790367099E-2</c:v>
                </c:pt>
                <c:pt idx="10">
                  <c:v>3.4253763085284356E-2</c:v>
                </c:pt>
                <c:pt idx="11">
                  <c:v>1.7599048315283014E-2</c:v>
                </c:pt>
                <c:pt idx="12">
                  <c:v>1.5886718065375876E-2</c:v>
                </c:pt>
                <c:pt idx="13">
                  <c:v>1.3986445696292312E-2</c:v>
                </c:pt>
                <c:pt idx="14">
                  <c:v>1.3227019089887965E-2</c:v>
                </c:pt>
                <c:pt idx="15">
                  <c:v>7.54373034617412E-3</c:v>
                </c:pt>
                <c:pt idx="16">
                  <c:v>6.9278295094037101E-2</c:v>
                </c:pt>
                <c:pt idx="17">
                  <c:v>1.9357647087815271E-2</c:v>
                </c:pt>
                <c:pt idx="18">
                  <c:v>3.8010058807564813E-2</c:v>
                </c:pt>
                <c:pt idx="19">
                  <c:v>1.5287911165846771E-4</c:v>
                </c:pt>
                <c:pt idx="20">
                  <c:v>2.4859756297396967</c:v>
                </c:pt>
                <c:pt idx="21">
                  <c:v>1.0110130114621669</c:v>
                </c:pt>
                <c:pt idx="22">
                  <c:v>0.36638783957675403</c:v>
                </c:pt>
                <c:pt idx="23">
                  <c:v>0.1566048763258247</c:v>
                </c:pt>
                <c:pt idx="24">
                  <c:v>0.13377762758835895</c:v>
                </c:pt>
                <c:pt idx="25">
                  <c:v>0.12921751700987841</c:v>
                </c:pt>
                <c:pt idx="26">
                  <c:v>4.9703013985695252E-2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1A-493E-84FC-E27690E318F6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'Regressie &amp; praktijk'!$AV$68:$AV$69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1000</c:v>
                </c:pt>
              </c:numCache>
            </c:numRef>
          </c:xVal>
          <c:yVal>
            <c:numRef>
              <c:f>'Regressie &amp; praktijk'!$AV$68:$AV$69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1A-493E-84FC-E27690E3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8976"/>
        <c:axId val="553111720"/>
      </c:scatterChart>
      <c:valAx>
        <c:axId val="553108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Waarneming       C</a:t>
                </a:r>
                <a:r>
                  <a:rPr lang="en-US" b="1" baseline="-25000"/>
                  <a:t>d</a:t>
                </a:r>
                <a:r>
                  <a:rPr lang="en-US" b="1"/>
                  <a:t> </a:t>
                </a:r>
                <a:r>
                  <a:rPr lang="en-US" b="1">
                    <a:latin typeface="Calibri"/>
                  </a:rPr>
                  <a:t>(g/m</a:t>
                </a:r>
                <a:r>
                  <a:rPr lang="en-US" b="1" baseline="30000">
                    <a:latin typeface="Calibri"/>
                  </a:rPr>
                  <a:t>3</a:t>
                </a:r>
                <a:r>
                  <a:rPr lang="en-US" b="1">
                    <a:latin typeface="Calibri"/>
                  </a:rPr>
                  <a:t>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1720"/>
        <c:crossesAt val="0"/>
        <c:crossBetween val="midCat"/>
      </c:valAx>
      <c:valAx>
        <c:axId val="55311172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g/m</a:t>
                </a:r>
                <a:r>
                  <a:rPr lang="en-US" b="1" baseline="30000">
                    <a:latin typeface="Calibri"/>
                  </a:rPr>
                  <a:t>3</a:t>
                </a:r>
                <a:r>
                  <a:rPr lang="en-US" b="1" baseline="0">
                    <a:latin typeface="Calibri"/>
                  </a:rPr>
                  <a:t>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897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'Regressie &amp; praktijk'!$AM$51:$AM$60</c:f>
              <c:numCache>
                <c:formatCode>0.0</c:formatCode>
                <c:ptCount val="10"/>
                <c:pt idx="0">
                  <c:v>4.6703574039855882</c:v>
                </c:pt>
                <c:pt idx="1">
                  <c:v>47.55603908475225</c:v>
                </c:pt>
                <c:pt idx="2">
                  <c:v>23.951425635745043</c:v>
                </c:pt>
                <c:pt idx="3">
                  <c:v>471.25456330218827</c:v>
                </c:pt>
                <c:pt idx="4">
                  <c:v>2521.211913666707</c:v>
                </c:pt>
                <c:pt idx="5">
                  <c:v>13.711289498344373</c:v>
                </c:pt>
                <c:pt idx="6">
                  <c:v>24.094539122732726</c:v>
                </c:pt>
                <c:pt idx="7">
                  <c:v>366.08028221595873</c:v>
                </c:pt>
                <c:pt idx="8">
                  <c:v>1250.7742975711924</c:v>
                </c:pt>
                <c:pt idx="9">
                  <c:v>6.2835203245355791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A-401C-8DC8-FA83069AF82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'Regressie &amp; praktijk'!$AM$86:$AM$88</c:f>
              <c:numCache>
                <c:formatCode>0.0</c:formatCode>
                <c:ptCount val="3"/>
                <c:pt idx="0">
                  <c:v>67.747092368079521</c:v>
                </c:pt>
                <c:pt idx="1">
                  <c:v>1.8559150386026702</c:v>
                </c:pt>
                <c:pt idx="2">
                  <c:v>5967.8334888520631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A-401C-8DC8-FA83069AF82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'Regressie &amp; praktijk'!$AM$62:$AM$84</c:f>
              <c:numCache>
                <c:formatCode>General</c:formatCode>
                <c:ptCount val="23"/>
                <c:pt idx="2" formatCode="_-* #,##0_-;\-* #,##0_-;_-* &quot;-&quot;??_-;_-@_-">
                  <c:v>5.3490625806081349</c:v>
                </c:pt>
                <c:pt idx="3" formatCode="_-* #,##0_-;\-* #,##0_-;_-* &quot;-&quot;??_-;_-@_-">
                  <c:v>1.4148754463534376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2389.7246368956089</c:v>
                </c:pt>
                <c:pt idx="12" formatCode="_-* #,##0_-;\-* #,##0_-;_-* &quot;-&quot;??_-;_-@_-">
                  <c:v>647.7796298130994</c:v>
                </c:pt>
                <c:pt idx="13" formatCode="_-* #,##0_-;\-* #,##0_-;_-* &quot;-&quot;??_-;_-@_-">
                  <c:v>494.89334321205655</c:v>
                </c:pt>
                <c:pt idx="14" formatCode="_-* #,##0_-;\-* #,##0_-;_-* &quot;-&quot;??_-;_-@_-">
                  <c:v>56.069769088970475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10084.847654666828</c:v>
                </c:pt>
                <c:pt idx="17" formatCode="_-* #,##0_-;\-* #,##0_-;_-* &quot;-&quot;??_-;_-@_-">
                  <c:v>90.800888593903068</c:v>
                </c:pt>
                <c:pt idx="18" formatCode="_-* #,##0_-;\-* #,##0_-;_-* &quot;-&quot;??_-;_-@_-">
                  <c:v>2.7984587184950938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10589.543847737663</c:v>
                </c:pt>
                <c:pt idx="21" formatCode="_-* #,##0_-;\-* #,##0_-;_-* &quot;-&quot;??_-;_-@_-">
                  <c:v>1326.3431075814105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A-401C-8DC8-FA83069AF82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'Regressie &amp; praktijk'!$AM$91:$AM$117</c:f>
              <c:numCache>
                <c:formatCode>_-* #,##0_-;\-* #,##0_-;_-* "-"??_-;_-@_-</c:formatCode>
                <c:ptCount val="27"/>
                <c:pt idx="0">
                  <c:v>4233.9396274640121</c:v>
                </c:pt>
                <c:pt idx="1">
                  <c:v>404.84832943409248</c:v>
                </c:pt>
                <c:pt idx="2">
                  <c:v>172.47718414473809</c:v>
                </c:pt>
                <c:pt idx="3">
                  <c:v>238387.75807097025</c:v>
                </c:pt>
                <c:pt idx="4">
                  <c:v>209872.83975237879</c:v>
                </c:pt>
                <c:pt idx="5">
                  <c:v>105417.09958783313</c:v>
                </c:pt>
                <c:pt idx="6">
                  <c:v>27614.283811369685</c:v>
                </c:pt>
                <c:pt idx="7">
                  <c:v>12191.900461771173</c:v>
                </c:pt>
                <c:pt idx="8">
                  <c:v>3563.800837954208</c:v>
                </c:pt>
                <c:pt idx="9">
                  <c:v>1809.0003395183548</c:v>
                </c:pt>
                <c:pt idx="10">
                  <c:v>1712.6881542642177</c:v>
                </c:pt>
                <c:pt idx="11">
                  <c:v>879.9524157641506</c:v>
                </c:pt>
                <c:pt idx="12">
                  <c:v>794.33590326879369</c:v>
                </c:pt>
                <c:pt idx="13">
                  <c:v>699.3222848146155</c:v>
                </c:pt>
                <c:pt idx="14">
                  <c:v>661.35095449439814</c:v>
                </c:pt>
                <c:pt idx="15">
                  <c:v>377.18651730870596</c:v>
                </c:pt>
                <c:pt idx="16">
                  <c:v>3463.9147547018547</c:v>
                </c:pt>
                <c:pt idx="17">
                  <c:v>967.88235439076345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124298.78148698482</c:v>
                </c:pt>
                <c:pt idx="21">
                  <c:v>50550.650573108345</c:v>
                </c:pt>
                <c:pt idx="22">
                  <c:v>18319.391978837699</c:v>
                </c:pt>
                <c:pt idx="23">
                  <c:v>7830.2438162912349</c:v>
                </c:pt>
                <c:pt idx="24">
                  <c:v>6688.8813794179468</c:v>
                </c:pt>
                <c:pt idx="25">
                  <c:v>6460.8758504939196</c:v>
                </c:pt>
                <c:pt idx="26">
                  <c:v>2485.1506992847626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A-401C-8DC8-FA83069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4856"/>
        <c:axId val="553108584"/>
      </c:scatterChart>
      <c:valAx>
        <c:axId val="55311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8584"/>
        <c:crossesAt val="0"/>
        <c:crossBetween val="midCat"/>
      </c:valAx>
      <c:valAx>
        <c:axId val="5531085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485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praktijk'!$AS$51:$AS$60</c:f>
              <c:numCache>
                <c:formatCode>0%</c:formatCode>
                <c:ptCount val="10"/>
                <c:pt idx="0">
                  <c:v>0.11538461538461539</c:v>
                </c:pt>
                <c:pt idx="1">
                  <c:v>0.5</c:v>
                </c:pt>
                <c:pt idx="2">
                  <c:v>0.34615384615384615</c:v>
                </c:pt>
                <c:pt idx="3">
                  <c:v>0.73076923076923073</c:v>
                </c:pt>
                <c:pt idx="4">
                  <c:v>0.88461538461538458</c:v>
                </c:pt>
                <c:pt idx="5">
                  <c:v>0.26923076923076922</c:v>
                </c:pt>
                <c:pt idx="6">
                  <c:v>0.42307692307692307</c:v>
                </c:pt>
                <c:pt idx="7">
                  <c:v>0.65384615384615385</c:v>
                </c:pt>
                <c:pt idx="8">
                  <c:v>0.80769230769230771</c:v>
                </c:pt>
                <c:pt idx="9">
                  <c:v>0.19230769230769232</c:v>
                </c:pt>
              </c:numCache>
            </c:numRef>
          </c:xVal>
          <c:yVal>
            <c:numRef>
              <c:f>'Regressie &amp; praktijk'!$AM$51:$AM$60</c:f>
              <c:numCache>
                <c:formatCode>0.0</c:formatCode>
                <c:ptCount val="10"/>
                <c:pt idx="0">
                  <c:v>4.6703574039855882</c:v>
                </c:pt>
                <c:pt idx="1">
                  <c:v>47.55603908475225</c:v>
                </c:pt>
                <c:pt idx="2">
                  <c:v>23.951425635745043</c:v>
                </c:pt>
                <c:pt idx="3">
                  <c:v>471.25456330218827</c:v>
                </c:pt>
                <c:pt idx="4">
                  <c:v>2521.211913666707</c:v>
                </c:pt>
                <c:pt idx="5">
                  <c:v>13.711289498344373</c:v>
                </c:pt>
                <c:pt idx="6">
                  <c:v>24.094539122732726</c:v>
                </c:pt>
                <c:pt idx="7">
                  <c:v>366.08028221595873</c:v>
                </c:pt>
                <c:pt idx="8">
                  <c:v>1250.7742975711924</c:v>
                </c:pt>
                <c:pt idx="9">
                  <c:v>6.2835203245355791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4-4CF7-AEF4-16DCACC5237D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praktijk'!$AS$86:$AS$88</c:f>
              <c:numCache>
                <c:formatCode>0%</c:formatCode>
                <c:ptCount val="3"/>
                <c:pt idx="0">
                  <c:v>0.57692307692307687</c:v>
                </c:pt>
                <c:pt idx="1">
                  <c:v>3.8461538461538464E-2</c:v>
                </c:pt>
                <c:pt idx="2">
                  <c:v>0.96153846153846156</c:v>
                </c:pt>
              </c:numCache>
            </c:numRef>
          </c:xVal>
          <c:yVal>
            <c:numRef>
              <c:f>'Regressie &amp; praktijk'!$AM$86:$AM$88</c:f>
              <c:numCache>
                <c:formatCode>0.0</c:formatCode>
                <c:ptCount val="3"/>
                <c:pt idx="0">
                  <c:v>67.747092368079521</c:v>
                </c:pt>
                <c:pt idx="1">
                  <c:v>1.8559150386026702</c:v>
                </c:pt>
                <c:pt idx="2">
                  <c:v>5967.8334888520631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4-4CF7-AEF4-16DCACC5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3680"/>
        <c:axId val="553108192"/>
      </c:scatterChart>
      <c:valAx>
        <c:axId val="5531136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8192"/>
        <c:crossesAt val="0"/>
        <c:crossBetween val="midCat"/>
      </c:valAx>
      <c:valAx>
        <c:axId val="55310819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3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3"/>
          <c:order val="0"/>
          <c:tx>
            <c:v>meting &gt; DL (P0.1; P0.5; P0.9)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3.9380455510938155E-2"/>
                  <c:y val="4.5236663522443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19-4130-9F55-D1D8497DC51A}"/>
                </c:ext>
              </c:extLst>
            </c:dLbl>
            <c:dLbl>
              <c:idx val="1"/>
              <c:layout>
                <c:manualLayout>
                  <c:x val="-5.3700621151279333E-2"/>
                  <c:y val="4.1124239565857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19-4130-9F55-D1D8497DC51A}"/>
                </c:ext>
              </c:extLst>
            </c:dLbl>
            <c:dLbl>
              <c:idx val="2"/>
              <c:layout>
                <c:manualLayout>
                  <c:x val="-3.580041410085287E-2"/>
                  <c:y val="4.5236663522443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19-4130-9F55-D1D8497DC51A}"/>
                </c:ext>
              </c:extLst>
            </c:dLbl>
            <c:dLbl>
              <c:idx val="4"/>
              <c:layout>
                <c:manualLayout>
                  <c:x val="-5.728066256136459E-2"/>
                  <c:y val="-3.2899391652686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19-4130-9F55-D1D8497DC51A}"/>
                </c:ext>
              </c:extLst>
            </c:dLbl>
            <c:dLbl>
              <c:idx val="8"/>
              <c:layout>
                <c:manualLayout>
                  <c:x val="-6.4440745381535158E-2"/>
                  <c:y val="-4.1124239565857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19-4130-9F55-D1D8497DC51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'Regressie &amp; praktijk'!$DC$47:$DC$58</c:f>
              <c:numCache>
                <c:formatCode>0</c:formatCode>
                <c:ptCount val="12"/>
                <c:pt idx="0">
                  <c:v>35</c:v>
                </c:pt>
                <c:pt idx="1">
                  <c:v>343.73983739837399</c:v>
                </c:pt>
                <c:pt idx="2">
                  <c:v>574.468085106383</c:v>
                </c:pt>
                <c:pt idx="4">
                  <c:v>221.46892655367233</c:v>
                </c:pt>
                <c:pt idx="8">
                  <c:v>94.444444444444443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9-4130-9F55-D1D8497DC51A}"/>
            </c:ext>
          </c:extLst>
        </c:ser>
        <c:ser>
          <c:idx val="2"/>
          <c:order val="1"/>
          <c:tx>
            <c:v>Meting &lt; DL (P0.1; P0.5; P0.9)</c:v>
          </c:tx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praktijk'!$CL$47:$CL$58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praktijk'!$CX$47:$CX$58</c:f>
              <c:numCache>
                <c:formatCode>0</c:formatCode>
                <c:ptCount val="12"/>
                <c:pt idx="0">
                  <c:v>4900</c:v>
                </c:pt>
                <c:pt idx="1">
                  <c:v>54862.857142857145</c:v>
                </c:pt>
                <c:pt idx="2">
                  <c:v>46000</c:v>
                </c:pt>
                <c:pt idx="3">
                  <c:v>1479.9999999999998</c:v>
                </c:pt>
                <c:pt idx="5">
                  <c:v>12085</c:v>
                </c:pt>
                <c:pt idx="7">
                  <c:v>6824.9999999999991</c:v>
                </c:pt>
                <c:pt idx="9">
                  <c:v>483.74999999999994</c:v>
                </c:pt>
                <c:pt idx="10">
                  <c:v>1940</c:v>
                </c:pt>
                <c:pt idx="11">
                  <c:v>34500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19-4130-9F55-D1D8497DC51A}"/>
            </c:ext>
          </c:extLst>
        </c:ser>
        <c:ser>
          <c:idx val="0"/>
          <c:order val="2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praktijk'!$CL$47:$CL$58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praktijk'!$CW$47:$CW$58</c:f>
              <c:numCache>
                <c:formatCode>0</c:formatCode>
                <c:ptCount val="12"/>
                <c:pt idx="0">
                  <c:v>90.95999999999998</c:v>
                </c:pt>
                <c:pt idx="1">
                  <c:v>54862.857142857145</c:v>
                </c:pt>
                <c:pt idx="2">
                  <c:v>19600</c:v>
                </c:pt>
                <c:pt idx="3">
                  <c:v>1479.9999999999998</c:v>
                </c:pt>
                <c:pt idx="5">
                  <c:v>4417</c:v>
                </c:pt>
                <c:pt idx="7">
                  <c:v>2297.1499999999996</c:v>
                </c:pt>
                <c:pt idx="9">
                  <c:v>114.35000000000007</c:v>
                </c:pt>
                <c:pt idx="10">
                  <c:v>431.99999999999994</c:v>
                </c:pt>
                <c:pt idx="11">
                  <c:v>9820.42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19-4130-9F55-D1D8497DC51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praktijk'!$CL$47:$CL$58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praktijk'!$CY$47:$CY$58</c:f>
              <c:numCache>
                <c:formatCode>0</c:formatCode>
                <c:ptCount val="12"/>
                <c:pt idx="0">
                  <c:v>76599.999999999956</c:v>
                </c:pt>
                <c:pt idx="1">
                  <c:v>137145.14285714287</c:v>
                </c:pt>
                <c:pt idx="2">
                  <c:v>123514.05714285711</c:v>
                </c:pt>
                <c:pt idx="3">
                  <c:v>1479.9999999999998</c:v>
                </c:pt>
                <c:pt idx="5">
                  <c:v>682416.99999999977</c:v>
                </c:pt>
                <c:pt idx="7">
                  <c:v>286000.00000000023</c:v>
                </c:pt>
                <c:pt idx="9">
                  <c:v>853.14999999999986</c:v>
                </c:pt>
                <c:pt idx="10">
                  <c:v>11187.999999999998</c:v>
                </c:pt>
                <c:pt idx="11">
                  <c:v>271999.99999999977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19-4130-9F55-D1D8497DC51A}"/>
            </c:ext>
          </c:extLst>
        </c:ser>
        <c:ser>
          <c:idx val="4"/>
          <c:order val="4"/>
          <c:tx>
            <c:v>p0.1 &gt;DL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'Regressie &amp; praktijk'!$DB$47:$DB$58</c:f>
              <c:numCache>
                <c:formatCode>0</c:formatCode>
                <c:ptCount val="12"/>
                <c:pt idx="0">
                  <c:v>35</c:v>
                </c:pt>
                <c:pt idx="1">
                  <c:v>343.73983739837399</c:v>
                </c:pt>
                <c:pt idx="2">
                  <c:v>335.82271274351598</c:v>
                </c:pt>
                <c:pt idx="4">
                  <c:v>221.46892655367233</c:v>
                </c:pt>
                <c:pt idx="8">
                  <c:v>94.444444444444443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19-4130-9F55-D1D8497DC51A}"/>
            </c:ext>
          </c:extLst>
        </c:ser>
        <c:ser>
          <c:idx val="5"/>
          <c:order val="5"/>
          <c:tx>
            <c:v>p0.9 &gt;DL</c:v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'Regressie &amp; praktijk'!$DD$47:$DD$58</c:f>
              <c:numCache>
                <c:formatCode>0</c:formatCode>
                <c:ptCount val="12"/>
                <c:pt idx="0">
                  <c:v>35</c:v>
                </c:pt>
                <c:pt idx="1">
                  <c:v>343.73983739837399</c:v>
                </c:pt>
                <c:pt idx="2">
                  <c:v>22406.342857142845</c:v>
                </c:pt>
                <c:pt idx="4">
                  <c:v>221.46892655367233</c:v>
                </c:pt>
                <c:pt idx="8">
                  <c:v>94.444444444444443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19-4130-9F55-D1D8497D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4464"/>
        <c:axId val="553103488"/>
      </c:stockChart>
      <c:catAx>
        <c:axId val="5531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53103488"/>
        <c:crossesAt val="1"/>
        <c:auto val="1"/>
        <c:lblAlgn val="ctr"/>
        <c:lblOffset val="100"/>
        <c:noMultiLvlLbl val="0"/>
      </c:catAx>
      <c:valAx>
        <c:axId val="55310348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Cg / Cd (-)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76363410848E-3"/>
              <c:y val="0.2432731915615651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531144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2973645249932063"/>
          <c:y val="0.45901145131603999"/>
          <c:w val="0.51110405125493164"/>
          <c:h val="8.8622059941635967E-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79988868026"/>
          <c:y val="2.6910389097254659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praktijk'!$CH$51:$CH$60</c:f>
              <c:numCache>
                <c:formatCode>0%</c:formatCode>
                <c:ptCount val="10"/>
                <c:pt idx="0">
                  <c:v>0.15833333333333333</c:v>
                </c:pt>
                <c:pt idx="1">
                  <c:v>0.20833333333333334</c:v>
                </c:pt>
                <c:pt idx="2">
                  <c:v>0.19166666666666668</c:v>
                </c:pt>
                <c:pt idx="3">
                  <c:v>0.45833333333333331</c:v>
                </c:pt>
                <c:pt idx="4">
                  <c:v>0.67500000000000004</c:v>
                </c:pt>
                <c:pt idx="5">
                  <c:v>0.10833333333333334</c:v>
                </c:pt>
                <c:pt idx="6">
                  <c:v>0.17499999999999999</c:v>
                </c:pt>
                <c:pt idx="7">
                  <c:v>0.44166666666666665</c:v>
                </c:pt>
                <c:pt idx="8">
                  <c:v>0.60833333333333328</c:v>
                </c:pt>
                <c:pt idx="9">
                  <c:v>0.125</c:v>
                </c:pt>
              </c:numCache>
            </c:numRef>
          </c:xVal>
          <c:yVal>
            <c:numRef>
              <c:f>'Regressie &amp; praktijk'!$CD$51:$CD$60</c:f>
              <c:numCache>
                <c:formatCode>0.0</c:formatCode>
                <c:ptCount val="10"/>
                <c:pt idx="0">
                  <c:v>343.73983739837399</c:v>
                </c:pt>
                <c:pt idx="1">
                  <c:v>540.35087719298247</c:v>
                </c:pt>
                <c:pt idx="2">
                  <c:v>380.00000000000006</c:v>
                </c:pt>
                <c:pt idx="3">
                  <c:v>6677.2229639519355</c:v>
                </c:pt>
                <c:pt idx="4">
                  <c:v>35723.142857142855</c:v>
                </c:pt>
                <c:pt idx="5">
                  <c:v>209.12824082129811</c:v>
                </c:pt>
                <c:pt idx="6">
                  <c:v>367.49633072407045</c:v>
                </c:pt>
                <c:pt idx="7">
                  <c:v>5583.5540069686422</c:v>
                </c:pt>
                <c:pt idx="8">
                  <c:v>19077.142857142859</c:v>
                </c:pt>
                <c:pt idx="9">
                  <c:v>221.46892655367233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D-4F2A-BD19-3CA700655EC5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praktijk'!$CH$86:$CH$88</c:f>
              <c:numCache>
                <c:formatCode>0%</c:formatCode>
                <c:ptCount val="3"/>
                <c:pt idx="0">
                  <c:v>0.22500000000000001</c:v>
                </c:pt>
                <c:pt idx="1">
                  <c:v>3.3333333333333333E-2</c:v>
                </c:pt>
                <c:pt idx="2">
                  <c:v>7.4999999999999997E-2</c:v>
                </c:pt>
              </c:numCache>
            </c:numRef>
          </c:xVal>
          <c:yVal>
            <c:numRef>
              <c:f>'Regressie &amp; praktijk'!$CD$86:$CD$88</c:f>
              <c:numCache>
                <c:formatCode>0.0</c:formatCode>
                <c:ptCount val="3"/>
                <c:pt idx="0">
                  <c:v>574.468085106383</c:v>
                </c:pt>
                <c:pt idx="1">
                  <c:v>35</c:v>
                </c:pt>
                <c:pt idx="2">
                  <c:v>94.444444444444443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D-4F2A-BD19-3CA700655EC5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praktijk'!$CH$62:$CH$84</c:f>
              <c:numCache>
                <c:formatCode>General</c:formatCode>
                <c:ptCount val="23"/>
                <c:pt idx="2" formatCode="0%">
                  <c:v>9.166666666666666E-2</c:v>
                </c:pt>
                <c:pt idx="3" formatCode="0%">
                  <c:v>3.3333333333333333E-2</c:v>
                </c:pt>
                <c:pt idx="4" formatCode="0%">
                  <c:v>0.875</c:v>
                </c:pt>
                <c:pt idx="5" formatCode="0%">
                  <c:v>0.875</c:v>
                </c:pt>
                <c:pt idx="6" formatCode="0%">
                  <c:v>0.875</c:v>
                </c:pt>
                <c:pt idx="7" formatCode="0%">
                  <c:v>0.75</c:v>
                </c:pt>
                <c:pt idx="8" formatCode="0%">
                  <c:v>0.75</c:v>
                </c:pt>
                <c:pt idx="9" formatCode="0%">
                  <c:v>0.75</c:v>
                </c:pt>
                <c:pt idx="10" formatCode="0%">
                  <c:v>0.75</c:v>
                </c:pt>
                <c:pt idx="11" formatCode="0%">
                  <c:v>0.54166666666666663</c:v>
                </c:pt>
                <c:pt idx="12" formatCode="0%">
                  <c:v>0.30833333333333335</c:v>
                </c:pt>
                <c:pt idx="13" formatCode="0%">
                  <c:v>0.32500000000000001</c:v>
                </c:pt>
                <c:pt idx="14" formatCode="0%">
                  <c:v>0.14166666666666666</c:v>
                </c:pt>
                <c:pt idx="15" formatCode="0%">
                  <c:v>0.25833333333333336</c:v>
                </c:pt>
                <c:pt idx="16" formatCode="0%">
                  <c:v>0.90833333333333333</c:v>
                </c:pt>
                <c:pt idx="17" formatCode="0%">
                  <c:v>0.24166666666666667</c:v>
                </c:pt>
                <c:pt idx="18" formatCode="0%">
                  <c:v>8.3333333333333332E-3</c:v>
                </c:pt>
                <c:pt idx="19" formatCode="0%">
                  <c:v>0.27500000000000002</c:v>
                </c:pt>
                <c:pt idx="20" formatCode="0%">
                  <c:v>0.70833333333333337</c:v>
                </c:pt>
                <c:pt idx="21" formatCode="0%">
                  <c:v>0.42499999999999999</c:v>
                </c:pt>
              </c:numCache>
            </c:numRef>
          </c:xVal>
          <c:yVal>
            <c:numRef>
              <c:f>'Regressie &amp; praktijk'!$CD$62:$CD$84</c:f>
              <c:numCache>
                <c:formatCode>General</c:formatCode>
                <c:ptCount val="23"/>
                <c:pt idx="2" formatCode="_-* #,##0_-;\-* #,##0_-;_-* &quot;-&quot;??_-;_-@_-">
                  <c:v>174.9</c:v>
                </c:pt>
                <c:pt idx="3" formatCode="_-* #,##0_-;\-* #,##0_-;_-* &quot;-&quot;??_-;_-@_-">
                  <c:v>35</c:v>
                </c:pt>
                <c:pt idx="4" formatCode="_-* #,##0_-;\-* #,##0_-;_-* &quot;-&quot;??_-;_-@_-">
                  <c:v>137145.14285714287</c:v>
                </c:pt>
                <c:pt idx="5" formatCode="_-* #,##0_-;\-* #,##0_-;_-* &quot;-&quot;??_-;_-@_-">
                  <c:v>137145.14285714287</c:v>
                </c:pt>
                <c:pt idx="6" formatCode="_-* #,##0_-;\-* #,##0_-;_-* &quot;-&quot;??_-;_-@_-">
                  <c:v>137145.14285714287</c:v>
                </c:pt>
                <c:pt idx="7" formatCode="_-* #,##0_-;\-* #,##0_-;_-* &quot;-&quot;??_-;_-@_-">
                  <c:v>54862.857142857145</c:v>
                </c:pt>
                <c:pt idx="8" formatCode="_-* #,##0_-;\-* #,##0_-;_-* &quot;-&quot;??_-;_-@_-">
                  <c:v>54862.857142857145</c:v>
                </c:pt>
                <c:pt idx="9" formatCode="_-* #,##0_-;\-* #,##0_-;_-* &quot;-&quot;??_-;_-@_-">
                  <c:v>54862.857142857145</c:v>
                </c:pt>
                <c:pt idx="10" formatCode="_-* #,##0_-;\-* #,##0_-;_-* &quot;-&quot;??_-;_-@_-">
                  <c:v>54862.857142857145</c:v>
                </c:pt>
                <c:pt idx="11" formatCode="_-* #,##0_-;\-* #,##0_-;_-* &quot;-&quot;??_-;_-@_-">
                  <c:v>12085</c:v>
                </c:pt>
                <c:pt idx="12" formatCode="_-* #,##0_-;\-* #,##0_-;_-* &quot;-&quot;??_-;_-@_-">
                  <c:v>2500</c:v>
                </c:pt>
                <c:pt idx="13" formatCode="_-* #,##0_-;\-* #,##0_-;_-* &quot;-&quot;??_-;_-@_-">
                  <c:v>2990.5000000000005</c:v>
                </c:pt>
                <c:pt idx="14" formatCode="_-* #,##0_-;\-* #,##0_-;_-* &quot;-&quot;??_-;_-@_-">
                  <c:v>260</c:v>
                </c:pt>
                <c:pt idx="15" formatCode="_-* #,##0_-;\-* #,##0_-;_-* &quot;-&quot;??_-;_-@_-">
                  <c:v>1479.9999999999998</c:v>
                </c:pt>
                <c:pt idx="16" formatCode="_-* #,##0_-;\-* #,##0_-;_-* &quot;-&quot;??_-;_-@_-">
                  <c:v>142892.57142857142</c:v>
                </c:pt>
                <c:pt idx="17" formatCode="_-* #,##0_-;\-* #,##0_-;_-* &quot;-&quot;??_-;_-@_-">
                  <c:v>945.49999999999989</c:v>
                </c:pt>
                <c:pt idx="18" formatCode="_-* #,##0_-;\-* #,##0_-;_-* &quot;-&quot;??_-;_-@_-">
                  <c:v>22</c:v>
                </c:pt>
                <c:pt idx="19" formatCode="_-* #,##0_-;\-* #,##0_-;_-* &quot;-&quot;??_-;_-@_-">
                  <c:v>1940</c:v>
                </c:pt>
                <c:pt idx="20" formatCode="_-* #,##0_-;\-* #,##0_-;_-* &quot;-&quot;??_-;_-@_-">
                  <c:v>52759.999999999993</c:v>
                </c:pt>
                <c:pt idx="21" formatCode="_-* #,##0_-;\-* #,##0_-;_-* &quot;-&quot;??_-;_-@_-">
                  <c:v>5102.0999999999995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D-4F2A-BD19-3CA700655EC5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praktijk'!$CH$91:$CH$117</c:f>
              <c:numCache>
                <c:formatCode>0%</c:formatCode>
                <c:ptCount val="27"/>
                <c:pt idx="0">
                  <c:v>0.82499999999999996</c:v>
                </c:pt>
                <c:pt idx="1">
                  <c:v>0.52500000000000002</c:v>
                </c:pt>
                <c:pt idx="2">
                  <c:v>0.40833333333333333</c:v>
                </c:pt>
                <c:pt idx="3">
                  <c:v>0.9916666666666667</c:v>
                </c:pt>
                <c:pt idx="4">
                  <c:v>0.97499999999999998</c:v>
                </c:pt>
                <c:pt idx="5">
                  <c:v>0.94166666666666665</c:v>
                </c:pt>
                <c:pt idx="6">
                  <c:v>0.84166666666666667</c:v>
                </c:pt>
                <c:pt idx="7">
                  <c:v>0.79166666666666663</c:v>
                </c:pt>
                <c:pt idx="8">
                  <c:v>0.59166666666666667</c:v>
                </c:pt>
                <c:pt idx="9">
                  <c:v>0.49166666666666664</c:v>
                </c:pt>
                <c:pt idx="10">
                  <c:v>0.47499999999999998</c:v>
                </c:pt>
                <c:pt idx="11">
                  <c:v>0.39166666666666666</c:v>
                </c:pt>
                <c:pt idx="12">
                  <c:v>0.375</c:v>
                </c:pt>
                <c:pt idx="13">
                  <c:v>0.35833333333333334</c:v>
                </c:pt>
                <c:pt idx="14">
                  <c:v>0.34166666666666667</c:v>
                </c:pt>
                <c:pt idx="15">
                  <c:v>0.29166666666666669</c:v>
                </c:pt>
                <c:pt idx="16">
                  <c:v>0.69166666666666665</c:v>
                </c:pt>
                <c:pt idx="17">
                  <c:v>0.55833333333333335</c:v>
                </c:pt>
                <c:pt idx="18">
                  <c:v>0.57499999999999996</c:v>
                </c:pt>
                <c:pt idx="19">
                  <c:v>5.8333333333333334E-2</c:v>
                </c:pt>
                <c:pt idx="20">
                  <c:v>0.95833333333333337</c:v>
                </c:pt>
                <c:pt idx="21">
                  <c:v>0.92500000000000004</c:v>
                </c:pt>
                <c:pt idx="22">
                  <c:v>0.80833333333333335</c:v>
                </c:pt>
                <c:pt idx="23">
                  <c:v>0.65833333333333333</c:v>
                </c:pt>
                <c:pt idx="24">
                  <c:v>0.64166666666666672</c:v>
                </c:pt>
                <c:pt idx="25">
                  <c:v>0.625</c:v>
                </c:pt>
                <c:pt idx="26">
                  <c:v>0.5083333333333333</c:v>
                </c:pt>
              </c:numCache>
            </c:numRef>
          </c:xVal>
          <c:yVal>
            <c:numRef>
              <c:f>'Regressie &amp; praktijk'!$CD$91:$CD$117</c:f>
              <c:numCache>
                <c:formatCode>_-* #,##0_-;\-* #,##0_-;_-* "-"??_-;_-@_-</c:formatCode>
                <c:ptCount val="27"/>
                <c:pt idx="0">
                  <c:v>119999.99999999999</c:v>
                </c:pt>
                <c:pt idx="1">
                  <c:v>11500</c:v>
                </c:pt>
                <c:pt idx="2">
                  <c:v>4900</c:v>
                </c:pt>
                <c:pt idx="3">
                  <c:v>849999.99999999988</c:v>
                </c:pt>
                <c:pt idx="4">
                  <c:v>550000</c:v>
                </c:pt>
                <c:pt idx="5">
                  <c:v>355000</c:v>
                </c:pt>
                <c:pt idx="6">
                  <c:v>124999.99999999999</c:v>
                </c:pt>
                <c:pt idx="7">
                  <c:v>59999.999999999993</c:v>
                </c:pt>
                <c:pt idx="8">
                  <c:v>18500</c:v>
                </c:pt>
                <c:pt idx="9">
                  <c:v>9500</c:v>
                </c:pt>
                <c:pt idx="10">
                  <c:v>8999.9999999999982</c:v>
                </c:pt>
                <c:pt idx="11">
                  <c:v>4650</c:v>
                </c:pt>
                <c:pt idx="12">
                  <c:v>4200</c:v>
                </c:pt>
                <c:pt idx="13">
                  <c:v>3699.9999999999995</c:v>
                </c:pt>
                <c:pt idx="14">
                  <c:v>3500</c:v>
                </c:pt>
                <c:pt idx="15">
                  <c:v>1999.9999999999998</c:v>
                </c:pt>
                <c:pt idx="16">
                  <c:v>46000</c:v>
                </c:pt>
                <c:pt idx="17">
                  <c:v>13000</c:v>
                </c:pt>
                <c:pt idx="18">
                  <c:v>13500</c:v>
                </c:pt>
                <c:pt idx="19">
                  <c:v>54.999999999999993</c:v>
                </c:pt>
                <c:pt idx="20">
                  <c:v>499999.99999999994</c:v>
                </c:pt>
                <c:pt idx="21">
                  <c:v>214999.99999999997</c:v>
                </c:pt>
                <c:pt idx="22">
                  <c:v>80000</c:v>
                </c:pt>
                <c:pt idx="23">
                  <c:v>34500</c:v>
                </c:pt>
                <c:pt idx="24">
                  <c:v>29499.999999999996</c:v>
                </c:pt>
                <c:pt idx="25">
                  <c:v>28500</c:v>
                </c:pt>
                <c:pt idx="26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D-4F2A-BD19-3CA70065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9368"/>
        <c:axId val="553110544"/>
      </c:scatterChart>
      <c:valAx>
        <c:axId val="5531093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0544"/>
        <c:crossesAt val="0"/>
        <c:crossBetween val="midCat"/>
      </c:valAx>
      <c:valAx>
        <c:axId val="55311054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Cg / Cd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93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376734949035569"/>
          <c:y val="4.7504285953200658E-2"/>
          <c:w val="0.33084692815382882"/>
          <c:h val="0.2299459672176812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praktijk'!$CJ$51:$CJ$60</c:f>
              <c:numCache>
                <c:formatCode>0%</c:formatCode>
                <c:ptCount val="10"/>
                <c:pt idx="0">
                  <c:v>0.34615384615384615</c:v>
                </c:pt>
                <c:pt idx="1">
                  <c:v>0.57692307692307687</c:v>
                </c:pt>
                <c:pt idx="2">
                  <c:v>0.5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0.19230769230769232</c:v>
                </c:pt>
                <c:pt idx="6">
                  <c:v>0.42307692307692307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0.26923076923076922</c:v>
                </c:pt>
              </c:numCache>
            </c:numRef>
          </c:xVal>
          <c:yVal>
            <c:numRef>
              <c:f>'Regressie &amp; praktijk'!$CD$51:$CD$60</c:f>
              <c:numCache>
                <c:formatCode>0.0</c:formatCode>
                <c:ptCount val="10"/>
                <c:pt idx="0">
                  <c:v>343.73983739837399</c:v>
                </c:pt>
                <c:pt idx="1">
                  <c:v>540.35087719298247</c:v>
                </c:pt>
                <c:pt idx="2">
                  <c:v>380.00000000000006</c:v>
                </c:pt>
                <c:pt idx="3">
                  <c:v>6677.2229639519355</c:v>
                </c:pt>
                <c:pt idx="4">
                  <c:v>35723.142857142855</c:v>
                </c:pt>
                <c:pt idx="5">
                  <c:v>209.12824082129811</c:v>
                </c:pt>
                <c:pt idx="6">
                  <c:v>367.49633072407045</c:v>
                </c:pt>
                <c:pt idx="7">
                  <c:v>5583.5540069686422</c:v>
                </c:pt>
                <c:pt idx="8">
                  <c:v>19077.142857142859</c:v>
                </c:pt>
                <c:pt idx="9">
                  <c:v>221.46892655367233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6-461C-A794-7359656FC392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praktijk'!$CJ$86:$CJ$88</c:f>
              <c:numCache>
                <c:formatCode>0%</c:formatCode>
                <c:ptCount val="3"/>
                <c:pt idx="0">
                  <c:v>0.65384615384615385</c:v>
                </c:pt>
                <c:pt idx="1">
                  <c:v>3.8461538461538464E-2</c:v>
                </c:pt>
                <c:pt idx="2">
                  <c:v>0.11538461538461539</c:v>
                </c:pt>
              </c:numCache>
            </c:numRef>
          </c:xVal>
          <c:yVal>
            <c:numRef>
              <c:f>'Regressie &amp; praktijk'!$CD$86:$CD$88</c:f>
              <c:numCache>
                <c:formatCode>0.0</c:formatCode>
                <c:ptCount val="3"/>
                <c:pt idx="0">
                  <c:v>574.468085106383</c:v>
                </c:pt>
                <c:pt idx="1">
                  <c:v>35</c:v>
                </c:pt>
                <c:pt idx="2">
                  <c:v>94.444444444444443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6-461C-A794-7359656F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5840"/>
        <c:axId val="553110936"/>
      </c:scatterChart>
      <c:valAx>
        <c:axId val="55310584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0936"/>
        <c:crossesAt val="0"/>
        <c:crossBetween val="midCat"/>
      </c:valAx>
      <c:valAx>
        <c:axId val="553110936"/>
        <c:scaling>
          <c:logBase val="10"/>
          <c:orientation val="minMax"/>
          <c:max val="10000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Cg/ Cd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5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8666323837411"/>
          <c:y val="2.6910416666666666E-2"/>
          <c:w val="0.52625777777777782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praktijk'!$EA$51:$EA$60</c:f>
              <c:numCache>
                <c:formatCode>General</c:formatCode>
                <c:ptCount val="10"/>
                <c:pt idx="0">
                  <c:v>15.1</c:v>
                </c:pt>
                <c:pt idx="1">
                  <c:v>3.3000000000000003</c:v>
                </c:pt>
                <c:pt idx="2">
                  <c:v>14.250000000000002</c:v>
                </c:pt>
                <c:pt idx="3">
                  <c:v>178.61571428571426</c:v>
                </c:pt>
                <c:pt idx="4">
                  <c:v>178.61571428571426</c:v>
                </c:pt>
                <c:pt idx="5">
                  <c:v>71.539285714285711</c:v>
                </c:pt>
                <c:pt idx="6">
                  <c:v>71.539285714285711</c:v>
                </c:pt>
                <c:pt idx="7">
                  <c:v>71.539285714285711</c:v>
                </c:pt>
                <c:pt idx="8">
                  <c:v>71.539285714285711</c:v>
                </c:pt>
                <c:pt idx="9">
                  <c:v>5.6000000000000001E-2</c:v>
                </c:pt>
              </c:numCache>
            </c:numRef>
          </c:xVal>
          <c:yVal>
            <c:numRef>
              <c:f>'Regressie &amp; praktijk'!$EB$51:$EB$60</c:f>
              <c:numCache>
                <c:formatCode>General</c:formatCode>
                <c:ptCount val="10"/>
                <c:pt idx="0">
                  <c:v>0.87857142857142856</c:v>
                </c:pt>
                <c:pt idx="1">
                  <c:v>2.4428571428571428E-2</c:v>
                </c:pt>
                <c:pt idx="2">
                  <c:v>0.15</c:v>
                </c:pt>
                <c:pt idx="3">
                  <c:v>0.107</c:v>
                </c:pt>
                <c:pt idx="4">
                  <c:v>0.02</c:v>
                </c:pt>
                <c:pt idx="5">
                  <c:v>1.3683333333333332</c:v>
                </c:pt>
                <c:pt idx="6">
                  <c:v>0.77866666666666662</c:v>
                </c:pt>
                <c:pt idx="7">
                  <c:v>5.124999999999999E-2</c:v>
                </c:pt>
                <c:pt idx="8">
                  <c:v>1.4999999999999998E-2</c:v>
                </c:pt>
                <c:pt idx="9">
                  <c:v>0.12642857142857142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5-4A89-9754-B251B7957074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praktijk'!$EA$86:$EA$88</c:f>
              <c:numCache>
                <c:formatCode>General</c:formatCode>
                <c:ptCount val="3"/>
                <c:pt idx="0">
                  <c:v>675</c:v>
                </c:pt>
                <c:pt idx="1">
                  <c:v>0.46666666666666667</c:v>
                </c:pt>
                <c:pt idx="2">
                  <c:v>340</c:v>
                </c:pt>
              </c:numCache>
            </c:numRef>
          </c:xVal>
          <c:yVal>
            <c:numRef>
              <c:f>'Regressie &amp; praktijk'!$EB$86:$EB$88</c:f>
              <c:numCache>
                <c:formatCode>General</c:formatCode>
                <c:ptCount val="3"/>
                <c:pt idx="0">
                  <c:v>4.7</c:v>
                </c:pt>
                <c:pt idx="1">
                  <c:v>0.4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5-4A89-9754-B251B7957074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praktijk'!$EA$62:$EA$84</c:f>
              <c:numCache>
                <c:formatCode>General</c:formatCode>
                <c:ptCount val="23"/>
                <c:pt idx="2">
                  <c:v>0.29150000000000004</c:v>
                </c:pt>
                <c:pt idx="3">
                  <c:v>5.8333333333333334E-2</c:v>
                </c:pt>
                <c:pt idx="4">
                  <c:v>342.86285714285719</c:v>
                </c:pt>
                <c:pt idx="5">
                  <c:v>342.86285714285719</c:v>
                </c:pt>
                <c:pt idx="6">
                  <c:v>342.86285714285719</c:v>
                </c:pt>
                <c:pt idx="7">
                  <c:v>137.15714285714287</c:v>
                </c:pt>
                <c:pt idx="8">
                  <c:v>137.15714285714287</c:v>
                </c:pt>
                <c:pt idx="9">
                  <c:v>137.15714285714287</c:v>
                </c:pt>
                <c:pt idx="10">
                  <c:v>137.15714285714287</c:v>
                </c:pt>
                <c:pt idx="11">
                  <c:v>4.0283333333333342</c:v>
                </c:pt>
                <c:pt idx="12">
                  <c:v>0.83333333333333337</c:v>
                </c:pt>
                <c:pt idx="13">
                  <c:v>2.1360714285714288</c:v>
                </c:pt>
                <c:pt idx="14">
                  <c:v>0.18571428571428572</c:v>
                </c:pt>
                <c:pt idx="15">
                  <c:v>3.6999999999999997</c:v>
                </c:pt>
                <c:pt idx="16">
                  <c:v>178.61571428571426</c:v>
                </c:pt>
                <c:pt idx="17">
                  <c:v>4.7274999999999998E-2</c:v>
                </c:pt>
                <c:pt idx="18">
                  <c:v>1.1000000000000001E-3</c:v>
                </c:pt>
                <c:pt idx="19">
                  <c:v>19.399999999999999</c:v>
                </c:pt>
                <c:pt idx="20">
                  <c:v>37.685714285714283</c:v>
                </c:pt>
                <c:pt idx="21">
                  <c:v>3.644357142857142</c:v>
                </c:pt>
              </c:numCache>
            </c:numRef>
          </c:xVal>
          <c:yVal>
            <c:numRef>
              <c:f>'Regressie &amp; praktijk'!$EB$62:$EB$84</c:f>
              <c:numCache>
                <c:formatCode>General</c:formatCode>
                <c:ptCount val="23"/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0.5</c:v>
                </c:pt>
                <c:pt idx="14">
                  <c:v>0.5</c:v>
                </c:pt>
                <c:pt idx="15">
                  <c:v>0.05</c:v>
                </c:pt>
                <c:pt idx="16">
                  <c:v>5.0000000000000001E-3</c:v>
                </c:pt>
                <c:pt idx="17">
                  <c:v>0.05</c:v>
                </c:pt>
                <c:pt idx="18">
                  <c:v>0.05</c:v>
                </c:pt>
                <c:pt idx="19">
                  <c:v>0.5</c:v>
                </c:pt>
                <c:pt idx="20">
                  <c:v>0.05</c:v>
                </c:pt>
                <c:pt idx="2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5-4A89-9754-B251B7957074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praktijk'!$EA$91:$EA$117</c:f>
              <c:numCache>
                <c:formatCode>General</c:formatCode>
                <c:ptCount val="27"/>
                <c:pt idx="0">
                  <c:v>80</c:v>
                </c:pt>
                <c:pt idx="1">
                  <c:v>7.666666666666667</c:v>
                </c:pt>
                <c:pt idx="2">
                  <c:v>3.2666666666666671</c:v>
                </c:pt>
                <c:pt idx="3">
                  <c:v>113.33333333333334</c:v>
                </c:pt>
                <c:pt idx="4">
                  <c:v>157.14285714285714</c:v>
                </c:pt>
                <c:pt idx="5">
                  <c:v>101.42857142857143</c:v>
                </c:pt>
                <c:pt idx="6">
                  <c:v>35.714285714285708</c:v>
                </c:pt>
                <c:pt idx="7">
                  <c:v>17.142857142857142</c:v>
                </c:pt>
                <c:pt idx="8">
                  <c:v>5.2857142857142856</c:v>
                </c:pt>
                <c:pt idx="9">
                  <c:v>2.714285714285714</c:v>
                </c:pt>
                <c:pt idx="10">
                  <c:v>2.5714285714285712</c:v>
                </c:pt>
                <c:pt idx="11">
                  <c:v>1.3285714285714285</c:v>
                </c:pt>
                <c:pt idx="12">
                  <c:v>1.2</c:v>
                </c:pt>
                <c:pt idx="13">
                  <c:v>1.0571428571428569</c:v>
                </c:pt>
                <c:pt idx="14">
                  <c:v>1</c:v>
                </c:pt>
                <c:pt idx="15">
                  <c:v>0.5714285714285714</c:v>
                </c:pt>
                <c:pt idx="16">
                  <c:v>23</c:v>
                </c:pt>
                <c:pt idx="17">
                  <c:v>6.5</c:v>
                </c:pt>
                <c:pt idx="18">
                  <c:v>540</c:v>
                </c:pt>
                <c:pt idx="19">
                  <c:v>2.1999999999999997</c:v>
                </c:pt>
                <c:pt idx="20">
                  <c:v>142.85714285714283</c:v>
                </c:pt>
                <c:pt idx="21">
                  <c:v>61.428571428571423</c:v>
                </c:pt>
                <c:pt idx="22">
                  <c:v>22.857142857142858</c:v>
                </c:pt>
                <c:pt idx="23">
                  <c:v>9.8571428571428577</c:v>
                </c:pt>
                <c:pt idx="24">
                  <c:v>8.428571428571427</c:v>
                </c:pt>
                <c:pt idx="25">
                  <c:v>8.1428571428571423</c:v>
                </c:pt>
                <c:pt idx="26">
                  <c:v>3.1428571428571428</c:v>
                </c:pt>
              </c:numCache>
            </c:numRef>
          </c:xVal>
          <c:yVal>
            <c:numRef>
              <c:f>'Regressie &amp; praktijk'!$EB$91:$EB$117</c:f>
              <c:numCache>
                <c:formatCode>General</c:formatCode>
                <c:ptCount val="2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2E-3</c:v>
                </c:pt>
                <c:pt idx="17">
                  <c:v>2E-3</c:v>
                </c:pt>
                <c:pt idx="18">
                  <c:v>2</c:v>
                </c:pt>
                <c:pt idx="19">
                  <c:v>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5-4A89-9754-B251B795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6624"/>
        <c:axId val="553109760"/>
      </c:scatterChart>
      <c:valAx>
        <c:axId val="55310662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</a:t>
                </a:r>
                <a:r>
                  <a:rPr lang="en-US" b="1" baseline="-25000"/>
                  <a:t>g</a:t>
                </a:r>
                <a:r>
                  <a:rPr lang="en-US" b="1"/>
                  <a:t> / I-waarde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9760"/>
        <c:crossesAt val="1.0000000000000005E-9"/>
        <c:crossBetween val="midCat"/>
        <c:majorUnit val="10"/>
      </c:valAx>
      <c:valAx>
        <c:axId val="55310976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Cdrinkwater / Drinkwaternorm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06624"/>
        <c:crossesAt val="1.0000000000000005E-9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70033291666666664"/>
          <c:y val="5.5966253407274492E-2"/>
          <c:w val="0.27916166666666664"/>
          <c:h val="0.231561803973964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praktijk'!$BO$51:$BO$60</c:f>
              <c:numCache>
                <c:formatCode>0%</c:formatCode>
                <c:ptCount val="10"/>
                <c:pt idx="0">
                  <c:v>0.15833333333333333</c:v>
                </c:pt>
                <c:pt idx="1">
                  <c:v>0.20833333333333334</c:v>
                </c:pt>
                <c:pt idx="2">
                  <c:v>0.125</c:v>
                </c:pt>
                <c:pt idx="3">
                  <c:v>0.34166666666666667</c:v>
                </c:pt>
                <c:pt idx="4">
                  <c:v>0.60833333333333328</c:v>
                </c:pt>
                <c:pt idx="5">
                  <c:v>7.4999999999999997E-2</c:v>
                </c:pt>
                <c:pt idx="6">
                  <c:v>0.10833333333333334</c:v>
                </c:pt>
                <c:pt idx="7">
                  <c:v>0.30833333333333335</c:v>
                </c:pt>
                <c:pt idx="8">
                  <c:v>0.52500000000000002</c:v>
                </c:pt>
                <c:pt idx="9">
                  <c:v>9.166666666666666E-2</c:v>
                </c:pt>
              </c:numCache>
            </c:numRef>
          </c:xVal>
          <c:y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3-4A44-94F7-FC727EB7592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praktijk'!$BO$86:$BO$88</c:f>
              <c:numCache>
                <c:formatCode>0%</c:formatCode>
                <c:ptCount val="3"/>
                <c:pt idx="0">
                  <c:v>0.22500000000000001</c:v>
                </c:pt>
                <c:pt idx="1">
                  <c:v>5.8333333333333334E-2</c:v>
                </c:pt>
                <c:pt idx="2">
                  <c:v>0.24166666666666667</c:v>
                </c:pt>
              </c:numCache>
            </c:numRef>
          </c:xVal>
          <c:y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3-4A44-94F7-FC727EB7592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praktijk'!$BO$62:$BO$84</c:f>
              <c:numCache>
                <c:formatCode>General</c:formatCode>
                <c:ptCount val="23"/>
                <c:pt idx="2" formatCode="0%">
                  <c:v>0.14166666666666666</c:v>
                </c:pt>
                <c:pt idx="3" formatCode="0%">
                  <c:v>4.1666666666666664E-2</c:v>
                </c:pt>
                <c:pt idx="4" formatCode="0%">
                  <c:v>0.79166666666666663</c:v>
                </c:pt>
                <c:pt idx="5" formatCode="0%">
                  <c:v>0.79166666666666663</c:v>
                </c:pt>
                <c:pt idx="6" formatCode="0%">
                  <c:v>0.79166666666666663</c:v>
                </c:pt>
                <c:pt idx="7" formatCode="0%">
                  <c:v>0.68333333333333335</c:v>
                </c:pt>
                <c:pt idx="8" formatCode="0%">
                  <c:v>0.68333333333333335</c:v>
                </c:pt>
                <c:pt idx="9" formatCode="0%">
                  <c:v>0.68333333333333335</c:v>
                </c:pt>
                <c:pt idx="10" formatCode="0%">
                  <c:v>0.68333333333333335</c:v>
                </c:pt>
                <c:pt idx="11" formatCode="0%">
                  <c:v>0.59166666666666667</c:v>
                </c:pt>
                <c:pt idx="12" formatCode="0%">
                  <c:v>0.375</c:v>
                </c:pt>
                <c:pt idx="13" formatCode="0%">
                  <c:v>0.32500000000000001</c:v>
                </c:pt>
                <c:pt idx="14" formatCode="0%">
                  <c:v>0.19166666666666668</c:v>
                </c:pt>
                <c:pt idx="15" formatCode="0%">
                  <c:v>0.17499999999999999</c:v>
                </c:pt>
                <c:pt idx="16" formatCode="0%">
                  <c:v>0.85833333333333328</c:v>
                </c:pt>
                <c:pt idx="17" formatCode="0%">
                  <c:v>0.27500000000000002</c:v>
                </c:pt>
                <c:pt idx="18" formatCode="0%">
                  <c:v>8.3333333333333332E-3</c:v>
                </c:pt>
                <c:pt idx="19" formatCode="0%">
                  <c:v>0.25833333333333336</c:v>
                </c:pt>
                <c:pt idx="20" formatCode="0%">
                  <c:v>0.84166666666666667</c:v>
                </c:pt>
                <c:pt idx="21" formatCode="0%">
                  <c:v>0.47499999999999998</c:v>
                </c:pt>
              </c:numCache>
            </c:numRef>
          </c:xVal>
          <c:yVal>
            <c:numRef>
              <c:f>'Regressie &amp; praktijk'!$BK$62:$BK$84</c:f>
              <c:numCache>
                <c:formatCode>General</c:formatCode>
                <c:ptCount val="23"/>
                <c:pt idx="2" formatCode="_-* #,##0_-;\-* #,##0_-;_-* &quot;-&quot;??_-;_-@_-">
                  <c:v>4.1708486553509427</c:v>
                </c:pt>
                <c:pt idx="3" formatCode="_-* #,##0_-;\-* #,##0_-;_-* &quot;-&quot;??_-;_-@_-">
                  <c:v>0.97634437251339912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339.13058596909082</c:v>
                </c:pt>
                <c:pt idx="12" formatCode="_-* #,##0_-;\-* #,##0_-;_-* &quot;-&quot;??_-;_-@_-">
                  <c:v>83.197405761333727</c:v>
                </c:pt>
                <c:pt idx="13" formatCode="_-* #,##0_-;\-* #,##0_-;_-* &quot;-&quot;??_-;_-@_-">
                  <c:v>62.436798785324619</c:v>
                </c:pt>
                <c:pt idx="14" formatCode="_-* #,##0_-;\-* #,##0_-;_-* &quot;-&quot;??_-;_-@_-">
                  <c:v>6.4938928098078037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1636.2341283351946</c:v>
                </c:pt>
                <c:pt idx="17" formatCode="_-* #,##0_-;\-* #,##0_-;_-* &quot;-&quot;??_-;_-@_-">
                  <c:v>25.765449013481081</c:v>
                </c:pt>
                <c:pt idx="18" formatCode="_-* #,##0_-;\-* #,##0_-;_-* &quot;-&quot;??_-;_-@_-">
                  <c:v>0.70846908776270645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1495.1146811217764</c:v>
                </c:pt>
                <c:pt idx="21" formatCode="_-* #,##0_-;\-* #,##0_-;_-* &quot;-&quot;??_-;_-@_-">
                  <c:v>169.98630521133234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3-4A44-94F7-FC727EB7592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praktijk'!$BO$91:$BO$117</c:f>
              <c:numCache>
                <c:formatCode>0%</c:formatCode>
                <c:ptCount val="27"/>
                <c:pt idx="0">
                  <c:v>0.89166666666666672</c:v>
                </c:pt>
                <c:pt idx="1">
                  <c:v>0.55833333333333335</c:v>
                </c:pt>
                <c:pt idx="2">
                  <c:v>0.44166666666666665</c:v>
                </c:pt>
                <c:pt idx="3">
                  <c:v>0.9916666666666667</c:v>
                </c:pt>
                <c:pt idx="4">
                  <c:v>0.97499999999999998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0.82499999999999996</c:v>
                </c:pt>
                <c:pt idx="8">
                  <c:v>0.625</c:v>
                </c:pt>
                <c:pt idx="9">
                  <c:v>0.54166666666666663</c:v>
                </c:pt>
                <c:pt idx="10">
                  <c:v>0.5083333333333333</c:v>
                </c:pt>
                <c:pt idx="11">
                  <c:v>0.42499999999999999</c:v>
                </c:pt>
                <c:pt idx="12">
                  <c:v>0.40833333333333333</c:v>
                </c:pt>
                <c:pt idx="13">
                  <c:v>0.39166666666666666</c:v>
                </c:pt>
                <c:pt idx="14">
                  <c:v>0.35833333333333334</c:v>
                </c:pt>
                <c:pt idx="15">
                  <c:v>0.29166666666666669</c:v>
                </c:pt>
                <c:pt idx="16">
                  <c:v>0.64166666666666672</c:v>
                </c:pt>
                <c:pt idx="17">
                  <c:v>0.45833333333333331</c:v>
                </c:pt>
                <c:pt idx="18">
                  <c:v>0.49166666666666664</c:v>
                </c:pt>
                <c:pt idx="19">
                  <c:v>2.5000000000000001E-2</c:v>
                </c:pt>
                <c:pt idx="20">
                  <c:v>0.95833333333333337</c:v>
                </c:pt>
                <c:pt idx="21">
                  <c:v>0.92500000000000004</c:v>
                </c:pt>
                <c:pt idx="22">
                  <c:v>0.875</c:v>
                </c:pt>
                <c:pt idx="23">
                  <c:v>0.7583333333333333</c:v>
                </c:pt>
                <c:pt idx="24">
                  <c:v>0.7416666666666667</c:v>
                </c:pt>
                <c:pt idx="25">
                  <c:v>0.72499999999999998</c:v>
                </c:pt>
                <c:pt idx="26">
                  <c:v>0.57499999999999996</c:v>
                </c:pt>
              </c:numCache>
            </c:numRef>
          </c:xVal>
          <c:yVal>
            <c:numRef>
              <c:f>'Regressie &amp; praktijk'!$BK$91:$BK$117</c:f>
              <c:numCache>
                <c:formatCode>_-* #,##0_-;\-* #,##0_-;_-* "-"??_-;_-@_-</c:formatCode>
                <c:ptCount val="27"/>
                <c:pt idx="0">
                  <c:v>3101.2347461357999</c:v>
                </c:pt>
                <c:pt idx="1">
                  <c:v>296.81147737710774</c:v>
                </c:pt>
                <c:pt idx="2">
                  <c:v>126.45739301118191</c:v>
                </c:pt>
                <c:pt idx="3">
                  <c:v>29470.434514250112</c:v>
                </c:pt>
                <c:pt idx="4">
                  <c:v>19002.426061737111</c:v>
                </c:pt>
                <c:pt idx="5">
                  <c:v>10581.370297161582</c:v>
                </c:pt>
                <c:pt idx="6">
                  <c:v>3130.2552673481377</c:v>
                </c:pt>
                <c:pt idx="7">
                  <c:v>1430.3535286455151</c:v>
                </c:pt>
                <c:pt idx="8">
                  <c:v>427.3808848594411</c:v>
                </c:pt>
                <c:pt idx="9">
                  <c:v>217.97515507562136</c:v>
                </c:pt>
                <c:pt idx="10">
                  <c:v>206.42460221688694</c:v>
                </c:pt>
                <c:pt idx="11">
                  <c:v>106.30195336079628</c:v>
                </c:pt>
                <c:pt idx="12">
                  <c:v>95.981953269789543</c:v>
                </c:pt>
                <c:pt idx="13">
                  <c:v>84.523519861897469</c:v>
                </c:pt>
                <c:pt idx="14">
                  <c:v>79.942572117301509</c:v>
                </c:pt>
                <c:pt idx="15">
                  <c:v>45.629608173205099</c:v>
                </c:pt>
                <c:pt idx="16">
                  <c:v>551.75125731362323</c:v>
                </c:pt>
                <c:pt idx="17">
                  <c:v>154.89083006114487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16149.035148441206</c:v>
                </c:pt>
                <c:pt idx="21">
                  <c:v>6719.8513948595237</c:v>
                </c:pt>
                <c:pt idx="22">
                  <c:v>2461.8333695508459</c:v>
                </c:pt>
                <c:pt idx="23">
                  <c:v>1056.1166889954436</c:v>
                </c:pt>
                <c:pt idx="24">
                  <c:v>902.5364122345394</c:v>
                </c:pt>
                <c:pt idx="25">
                  <c:v>871.84153953376801</c:v>
                </c:pt>
                <c:pt idx="26">
                  <c:v>335.8227031550465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3-4A44-94F7-FC727EB7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6816"/>
        <c:axId val="553117208"/>
      </c:scatterChart>
      <c:valAx>
        <c:axId val="5531168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7208"/>
        <c:crossesAt val="0"/>
        <c:crossBetween val="midCat"/>
      </c:valAx>
      <c:valAx>
        <c:axId val="55311720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6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praktijk'!$BU$51:$BU$62</c:f>
              <c:numCache>
                <c:formatCode>0</c:formatCode>
                <c:ptCount val="12"/>
                <c:pt idx="0">
                  <c:v>0.97634437251339912</c:v>
                </c:pt>
                <c:pt idx="1">
                  <c:v>4.6703574039855882</c:v>
                </c:pt>
                <c:pt idx="2">
                  <c:v>2.2930238757236747</c:v>
                </c:pt>
                <c:pt idx="3">
                  <c:v>5.3670466260330327</c:v>
                </c:pt>
                <c:pt idx="4">
                  <c:v>3.1287170889939904</c:v>
                </c:pt>
                <c:pt idx="5">
                  <c:v>83.197405761333727</c:v>
                </c:pt>
                <c:pt idx="7">
                  <c:v>6.4938928098078037</c:v>
                </c:pt>
                <c:pt idx="8">
                  <c:v>22.063811310090323</c:v>
                </c:pt>
                <c:pt idx="9">
                  <c:v>0.70846908776270645</c:v>
                </c:pt>
                <c:pt idx="10">
                  <c:v>0.76439555829233852</c:v>
                </c:pt>
                <c:pt idx="11">
                  <c:v>169.98630521133234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5-4FFC-89D4-1B3427A9122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praktijk'!$BW$51:$BW$62</c:f>
              <c:numCache>
                <c:formatCode>0</c:formatCode>
                <c:ptCount val="12"/>
                <c:pt idx="0">
                  <c:v>3101.2347461357999</c:v>
                </c:pt>
                <c:pt idx="1">
                  <c:v>1412.6660301122608</c:v>
                </c:pt>
                <c:pt idx="2">
                  <c:v>1636.2341283351946</c:v>
                </c:pt>
                <c:pt idx="3">
                  <c:v>5.3670466260330327</c:v>
                </c:pt>
                <c:pt idx="4">
                  <c:v>3.1287170889939904</c:v>
                </c:pt>
                <c:pt idx="5">
                  <c:v>29470.434514250112</c:v>
                </c:pt>
                <c:pt idx="7">
                  <c:v>19002.426061737111</c:v>
                </c:pt>
                <c:pt idx="8">
                  <c:v>22.063811310090323</c:v>
                </c:pt>
                <c:pt idx="9">
                  <c:v>25.765449013481081</c:v>
                </c:pt>
                <c:pt idx="10">
                  <c:v>190.05029403782405</c:v>
                </c:pt>
                <c:pt idx="11">
                  <c:v>16149.035148441206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5-4FFC-89D4-1B3427A9122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'Regressie &amp; praktijk'!$BS$51:$BS$62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'Regressie &amp; praktijk'!$BV$51:$BV$62</c:f>
              <c:numCache>
                <c:formatCode>0</c:formatCode>
                <c:ptCount val="12"/>
                <c:pt idx="0">
                  <c:v>588.46466798469885</c:v>
                </c:pt>
                <c:pt idx="1">
                  <c:v>809.84329202938613</c:v>
                </c:pt>
                <c:pt idx="2">
                  <c:v>260.4433758865834</c:v>
                </c:pt>
                <c:pt idx="3">
                  <c:v>5.3670466260330327</c:v>
                </c:pt>
                <c:pt idx="4">
                  <c:v>3.1287170889939904</c:v>
                </c:pt>
                <c:pt idx="5">
                  <c:v>9964.254168660178</c:v>
                </c:pt>
                <c:pt idx="7">
                  <c:v>2534.1068639587438</c:v>
                </c:pt>
                <c:pt idx="8">
                  <c:v>22.063811310090323</c:v>
                </c:pt>
                <c:pt idx="9">
                  <c:v>13.236959050621895</c:v>
                </c:pt>
                <c:pt idx="10">
                  <c:v>71.684851800174357</c:v>
                </c:pt>
                <c:pt idx="11">
                  <c:v>3351.3486936781646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5-4FFC-89D4-1B3427A9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53119168"/>
        <c:axId val="553117992"/>
      </c:stockChart>
      <c:catAx>
        <c:axId val="5531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553117992"/>
        <c:crossesAt val="1"/>
        <c:auto val="1"/>
        <c:lblAlgn val="ctr"/>
        <c:lblOffset val="100"/>
        <c:noMultiLvlLbl val="0"/>
      </c:catAx>
      <c:valAx>
        <c:axId val="55311799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531191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'Regressie &amp; praktijk'!$AO$51:$AO$60</c:f>
              <c:numCache>
                <c:formatCode>0.00</c:formatCode>
                <c:ptCount val="10"/>
                <c:pt idx="0">
                  <c:v>3.8937596699329551E-4</c:v>
                </c:pt>
                <c:pt idx="1">
                  <c:v>1.1103400073574857E-3</c:v>
                </c:pt>
                <c:pt idx="2">
                  <c:v>4.794650031770961E-3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B-45D8-9E07-101CD5460F9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B-45D8-9E07-101CD5460F96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3.5368010019892434E-3</c:v>
                </c:pt>
                <c:pt idx="8">
                  <c:v>3.5368010019892434E-3</c:v>
                </c:pt>
                <c:pt idx="9">
                  <c:v>3.5368010019892434E-3</c:v>
                </c:pt>
                <c:pt idx="10">
                  <c:v>3.5368010019892434E-3</c:v>
                </c:pt>
                <c:pt idx="11">
                  <c:v>3.7896027678728369E-3</c:v>
                </c:pt>
                <c:pt idx="12">
                  <c:v>7.8394761437170803E-4</c:v>
                </c:pt>
                <c:pt idx="13">
                  <c:v>4.7020440251572329E-3</c:v>
                </c:pt>
                <c:pt idx="14">
                  <c:v>4.0880503144654089E-4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1.8015331141330192E-6</c:v>
                </c:pt>
                <c:pt idx="19">
                  <c:v>2.2663551401869158E-4</c:v>
                </c:pt>
                <c:pt idx="20">
                  <c:v>1.2616404066306146E-2</c:v>
                </c:pt>
                <c:pt idx="21">
                  <c:v>1.2200560118783279E-3</c:v>
                </c:pt>
              </c:numCache>
            </c:numRef>
          </c:xVal>
          <c:yVal>
            <c:numRef>
              <c:f>'Regressie &amp; praktijk'!$BK$62:$BK$84</c:f>
              <c:numCache>
                <c:formatCode>General</c:formatCode>
                <c:ptCount val="23"/>
                <c:pt idx="2" formatCode="_-* #,##0_-;\-* #,##0_-;_-* &quot;-&quot;??_-;_-@_-">
                  <c:v>4.1708486553509427</c:v>
                </c:pt>
                <c:pt idx="3" formatCode="_-* #,##0_-;\-* #,##0_-;_-* &quot;-&quot;??_-;_-@_-">
                  <c:v>0.97634437251339912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339.13058596909082</c:v>
                </c:pt>
                <c:pt idx="12" formatCode="_-* #,##0_-;\-* #,##0_-;_-* &quot;-&quot;??_-;_-@_-">
                  <c:v>83.197405761333727</c:v>
                </c:pt>
                <c:pt idx="13" formatCode="_-* #,##0_-;\-* #,##0_-;_-* &quot;-&quot;??_-;_-@_-">
                  <c:v>62.436798785324619</c:v>
                </c:pt>
                <c:pt idx="14" formatCode="_-* #,##0_-;\-* #,##0_-;_-* &quot;-&quot;??_-;_-@_-">
                  <c:v>6.4938928098078037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1636.2341283351946</c:v>
                </c:pt>
                <c:pt idx="17" formatCode="_-* #,##0_-;\-* #,##0_-;_-* &quot;-&quot;??_-;_-@_-">
                  <c:v>25.765449013481081</c:v>
                </c:pt>
                <c:pt idx="18" formatCode="_-* #,##0_-;\-* #,##0_-;_-* &quot;-&quot;??_-;_-@_-">
                  <c:v>0.70846908776270645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1495.1146811217764</c:v>
                </c:pt>
                <c:pt idx="21" formatCode="_-* #,##0_-;\-* #,##0_-;_-* &quot;-&quot;??_-;_-@_-">
                  <c:v>169.98630521133234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B-45D8-9E07-101CD5460F96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1.1564188032140223E-4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0.22327044025157233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2.9245283018867925E-3</c:v>
                </c:pt>
                <c:pt idx="12">
                  <c:v>2.6415094339622643E-3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2.1870333478253507E-3</c:v>
                </c:pt>
                <c:pt idx="18">
                  <c:v>6.3084112149532712E-3</c:v>
                </c:pt>
                <c:pt idx="19">
                  <c:v>2.570093457943925E-5</c:v>
                </c:pt>
                <c:pt idx="20">
                  <c:v>4.7825640888196158E-2</c:v>
                </c:pt>
                <c:pt idx="21">
                  <c:v>2.056502558192435E-2</c:v>
                </c:pt>
                <c:pt idx="22">
                  <c:v>7.6521025421113862E-3</c:v>
                </c:pt>
                <c:pt idx="23">
                  <c:v>3.2999692212855353E-3</c:v>
                </c:pt>
                <c:pt idx="24">
                  <c:v>2.8217128124035733E-3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'Regressie &amp; praktijk'!$BK$91:$BK$117</c:f>
              <c:numCache>
                <c:formatCode>_-* #,##0_-;\-* #,##0_-;_-* "-"??_-;_-@_-</c:formatCode>
                <c:ptCount val="27"/>
                <c:pt idx="0">
                  <c:v>3101.2347461357999</c:v>
                </c:pt>
                <c:pt idx="1">
                  <c:v>296.81147737710774</c:v>
                </c:pt>
                <c:pt idx="2">
                  <c:v>126.45739301118191</c:v>
                </c:pt>
                <c:pt idx="3">
                  <c:v>29470.434514250112</c:v>
                </c:pt>
                <c:pt idx="4">
                  <c:v>19002.426061737111</c:v>
                </c:pt>
                <c:pt idx="5">
                  <c:v>10581.370297161582</c:v>
                </c:pt>
                <c:pt idx="6">
                  <c:v>3130.2552673481377</c:v>
                </c:pt>
                <c:pt idx="7">
                  <c:v>1430.3535286455151</c:v>
                </c:pt>
                <c:pt idx="8">
                  <c:v>427.3808848594411</c:v>
                </c:pt>
                <c:pt idx="9">
                  <c:v>217.97515507562136</c:v>
                </c:pt>
                <c:pt idx="10">
                  <c:v>206.42460221688694</c:v>
                </c:pt>
                <c:pt idx="11">
                  <c:v>106.30195336079628</c:v>
                </c:pt>
                <c:pt idx="12">
                  <c:v>95.981953269789543</c:v>
                </c:pt>
                <c:pt idx="13">
                  <c:v>84.523519861897469</c:v>
                </c:pt>
                <c:pt idx="14">
                  <c:v>79.942572117301509</c:v>
                </c:pt>
                <c:pt idx="15">
                  <c:v>45.629608173205099</c:v>
                </c:pt>
                <c:pt idx="16">
                  <c:v>551.75125731362323</c:v>
                </c:pt>
                <c:pt idx="17">
                  <c:v>154.89083006114487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16149.035148441206</c:v>
                </c:pt>
                <c:pt idx="21">
                  <c:v>6719.8513948595237</c:v>
                </c:pt>
                <c:pt idx="22">
                  <c:v>2461.8333695508459</c:v>
                </c:pt>
                <c:pt idx="23">
                  <c:v>1056.1166889954436</c:v>
                </c:pt>
                <c:pt idx="24">
                  <c:v>902.5364122345394</c:v>
                </c:pt>
                <c:pt idx="25">
                  <c:v>871.84153953376801</c:v>
                </c:pt>
                <c:pt idx="26">
                  <c:v>335.8227031550465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B-45D8-9E07-101CD5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18776"/>
        <c:axId val="553116032"/>
      </c:scatterChart>
      <c:valAx>
        <c:axId val="5531187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6032"/>
        <c:crossesAt val="0"/>
        <c:crossBetween val="midCat"/>
      </c:valAx>
      <c:valAx>
        <c:axId val="55311603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311877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'vdBerg 1995'!$AM$51:$AM$60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10.891426096104455</c:v>
                </c:pt>
                <c:pt idx="2">
                  <c:v>7.6593600403124205</c:v>
                </c:pt>
                <c:pt idx="3">
                  <c:v>134.58751250092084</c:v>
                </c:pt>
                <c:pt idx="4">
                  <c:v>720.04319187992644</c:v>
                </c:pt>
                <c:pt idx="5">
                  <c:v>4.2152328711775864</c:v>
                </c:pt>
                <c:pt idx="6">
                  <c:v>7.4073334487089006</c:v>
                </c:pt>
                <c:pt idx="7">
                  <c:v>112.54329064184711</c:v>
                </c:pt>
                <c:pt idx="8">
                  <c:v>384.52290969297758</c:v>
                </c:pt>
                <c:pt idx="9">
                  <c:v>8.9279486642951777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9-43C7-8C63-BC4C47D8C41B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'vdBerg 1995'!$AM$86:$AM$88</c:f>
              <c:numCache>
                <c:formatCode>0.0</c:formatCode>
                <c:ptCount val="3"/>
                <c:pt idx="0">
                  <c:v>11.579099724996379</c:v>
                </c:pt>
                <c:pt idx="1">
                  <c:v>1.2345679012345676</c:v>
                </c:pt>
                <c:pt idx="2">
                  <c:v>4.9970605526161078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9-43C7-8C63-BC4C47D8C41B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'vdBerg 1995'!$AM$62:$AM$84</c:f>
              <c:numCache>
                <c:formatCode>General</c:formatCode>
                <c:ptCount val="23"/>
                <c:pt idx="2" formatCode="_-* #,##0_-;\-* #,##0_-;_-* &quot;-&quot;??_-;_-@_-">
                  <c:v>6.1693121693121693</c:v>
                </c:pt>
                <c:pt idx="3" formatCode="_-* #,##0_-;\-* #,##0_-;_-* &quot;-&quot;??_-;_-@_-">
                  <c:v>1.2345679012345676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639.41798941798925</c:v>
                </c:pt>
                <c:pt idx="12" formatCode="_-* #,##0_-;\-* #,##0_-;_-* &quot;-&quot;??_-;_-@_-">
                  <c:v>132.27513227513219</c:v>
                </c:pt>
                <c:pt idx="13" formatCode="_-* #,##0_-;\-* #,##0_-;_-* &quot;-&quot;??_-;_-@_-">
                  <c:v>37.673217435122183</c:v>
                </c:pt>
                <c:pt idx="14" formatCode="_-* #,##0_-;\-* #,##0_-;_-* &quot;-&quot;??_-;_-@_-">
                  <c:v>3.2753842277651795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2880.1727675197058</c:v>
                </c:pt>
                <c:pt idx="17" formatCode="_-* #,##0_-;\-* #,##0_-;_-* &quot;-&quot;??_-;_-@_-">
                  <c:v>28.586545729402861</c:v>
                </c:pt>
                <c:pt idx="18" formatCode="_-* #,##0_-;\-* #,##0_-;_-* &quot;-&quot;??_-;_-@_-">
                  <c:v>0.66515495086923637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2791.5343915343906</c:v>
                </c:pt>
                <c:pt idx="21" formatCode="_-* #,##0_-;\-* #,##0_-;_-* &quot;-&quot;??_-;_-@_-">
                  <c:v>269.95238095238079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9-43C7-8C63-BC4C47D8C41B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'vdBerg 1995'!$AM$91:$AM$117</c:f>
              <c:numCache>
                <c:formatCode>_-* #,##0_-;\-* #,##0_-;_-* "-"??_-;_-@_-</c:formatCode>
                <c:ptCount val="27"/>
                <c:pt idx="0">
                  <c:v>4232.8042328042311</c:v>
                </c:pt>
                <c:pt idx="1">
                  <c:v>405.64373897707219</c:v>
                </c:pt>
                <c:pt idx="2">
                  <c:v>172.83950617283946</c:v>
                </c:pt>
                <c:pt idx="3">
                  <c:v>44973.544973544958</c:v>
                </c:pt>
                <c:pt idx="4">
                  <c:v>6928.6974048878792</c:v>
                </c:pt>
                <c:pt idx="5">
                  <c:v>4472.1592340639954</c:v>
                </c:pt>
                <c:pt idx="6">
                  <c:v>1574.7039556563361</c:v>
                </c:pt>
                <c:pt idx="7">
                  <c:v>755.8578987150413</c:v>
                </c:pt>
                <c:pt idx="8">
                  <c:v>233.05618543713774</c:v>
                </c:pt>
                <c:pt idx="9">
                  <c:v>119.67750062988156</c:v>
                </c:pt>
                <c:pt idx="10">
                  <c:v>113.37868480725621</c:v>
                </c:pt>
                <c:pt idx="11">
                  <c:v>58.578987150415713</c:v>
                </c:pt>
                <c:pt idx="12">
                  <c:v>52.910052910052904</c:v>
                </c:pt>
                <c:pt idx="13">
                  <c:v>46.611237087427554</c:v>
                </c:pt>
                <c:pt idx="14">
                  <c:v>44.091710758377403</c:v>
                </c:pt>
                <c:pt idx="15">
                  <c:v>25.19526329050138</c:v>
                </c:pt>
                <c:pt idx="16">
                  <c:v>927.18568909045086</c:v>
                </c:pt>
                <c:pt idx="17">
                  <c:v>262.03073822121434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26455.026455026451</c:v>
                </c:pt>
                <c:pt idx="21">
                  <c:v>11375.661375661373</c:v>
                </c:pt>
                <c:pt idx="22">
                  <c:v>1007.810531620055</c:v>
                </c:pt>
                <c:pt idx="23">
                  <c:v>434.6182917611489</c:v>
                </c:pt>
                <c:pt idx="24">
                  <c:v>29.730410682791636</c:v>
                </c:pt>
                <c:pt idx="25">
                  <c:v>574.45200302343153</c:v>
                </c:pt>
                <c:pt idx="26">
                  <c:v>332.57747543461818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9-43C7-8C63-BC4C47D8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3872"/>
        <c:axId val="562234264"/>
      </c:scatterChart>
      <c:valAx>
        <c:axId val="56223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4264"/>
        <c:crossesAt val="0"/>
        <c:crossBetween val="midCat"/>
      </c:valAx>
      <c:valAx>
        <c:axId val="56223426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387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praktijk'!$AH$51:$AH$60</c:f>
              <c:numCache>
                <c:formatCode>0.000000</c:formatCode>
                <c:ptCount val="10"/>
                <c:pt idx="0">
                  <c:v>8.7857142857142854E-4</c:v>
                </c:pt>
                <c:pt idx="1">
                  <c:v>2.442857142857143E-4</c:v>
                </c:pt>
                <c:pt idx="2">
                  <c:v>1.5E-3</c:v>
                </c:pt>
                <c:pt idx="3">
                  <c:v>1.07E-3</c:v>
                </c:pt>
                <c:pt idx="4">
                  <c:v>2.0000000000000001E-4</c:v>
                </c:pt>
                <c:pt idx="5">
                  <c:v>1.3683333333333332E-2</c:v>
                </c:pt>
                <c:pt idx="6">
                  <c:v>7.7866666666666666E-3</c:v>
                </c:pt>
                <c:pt idx="7">
                  <c:v>5.1249999999999993E-4</c:v>
                </c:pt>
                <c:pt idx="8">
                  <c:v>1.4999999999999999E-4</c:v>
                </c:pt>
                <c:pt idx="9">
                  <c:v>1.2642857142857142E-4</c:v>
                </c:pt>
              </c:numCache>
            </c:numRef>
          </c:xVal>
          <c:yVal>
            <c:numRef>
              <c:f>'Regressie &amp; praktijk'!$BE$51:$BE$60</c:f>
              <c:numCache>
                <c:formatCode>General</c:formatCode>
                <c:ptCount val="10"/>
                <c:pt idx="0">
                  <c:v>4.1032425763587663E-3</c:v>
                </c:pt>
                <c:pt idx="1">
                  <c:v>1.749688828627298E-3</c:v>
                </c:pt>
                <c:pt idx="2">
                  <c:v>6.1064780835482189E-3</c:v>
                </c:pt>
                <c:pt idx="3">
                  <c:v>8.1811706416759736E-2</c:v>
                </c:pt>
                <c:pt idx="4">
                  <c:v>8.1811706416759736E-2</c:v>
                </c:pt>
                <c:pt idx="5">
                  <c:v>3.1376210032818944E-2</c:v>
                </c:pt>
                <c:pt idx="6">
                  <c:v>3.1376210032818944E-2</c:v>
                </c:pt>
                <c:pt idx="7">
                  <c:v>3.1376210032818944E-2</c:v>
                </c:pt>
                <c:pt idx="8">
                  <c:v>3.1376210032818944E-2</c:v>
                </c:pt>
                <c:pt idx="9">
                  <c:v>3.9555923196566876E-4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6-4492-968C-52F12B91C7DF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praktijk'!$AH$86:$AH$88</c:f>
              <c:numCache>
                <c:formatCode>General</c:formatCode>
                <c:ptCount val="3"/>
                <c:pt idx="0">
                  <c:v>4.7E-2</c:v>
                </c:pt>
                <c:pt idx="1">
                  <c:v>4.0000000000000002E-4</c:v>
                </c:pt>
                <c:pt idx="2" formatCode="#,##0.000">
                  <c:v>1.7999999999999999E-2</c:v>
                </c:pt>
              </c:numCache>
            </c:numRef>
          </c:xVal>
          <c:yVal>
            <c:numRef>
              <c:f>'Regressie &amp; praktijk'!$BE$86:$BE$88</c:f>
              <c:numCache>
                <c:formatCode>General</c:formatCode>
                <c:ptCount val="3"/>
                <c:pt idx="0">
                  <c:v>0.4217620279445003</c:v>
                </c:pt>
                <c:pt idx="1">
                  <c:v>4.5487934249589405E-4</c:v>
                </c:pt>
                <c:pt idx="2">
                  <c:v>0.39714860358162579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6-4492-968C-52F12B91C7DF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praktijk'!$AI$62:$AI$84</c:f>
              <c:numCache>
                <c:formatCode>General</c:formatCode>
                <c:ptCount val="23"/>
                <c:pt idx="2">
                  <c:v>5.0000000000000002E-5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5.0000000000000002E-5</c:v>
                </c:pt>
                <c:pt idx="11">
                  <c:v>5.0000000000000002E-5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5.0000000000000002E-5</c:v>
                </c:pt>
                <c:pt idx="15">
                  <c:v>5.0000000000000002E-5</c:v>
                </c:pt>
                <c:pt idx="16">
                  <c:v>5.0000000000000002E-5</c:v>
                </c:pt>
                <c:pt idx="17">
                  <c:v>5.0000000000000002E-5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</c:numCache>
            </c:numRef>
          </c:xVal>
          <c:yVal>
            <c:numRef>
              <c:f>'Regressie &amp; praktijk'!$BE$62:$BE$84</c:f>
              <c:numCache>
                <c:formatCode>#,##0</c:formatCode>
                <c:ptCount val="23"/>
                <c:pt idx="2" formatCode="General">
                  <c:v>2.0854243276754715E-4</c:v>
                </c:pt>
                <c:pt idx="3" formatCode="General">
                  <c:v>4.881721862566996E-5</c:v>
                </c:pt>
                <c:pt idx="4" formatCode="General">
                  <c:v>7.0633301505613047E-2</c:v>
                </c:pt>
                <c:pt idx="5" formatCode="General">
                  <c:v>7.0633301505613047E-2</c:v>
                </c:pt>
                <c:pt idx="6" formatCode="General">
                  <c:v>7.0633301505613047E-2</c:v>
                </c:pt>
                <c:pt idx="7" formatCode="General">
                  <c:v>2.7950973606179014E-2</c:v>
                </c:pt>
                <c:pt idx="8" formatCode="General">
                  <c:v>2.7950973606179014E-2</c:v>
                </c:pt>
                <c:pt idx="9" formatCode="General">
                  <c:v>2.7950973606179014E-2</c:v>
                </c:pt>
                <c:pt idx="10" formatCode="General">
                  <c:v>2.7950973606179014E-2</c:v>
                </c:pt>
                <c:pt idx="11" formatCode="General">
                  <c:v>1.695652929845454E-2</c:v>
                </c:pt>
                <c:pt idx="12" formatCode="General">
                  <c:v>4.1598702880666864E-3</c:v>
                </c:pt>
                <c:pt idx="13" formatCode="General">
                  <c:v>3.1218399392662311E-3</c:v>
                </c:pt>
                <c:pt idx="14" formatCode="General">
                  <c:v>3.2469464049039021E-4</c:v>
                </c:pt>
                <c:pt idx="15" formatCode="General">
                  <c:v>2.6835233130165166E-4</c:v>
                </c:pt>
                <c:pt idx="16" formatCode="General">
                  <c:v>8.1811706416759736E-2</c:v>
                </c:pt>
                <c:pt idx="17" formatCode="General">
                  <c:v>1.2882724506740541E-3</c:v>
                </c:pt>
                <c:pt idx="18" formatCode="General">
                  <c:v>3.5423454388135323E-5</c:v>
                </c:pt>
                <c:pt idx="19" formatCode="General">
                  <c:v>1.2119932902203349E-3</c:v>
                </c:pt>
                <c:pt idx="20" formatCode="General">
                  <c:v>7.4755734056088818E-2</c:v>
                </c:pt>
                <c:pt idx="21" formatCode="General">
                  <c:v>8.4993152605666172E-3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6-4492-968C-52F12B91C7DF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praktijk'!$AI$91:$AI$117</c:f>
              <c:numCache>
                <c:formatCode>General</c:formatCode>
                <c:ptCount val="27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2.0000000000000002E-5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2.0000000000000002E-5</c:v>
                </c:pt>
                <c:pt idx="23">
                  <c:v>2.0000000000000002E-5</c:v>
                </c:pt>
                <c:pt idx="24">
                  <c:v>2.0000000000000002E-5</c:v>
                </c:pt>
                <c:pt idx="25">
                  <c:v>2.0000000000000002E-5</c:v>
                </c:pt>
                <c:pt idx="26">
                  <c:v>2.0000000000000002E-5</c:v>
                </c:pt>
              </c:numCache>
            </c:numRef>
          </c:xVal>
          <c:yVal>
            <c:numRef>
              <c:f>'Regressie &amp; praktijk'!$BE$91:$BE$117</c:f>
              <c:numCache>
                <c:formatCode>General</c:formatCode>
                <c:ptCount val="27"/>
                <c:pt idx="0">
                  <c:v>6.2024694922715999E-2</c:v>
                </c:pt>
                <c:pt idx="1">
                  <c:v>5.9362295475421552E-3</c:v>
                </c:pt>
                <c:pt idx="2">
                  <c:v>2.5291478602236382E-3</c:v>
                </c:pt>
                <c:pt idx="3">
                  <c:v>0.58940869028500231</c:v>
                </c:pt>
                <c:pt idx="4">
                  <c:v>0.38004852123474225</c:v>
                </c:pt>
                <c:pt idx="5">
                  <c:v>0.21162740594323168</c:v>
                </c:pt>
                <c:pt idx="6">
                  <c:v>6.2605105346962758E-2</c:v>
                </c:pt>
                <c:pt idx="7">
                  <c:v>2.8607070572910304E-2</c:v>
                </c:pt>
                <c:pt idx="8">
                  <c:v>8.5476176971888227E-3</c:v>
                </c:pt>
                <c:pt idx="9">
                  <c:v>4.3595031015124276E-3</c:v>
                </c:pt>
                <c:pt idx="10">
                  <c:v>4.1284920443377393E-3</c:v>
                </c:pt>
                <c:pt idx="11">
                  <c:v>2.1260390672159257E-3</c:v>
                </c:pt>
                <c:pt idx="12">
                  <c:v>1.9196390653957909E-3</c:v>
                </c:pt>
                <c:pt idx="13">
                  <c:v>1.6904703972379495E-3</c:v>
                </c:pt>
                <c:pt idx="14">
                  <c:v>1.5988514423460303E-3</c:v>
                </c:pt>
                <c:pt idx="15">
                  <c:v>9.12592163464102E-4</c:v>
                </c:pt>
                <c:pt idx="16">
                  <c:v>1.1035025146272465E-2</c:v>
                </c:pt>
                <c:pt idx="17">
                  <c:v>3.0978166012228976E-3</c:v>
                </c:pt>
                <c:pt idx="18">
                  <c:v>3.8010058807564813E-2</c:v>
                </c:pt>
                <c:pt idx="19">
                  <c:v>1.5287911165846771E-4</c:v>
                </c:pt>
                <c:pt idx="20">
                  <c:v>0.32298070296882414</c:v>
                </c:pt>
                <c:pt idx="21">
                  <c:v>0.13439702789719049</c:v>
                </c:pt>
                <c:pt idx="22">
                  <c:v>4.9236667391016918E-2</c:v>
                </c:pt>
                <c:pt idx="23">
                  <c:v>2.1122333779908874E-2</c:v>
                </c:pt>
                <c:pt idx="24">
                  <c:v>1.805072824469079E-2</c:v>
                </c:pt>
                <c:pt idx="25">
                  <c:v>1.7436830790675362E-2</c:v>
                </c:pt>
                <c:pt idx="26">
                  <c:v>6.71645406310093E-3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16-4492-968C-52F12B91C7DF}"/>
            </c:ext>
          </c:extLst>
        </c:ser>
        <c:ser>
          <c:idx val="4"/>
          <c:order val="4"/>
          <c:tx>
            <c:v>01:01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'Regressie &amp; praktijk'!$BT$68:$BT$69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</c:v>
                </c:pt>
              </c:numCache>
            </c:numRef>
          </c:xVal>
          <c:yVal>
            <c:numRef>
              <c:f>'Regressie &amp; praktijk'!$BT$68:$BT$69</c:f>
              <c:numCache>
                <c:formatCode>General</c:formatCode>
                <c:ptCount val="2"/>
                <c:pt idx="0">
                  <c:v>1.0000000000000001E-5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16-4492-968C-52F12B91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1136"/>
        <c:axId val="696360544"/>
      </c:scatterChart>
      <c:valAx>
        <c:axId val="696351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Observed       Cd (</a:t>
                </a:r>
                <a:r>
                  <a:rPr lang="en-US" b="1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70405301966266"/>
              <c:y val="0.93454699308550426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60544"/>
        <c:crossesAt val="0"/>
        <c:crossBetween val="midCat"/>
      </c:valAx>
      <c:valAx>
        <c:axId val="69636054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Simulated    </a:t>
                </a:r>
                <a:r>
                  <a:rPr lang="en-US" b="1" baseline="0"/>
                  <a:t> (Cd (</a:t>
                </a:r>
                <a:r>
                  <a:rPr lang="en-US" b="1" baseline="0">
                    <a:latin typeface="Calibri"/>
                  </a:rPr>
                  <a:t>µg/l)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113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2965496270157886"/>
          <c:y val="0.60599433980807316"/>
          <c:w val="0.37923059899878975"/>
          <c:h val="0.223179135579753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'Regressie &amp; praktijk'!$P$51:$P$60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C-4655-911F-A5B3F8206C4D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C-4655-911F-A5B3F8206C4D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'Regressie &amp; praktijk'!$BK$62:$BK$84</c:f>
              <c:numCache>
                <c:formatCode>General</c:formatCode>
                <c:ptCount val="23"/>
                <c:pt idx="2" formatCode="_-* #,##0_-;\-* #,##0_-;_-* &quot;-&quot;??_-;_-@_-">
                  <c:v>4.1708486553509427</c:v>
                </c:pt>
                <c:pt idx="3" formatCode="_-* #,##0_-;\-* #,##0_-;_-* &quot;-&quot;??_-;_-@_-">
                  <c:v>0.97634437251339912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339.13058596909082</c:v>
                </c:pt>
                <c:pt idx="12" formatCode="_-* #,##0_-;\-* #,##0_-;_-* &quot;-&quot;??_-;_-@_-">
                  <c:v>83.197405761333727</c:v>
                </c:pt>
                <c:pt idx="13" formatCode="_-* #,##0_-;\-* #,##0_-;_-* &quot;-&quot;??_-;_-@_-">
                  <c:v>62.436798785324619</c:v>
                </c:pt>
                <c:pt idx="14" formatCode="_-* #,##0_-;\-* #,##0_-;_-* &quot;-&quot;??_-;_-@_-">
                  <c:v>6.4938928098078037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1636.2341283351946</c:v>
                </c:pt>
                <c:pt idx="17" formatCode="_-* #,##0_-;\-* #,##0_-;_-* &quot;-&quot;??_-;_-@_-">
                  <c:v>25.765449013481081</c:v>
                </c:pt>
                <c:pt idx="18" formatCode="_-* #,##0_-;\-* #,##0_-;_-* &quot;-&quot;??_-;_-@_-">
                  <c:v>0.70846908776270645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1495.1146811217764</c:v>
                </c:pt>
                <c:pt idx="21" formatCode="_-* #,##0_-;\-* #,##0_-;_-* &quot;-&quot;??_-;_-@_-">
                  <c:v>169.98630521133234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C-4655-911F-A5B3F8206C4D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'Regressie &amp; praktijk'!$BK$91:$BK$117</c:f>
              <c:numCache>
                <c:formatCode>_-* #,##0_-;\-* #,##0_-;_-* "-"??_-;_-@_-</c:formatCode>
                <c:ptCount val="27"/>
                <c:pt idx="0">
                  <c:v>3101.2347461357999</c:v>
                </c:pt>
                <c:pt idx="1">
                  <c:v>296.81147737710774</c:v>
                </c:pt>
                <c:pt idx="2">
                  <c:v>126.45739301118191</c:v>
                </c:pt>
                <c:pt idx="3">
                  <c:v>29470.434514250112</c:v>
                </c:pt>
                <c:pt idx="4">
                  <c:v>19002.426061737111</c:v>
                </c:pt>
                <c:pt idx="5">
                  <c:v>10581.370297161582</c:v>
                </c:pt>
                <c:pt idx="6">
                  <c:v>3130.2552673481377</c:v>
                </c:pt>
                <c:pt idx="7">
                  <c:v>1430.3535286455151</c:v>
                </c:pt>
                <c:pt idx="8">
                  <c:v>427.3808848594411</c:v>
                </c:pt>
                <c:pt idx="9">
                  <c:v>217.97515507562136</c:v>
                </c:pt>
                <c:pt idx="10">
                  <c:v>206.42460221688694</c:v>
                </c:pt>
                <c:pt idx="11">
                  <c:v>106.30195336079628</c:v>
                </c:pt>
                <c:pt idx="12">
                  <c:v>95.981953269789543</c:v>
                </c:pt>
                <c:pt idx="13">
                  <c:v>84.523519861897469</c:v>
                </c:pt>
                <c:pt idx="14">
                  <c:v>79.942572117301509</c:v>
                </c:pt>
                <c:pt idx="15">
                  <c:v>45.629608173205099</c:v>
                </c:pt>
                <c:pt idx="16">
                  <c:v>551.75125731362323</c:v>
                </c:pt>
                <c:pt idx="17">
                  <c:v>154.89083006114487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16149.035148441206</c:v>
                </c:pt>
                <c:pt idx="21">
                  <c:v>6719.8513948595237</c:v>
                </c:pt>
                <c:pt idx="22">
                  <c:v>2461.8333695508459</c:v>
                </c:pt>
                <c:pt idx="23">
                  <c:v>1056.1166889954436</c:v>
                </c:pt>
                <c:pt idx="24">
                  <c:v>902.5364122345394</c:v>
                </c:pt>
                <c:pt idx="25">
                  <c:v>871.84153953376801</c:v>
                </c:pt>
                <c:pt idx="26">
                  <c:v>335.8227031550465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4C-4655-911F-A5B3F820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8976"/>
        <c:axId val="696349960"/>
      </c:scatterChart>
      <c:valAx>
        <c:axId val="6963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49960"/>
        <c:crossesAt val="0"/>
        <c:crossBetween val="midCat"/>
      </c:valAx>
      <c:valAx>
        <c:axId val="69634996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897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3733103544287"/>
          <c:y val="2.6910436974059149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praktijk'!$BQ$51:$BQ$60</c:f>
              <c:numCache>
                <c:formatCode>0%</c:formatCode>
                <c:ptCount val="10"/>
                <c:pt idx="0">
                  <c:v>0.42307692307692307</c:v>
                </c:pt>
                <c:pt idx="1">
                  <c:v>0.5</c:v>
                </c:pt>
                <c:pt idx="2">
                  <c:v>0.34615384615384615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0.11538461538461539</c:v>
                </c:pt>
                <c:pt idx="6">
                  <c:v>0.26923076923076922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0.19230769230769232</c:v>
                </c:pt>
              </c:numCache>
            </c:numRef>
          </c:xVal>
          <c:y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7-4D74-B0F1-B1C1C4E9A1D6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praktijk'!$BQ$86:$BQ$88</c:f>
              <c:numCache>
                <c:formatCode>0%</c:formatCode>
                <c:ptCount val="3"/>
                <c:pt idx="0">
                  <c:v>0.57692307692307687</c:v>
                </c:pt>
                <c:pt idx="1">
                  <c:v>3.8461538461538464E-2</c:v>
                </c:pt>
                <c:pt idx="2">
                  <c:v>0.65384615384615385</c:v>
                </c:pt>
              </c:numCache>
            </c:numRef>
          </c:xVal>
          <c:y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7-4D74-B0F1-B1C1C4E9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8584"/>
        <c:axId val="696351528"/>
      </c:scatterChart>
      <c:valAx>
        <c:axId val="6963585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1528"/>
        <c:crossesAt val="0"/>
        <c:crossBetween val="midCat"/>
      </c:valAx>
      <c:valAx>
        <c:axId val="69635152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8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praktijk'!$P$51:$P$60</c:f>
              <c:numCache>
                <c:formatCode>0.00</c:formatCode>
                <c:ptCount val="10"/>
                <c:pt idx="0">
                  <c:v>1.906666666666667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2.61</c:v>
                </c:pt>
              </c:numCache>
            </c:numRef>
          </c:xVal>
          <c:yVal>
            <c:numRef>
              <c:f>'Regressie &amp; praktijk'!$DO$51:$DO$60</c:f>
              <c:numCache>
                <c:formatCode>0.00</c:formatCode>
                <c:ptCount val="10"/>
                <c:pt idx="0">
                  <c:v>-11.87406251076772</c:v>
                </c:pt>
                <c:pt idx="1">
                  <c:v>-11.248365577664389</c:v>
                </c:pt>
                <c:pt idx="2">
                  <c:v>-11.147984415288622</c:v>
                </c:pt>
                <c:pt idx="3">
                  <c:v>-12.37260462676811</c:v>
                </c:pt>
                <c:pt idx="4">
                  <c:v>-13.100958408789339</c:v>
                </c:pt>
                <c:pt idx="5">
                  <c:v>-10.881575603974026</c:v>
                </c:pt>
                <c:pt idx="6">
                  <c:v>-11.126415926989123</c:v>
                </c:pt>
                <c:pt idx="7">
                  <c:v>-12.30807364098203</c:v>
                </c:pt>
                <c:pt idx="8">
                  <c:v>-12.841676251654143</c:v>
                </c:pt>
                <c:pt idx="9">
                  <c:v>-11.380308714344258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5-460F-9F08-DFB62E81A3A1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praktijk'!$P$86:$P$88</c:f>
              <c:numCache>
                <c:formatCode>0.00</c:formatCode>
                <c:ptCount val="3"/>
                <c:pt idx="0">
                  <c:v>3.4</c:v>
                </c:pt>
                <c:pt idx="1">
                  <c:v>2.13</c:v>
                </c:pt>
                <c:pt idx="2">
                  <c:v>4.47</c:v>
                </c:pt>
              </c:numCache>
            </c:numRef>
          </c:xVal>
          <c:yVal>
            <c:numRef>
              <c:f>'Regressie &amp; praktijk'!$DO$86:$DO$88</c:f>
              <c:numCache>
                <c:formatCode>0.00</c:formatCode>
                <c:ptCount val="3"/>
                <c:pt idx="0">
                  <c:v>-11.219177508149036</c:v>
                </c:pt>
                <c:pt idx="1">
                  <c:v>-10.66917882029456</c:v>
                </c:pt>
                <c:pt idx="2">
                  <c:v>-8.8808728974118658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5-460F-9F08-DFB62E81A3A1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praktijk'!$P$62:$P$84</c:f>
              <c:numCache>
                <c:formatCode>General</c:formatCode>
                <c:ptCount val="23"/>
                <c:pt idx="2" formatCode="0.00">
                  <c:v>2.13</c:v>
                </c:pt>
                <c:pt idx="3" formatCode="0.00">
                  <c:v>2.13</c:v>
                </c:pt>
                <c:pt idx="4" formatCode="0.00">
                  <c:v>1.906666666666667</c:v>
                </c:pt>
                <c:pt idx="5" formatCode="0.00">
                  <c:v>1.906666666666667</c:v>
                </c:pt>
                <c:pt idx="6" formatCode="0.00">
                  <c:v>1.906666666666667</c:v>
                </c:pt>
                <c:pt idx="7" formatCode="0.00">
                  <c:v>1.906666666666667</c:v>
                </c:pt>
                <c:pt idx="8" formatCode="0.00">
                  <c:v>1.906666666666667</c:v>
                </c:pt>
                <c:pt idx="9" formatCode="0.00">
                  <c:v>1.906666666666667</c:v>
                </c:pt>
                <c:pt idx="10" formatCode="0.00">
                  <c:v>1.906666666666667</c:v>
                </c:pt>
                <c:pt idx="11" formatCode="0.00">
                  <c:v>3.15</c:v>
                </c:pt>
                <c:pt idx="12" formatCode="0.00">
                  <c:v>3.15</c:v>
                </c:pt>
                <c:pt idx="13" formatCode="0.00">
                  <c:v>3.3</c:v>
                </c:pt>
                <c:pt idx="14" formatCode="0.00">
                  <c:v>3.3</c:v>
                </c:pt>
                <c:pt idx="15" formatCode="0.00">
                  <c:v>2.39</c:v>
                </c:pt>
                <c:pt idx="16" formatCode="0.00">
                  <c:v>3.4</c:v>
                </c:pt>
                <c:pt idx="17" formatCode="0.00">
                  <c:v>2.73</c:v>
                </c:pt>
                <c:pt idx="18" formatCode="0.00">
                  <c:v>2.73</c:v>
                </c:pt>
                <c:pt idx="19" formatCode="0.00">
                  <c:v>1.52</c:v>
                </c:pt>
                <c:pt idx="20" formatCode="0.00">
                  <c:v>3.1566666666666667</c:v>
                </c:pt>
                <c:pt idx="21" formatCode="0.00">
                  <c:v>3.1566666666666667</c:v>
                </c:pt>
              </c:numCache>
            </c:numRef>
          </c:xVal>
          <c:yVal>
            <c:numRef>
              <c:f>'Regressie &amp; praktijk'!$DO$62:$DO$84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5-460F-9F08-DFB62E81A3A1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praktijk'!$P$91:$P$117</c:f>
              <c:numCache>
                <c:formatCode>0.00</c:formatCode>
                <c:ptCount val="27"/>
                <c:pt idx="0">
                  <c:v>2.13</c:v>
                </c:pt>
                <c:pt idx="1">
                  <c:v>2.13</c:v>
                </c:pt>
                <c:pt idx="2">
                  <c:v>2.13</c:v>
                </c:pt>
                <c:pt idx="3">
                  <c:v>3.15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3.4</c:v>
                </c:pt>
                <c:pt idx="17">
                  <c:v>3.4</c:v>
                </c:pt>
                <c:pt idx="18">
                  <c:v>1.52</c:v>
                </c:pt>
                <c:pt idx="19">
                  <c:v>1.52</c:v>
                </c:pt>
                <c:pt idx="20">
                  <c:v>3.1566666666666667</c:v>
                </c:pt>
                <c:pt idx="21">
                  <c:v>3.1566666666666667</c:v>
                </c:pt>
                <c:pt idx="22">
                  <c:v>3.1566666666666667</c:v>
                </c:pt>
                <c:pt idx="23">
                  <c:v>3.1566666666666667</c:v>
                </c:pt>
                <c:pt idx="24">
                  <c:v>3.1566666666666667</c:v>
                </c:pt>
                <c:pt idx="25">
                  <c:v>3.1566666666666667</c:v>
                </c:pt>
                <c:pt idx="26">
                  <c:v>3.1566666666666667</c:v>
                </c:pt>
              </c:numCache>
            </c:numRef>
          </c:xVal>
          <c:yVal>
            <c:numRef>
              <c:f>'Regressie &amp; praktijk'!$DO$91:$DO$117</c:f>
              <c:numCache>
                <c:formatCode>0.00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5-460F-9F08-DFB62E81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5056"/>
        <c:axId val="696359368"/>
      </c:scatterChart>
      <c:valAx>
        <c:axId val="69635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log Kow (-)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9368"/>
        <c:crossesAt val="-1000"/>
        <c:crossBetween val="midCat"/>
      </c:valAx>
      <c:valAx>
        <c:axId val="696359368"/>
        <c:scaling>
          <c:orientation val="minMax"/>
          <c:max val="-8"/>
          <c:min val="-16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log Pact</a:t>
                </a:r>
              </a:p>
            </c:rich>
          </c:tx>
          <c:layout>
            <c:manualLayout>
              <c:xMode val="edge"/>
              <c:yMode val="edge"/>
              <c:x val="1.0495772322692255E-2"/>
              <c:y val="0.3479705430152931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5056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2837141861564"/>
          <c:y val="6.4625444669726723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praktijk'!$CF$51:$CF$60</c:f>
              <c:numCache>
                <c:formatCode>0.00</c:formatCode>
                <c:ptCount val="10"/>
                <c:pt idx="0">
                  <c:v>3.8937596699329551E-4</c:v>
                </c:pt>
                <c:pt idx="1">
                  <c:v>1.1103400073574857E-3</c:v>
                </c:pt>
                <c:pt idx="2">
                  <c:v>4.794650031770961E-3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'Regressie &amp; praktijk'!$DO$51:$DO$60</c:f>
              <c:numCache>
                <c:formatCode>0.00</c:formatCode>
                <c:ptCount val="10"/>
                <c:pt idx="0">
                  <c:v>-11.87406251076772</c:v>
                </c:pt>
                <c:pt idx="1">
                  <c:v>-11.248365577664389</c:v>
                </c:pt>
                <c:pt idx="2">
                  <c:v>-11.147984415288622</c:v>
                </c:pt>
                <c:pt idx="3">
                  <c:v>-12.37260462676811</c:v>
                </c:pt>
                <c:pt idx="4">
                  <c:v>-13.100958408789339</c:v>
                </c:pt>
                <c:pt idx="5">
                  <c:v>-10.881575603974026</c:v>
                </c:pt>
                <c:pt idx="6">
                  <c:v>-11.126415926989123</c:v>
                </c:pt>
                <c:pt idx="7">
                  <c:v>-12.30807364098203</c:v>
                </c:pt>
                <c:pt idx="8">
                  <c:v>-12.841676251654143</c:v>
                </c:pt>
                <c:pt idx="9">
                  <c:v>-11.380308714344258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8-48DF-841F-CA92C8A3E5D3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praktijk'!$CF$86:$CF$88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'Regressie &amp; praktijk'!$DO$86:$DO$88</c:f>
              <c:numCache>
                <c:formatCode>0.00</c:formatCode>
                <c:ptCount val="3"/>
                <c:pt idx="0">
                  <c:v>-11.219177508149036</c:v>
                </c:pt>
                <c:pt idx="1">
                  <c:v>-10.66917882029456</c:v>
                </c:pt>
                <c:pt idx="2">
                  <c:v>-8.8808728974118658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8-48DF-841F-CA92C8A3E5D3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praktijk'!$CF$62:$CF$84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3.5368010019892434E-3</c:v>
                </c:pt>
                <c:pt idx="8">
                  <c:v>3.5368010019892434E-3</c:v>
                </c:pt>
                <c:pt idx="9">
                  <c:v>3.5368010019892434E-3</c:v>
                </c:pt>
                <c:pt idx="10">
                  <c:v>3.5368010019892434E-3</c:v>
                </c:pt>
                <c:pt idx="11">
                  <c:v>3.7896027678728369E-3</c:v>
                </c:pt>
                <c:pt idx="12">
                  <c:v>7.8394761437170803E-4</c:v>
                </c:pt>
                <c:pt idx="13">
                  <c:v>4.7020440251572329E-3</c:v>
                </c:pt>
                <c:pt idx="14">
                  <c:v>4.0880503144654089E-4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1.8015331141330192E-6</c:v>
                </c:pt>
                <c:pt idx="19">
                  <c:v>2.2663551401869158E-4</c:v>
                </c:pt>
                <c:pt idx="20">
                  <c:v>1.2616404066306146E-2</c:v>
                </c:pt>
                <c:pt idx="21">
                  <c:v>1.2200560118783279E-3</c:v>
                </c:pt>
              </c:numCache>
            </c:numRef>
          </c:xVal>
          <c:yVal>
            <c:numRef>
              <c:f>'Regressie &amp; praktijk'!$DO$62:$DO$84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8-48DF-841F-CA92C8A3E5D3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praktijk'!$CF$91:$CF$117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1.1564188032140223E-4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0.22327044025157233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2.9245283018867925E-3</c:v>
                </c:pt>
                <c:pt idx="12">
                  <c:v>2.6415094339622643E-3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2.1870333478253507E-3</c:v>
                </c:pt>
                <c:pt idx="18">
                  <c:v>6.3084112149532712E-3</c:v>
                </c:pt>
                <c:pt idx="19">
                  <c:v>2.570093457943925E-5</c:v>
                </c:pt>
                <c:pt idx="20">
                  <c:v>4.7825640888196158E-2</c:v>
                </c:pt>
                <c:pt idx="21">
                  <c:v>2.056502558192435E-2</c:v>
                </c:pt>
                <c:pt idx="22">
                  <c:v>7.6521025421113862E-3</c:v>
                </c:pt>
                <c:pt idx="23">
                  <c:v>3.2999692212855353E-3</c:v>
                </c:pt>
                <c:pt idx="24">
                  <c:v>2.8217128124035733E-3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'Regressie &amp; praktijk'!$DO$91:$DO$117</c:f>
              <c:numCache>
                <c:formatCode>0.00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8-48DF-841F-CA92C8A3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6232"/>
        <c:axId val="696357016"/>
      </c:scatterChart>
      <c:valAx>
        <c:axId val="6963562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 [-]</a:t>
                </a:r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7016"/>
        <c:crossesAt val="-1000"/>
        <c:crossBetween val="midCat"/>
      </c:valAx>
      <c:valAx>
        <c:axId val="696357016"/>
        <c:scaling>
          <c:orientation val="minMax"/>
          <c:max val="-10"/>
          <c:min val="-16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log Pact</a:t>
                </a:r>
              </a:p>
            </c:rich>
          </c:tx>
          <c:layout>
            <c:manualLayout>
              <c:xMode val="edge"/>
              <c:yMode val="edge"/>
              <c:x val="1.0495772322692255E-2"/>
              <c:y val="0.3479705430152931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623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6984206717418173"/>
          <c:y val="6.0000320773426569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praktijk'!$DQ$51:$DQ$60</c:f>
              <c:numCache>
                <c:formatCode>0%</c:formatCode>
                <c:ptCount val="10"/>
                <c:pt idx="0">
                  <c:v>0.38461538461538464</c:v>
                </c:pt>
                <c:pt idx="1">
                  <c:v>0.53846153846153844</c:v>
                </c:pt>
                <c:pt idx="2">
                  <c:v>0.69230769230769229</c:v>
                </c:pt>
                <c:pt idx="3">
                  <c:v>0.23076923076923078</c:v>
                </c:pt>
                <c:pt idx="4">
                  <c:v>7.6923076923076927E-2</c:v>
                </c:pt>
                <c:pt idx="5">
                  <c:v>0.84615384615384615</c:v>
                </c:pt>
                <c:pt idx="6">
                  <c:v>0.76923076923076927</c:v>
                </c:pt>
                <c:pt idx="7">
                  <c:v>0.30769230769230771</c:v>
                </c:pt>
                <c:pt idx="8">
                  <c:v>0.15384615384615385</c:v>
                </c:pt>
                <c:pt idx="9">
                  <c:v>0.46153846153846156</c:v>
                </c:pt>
              </c:numCache>
            </c:numRef>
          </c:xVal>
          <c:yVal>
            <c:numRef>
              <c:f>'Regressie &amp; praktijk'!$DO$51:$DO$60</c:f>
              <c:numCache>
                <c:formatCode>0.00</c:formatCode>
                <c:ptCount val="10"/>
                <c:pt idx="0">
                  <c:v>-11.87406251076772</c:v>
                </c:pt>
                <c:pt idx="1">
                  <c:v>-11.248365577664389</c:v>
                </c:pt>
                <c:pt idx="2">
                  <c:v>-11.147984415288622</c:v>
                </c:pt>
                <c:pt idx="3">
                  <c:v>-12.37260462676811</c:v>
                </c:pt>
                <c:pt idx="4">
                  <c:v>-13.100958408789339</c:v>
                </c:pt>
                <c:pt idx="5">
                  <c:v>-10.881575603974026</c:v>
                </c:pt>
                <c:pt idx="6">
                  <c:v>-11.126415926989123</c:v>
                </c:pt>
                <c:pt idx="7">
                  <c:v>-12.30807364098203</c:v>
                </c:pt>
                <c:pt idx="8">
                  <c:v>-12.841676251654143</c:v>
                </c:pt>
                <c:pt idx="9">
                  <c:v>-11.380308714344258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D-43D1-BD8D-1B2DDB9B3207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praktijk'!$DQ$86:$DQ$88</c:f>
              <c:numCache>
                <c:formatCode>0%</c:formatCode>
                <c:ptCount val="3"/>
                <c:pt idx="0">
                  <c:v>0.61538461538461542</c:v>
                </c:pt>
                <c:pt idx="1">
                  <c:v>0.92307692307692313</c:v>
                </c:pt>
                <c:pt idx="2">
                  <c:v>1</c:v>
                </c:pt>
              </c:numCache>
            </c:numRef>
          </c:xVal>
          <c:yVal>
            <c:numRef>
              <c:f>'Regressie &amp; praktijk'!$DO$86:$DO$88</c:f>
              <c:numCache>
                <c:formatCode>0.00</c:formatCode>
                <c:ptCount val="3"/>
                <c:pt idx="0">
                  <c:v>-11.219177508149036</c:v>
                </c:pt>
                <c:pt idx="1">
                  <c:v>-10.66917882029456</c:v>
                </c:pt>
                <c:pt idx="2">
                  <c:v>-8.8808728974118658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D-43D1-BD8D-1B2DDB9B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1920"/>
        <c:axId val="696355448"/>
      </c:scatterChart>
      <c:valAx>
        <c:axId val="69635192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5448"/>
        <c:crossesAt val="-100"/>
        <c:crossBetween val="midCat"/>
      </c:valAx>
      <c:valAx>
        <c:axId val="696355448"/>
        <c:scaling>
          <c:orientation val="minMax"/>
          <c:max val="-10"/>
          <c:min val="-16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log Pact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1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1062369303634967"/>
          <c:y val="7.1810463296113763E-2"/>
          <c:w val="0.34857790348021961"/>
          <c:h val="0.1887840887571600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praktijk'!$N$51:$N$60</c:f>
              <c:numCache>
                <c:formatCode>General</c:formatCode>
                <c:ptCount val="10"/>
                <c:pt idx="0">
                  <c:v>96.95</c:v>
                </c:pt>
                <c:pt idx="1">
                  <c:v>165.80749949115744</c:v>
                </c:pt>
                <c:pt idx="2">
                  <c:v>165.80749949115744</c:v>
                </c:pt>
                <c:pt idx="3">
                  <c:v>165.80749949115744</c:v>
                </c:pt>
                <c:pt idx="4">
                  <c:v>165.80749949115744</c:v>
                </c:pt>
                <c:pt idx="5">
                  <c:v>165.80749949115744</c:v>
                </c:pt>
                <c:pt idx="6">
                  <c:v>165.80749949115744</c:v>
                </c:pt>
                <c:pt idx="7">
                  <c:v>165.80749949115744</c:v>
                </c:pt>
                <c:pt idx="8">
                  <c:v>165.80749949115744</c:v>
                </c:pt>
                <c:pt idx="9">
                  <c:v>131.4</c:v>
                </c:pt>
              </c:numCache>
            </c:numRef>
          </c:xVal>
          <c:yVal>
            <c:numRef>
              <c:f>'Regressie &amp; praktijk'!$DO$51:$DO$60</c:f>
              <c:numCache>
                <c:formatCode>0.00</c:formatCode>
                <c:ptCount val="10"/>
                <c:pt idx="0">
                  <c:v>-11.87406251076772</c:v>
                </c:pt>
                <c:pt idx="1">
                  <c:v>-11.248365577664389</c:v>
                </c:pt>
                <c:pt idx="2">
                  <c:v>-11.147984415288622</c:v>
                </c:pt>
                <c:pt idx="3">
                  <c:v>-12.37260462676811</c:v>
                </c:pt>
                <c:pt idx="4">
                  <c:v>-13.100958408789339</c:v>
                </c:pt>
                <c:pt idx="5">
                  <c:v>-10.881575603974026</c:v>
                </c:pt>
                <c:pt idx="6">
                  <c:v>-11.126415926989123</c:v>
                </c:pt>
                <c:pt idx="7">
                  <c:v>-12.30807364098203</c:v>
                </c:pt>
                <c:pt idx="8">
                  <c:v>-12.841676251654143</c:v>
                </c:pt>
                <c:pt idx="9">
                  <c:v>-11.380308714344258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654-AFEF-8F67554B7AFA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praktijk'!$N$86:$N$88</c:f>
              <c:numCache>
                <c:formatCode>General</c:formatCode>
                <c:ptCount val="3"/>
                <c:pt idx="0">
                  <c:v>165.80749949115744</c:v>
                </c:pt>
                <c:pt idx="1">
                  <c:v>78.106666524406961</c:v>
                </c:pt>
                <c:pt idx="2">
                  <c:v>178.21</c:v>
                </c:pt>
              </c:numCache>
            </c:numRef>
          </c:xVal>
          <c:yVal>
            <c:numRef>
              <c:f>'Regressie &amp; praktijk'!$DO$86:$DO$88</c:f>
              <c:numCache>
                <c:formatCode>0.00</c:formatCode>
                <c:ptCount val="3"/>
                <c:pt idx="0">
                  <c:v>-11.219177508149036</c:v>
                </c:pt>
                <c:pt idx="1">
                  <c:v>-10.66917882029456</c:v>
                </c:pt>
                <c:pt idx="2">
                  <c:v>-8.8808728974118658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5-4654-AFEF-8F67554B7AFA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praktijk'!$CF$62:$CF$84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3.5368010019892434E-3</c:v>
                </c:pt>
                <c:pt idx="8">
                  <c:v>3.5368010019892434E-3</c:v>
                </c:pt>
                <c:pt idx="9">
                  <c:v>3.5368010019892434E-3</c:v>
                </c:pt>
                <c:pt idx="10">
                  <c:v>3.5368010019892434E-3</c:v>
                </c:pt>
                <c:pt idx="11">
                  <c:v>3.7896027678728369E-3</c:v>
                </c:pt>
                <c:pt idx="12">
                  <c:v>7.8394761437170803E-4</c:v>
                </c:pt>
                <c:pt idx="13">
                  <c:v>4.7020440251572329E-3</c:v>
                </c:pt>
                <c:pt idx="14">
                  <c:v>4.0880503144654089E-4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1.8015331141330192E-6</c:v>
                </c:pt>
                <c:pt idx="19">
                  <c:v>2.2663551401869158E-4</c:v>
                </c:pt>
                <c:pt idx="20">
                  <c:v>1.2616404066306146E-2</c:v>
                </c:pt>
                <c:pt idx="21">
                  <c:v>1.2200560118783279E-3</c:v>
                </c:pt>
              </c:numCache>
            </c:numRef>
          </c:xVal>
          <c:yVal>
            <c:numRef>
              <c:f>'Regressie &amp; praktijk'!$DO$62:$DO$84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5-4654-AFEF-8F67554B7AFA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praktijk'!$CF$91:$CF$117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1.1564188032140223E-4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0.22327044025157233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2.9245283018867925E-3</c:v>
                </c:pt>
                <c:pt idx="12">
                  <c:v>2.6415094339622643E-3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2.1870333478253507E-3</c:v>
                </c:pt>
                <c:pt idx="18">
                  <c:v>6.3084112149532712E-3</c:v>
                </c:pt>
                <c:pt idx="19">
                  <c:v>2.570093457943925E-5</c:v>
                </c:pt>
                <c:pt idx="20">
                  <c:v>4.7825640888196158E-2</c:v>
                </c:pt>
                <c:pt idx="21">
                  <c:v>2.056502558192435E-2</c:v>
                </c:pt>
                <c:pt idx="22">
                  <c:v>7.6521025421113862E-3</c:v>
                </c:pt>
                <c:pt idx="23">
                  <c:v>3.2999692212855353E-3</c:v>
                </c:pt>
                <c:pt idx="24">
                  <c:v>2.8217128124035733E-3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'Regressie &amp; praktijk'!$DO$91:$DO$117</c:f>
              <c:numCache>
                <c:formatCode>0.00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5-4654-AFEF-8F67554B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2312"/>
        <c:axId val="696352704"/>
      </c:scatterChart>
      <c:valAx>
        <c:axId val="69635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Mm (gram/mol)</a:t>
                </a:r>
              </a:p>
            </c:rich>
          </c:tx>
          <c:layout>
            <c:manualLayout>
              <c:xMode val="edge"/>
              <c:yMode val="edge"/>
              <c:x val="0.44241060949847427"/>
              <c:y val="0.9345469930855042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2704"/>
        <c:crossesAt val="-1000"/>
        <c:crossBetween val="midCat"/>
      </c:valAx>
      <c:valAx>
        <c:axId val="696352704"/>
        <c:scaling>
          <c:orientation val="minMax"/>
          <c:max val="-10"/>
          <c:min val="-16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log Pact</a:t>
                </a:r>
              </a:p>
            </c:rich>
          </c:tx>
          <c:layout>
            <c:manualLayout>
              <c:xMode val="edge"/>
              <c:yMode val="edge"/>
              <c:x val="1.0495772322692255E-2"/>
              <c:y val="0.3479705430152931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2312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7701402965747661"/>
          <c:y val="6.0000320773426569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7938090847639"/>
          <c:y val="2.6910416666666666E-2"/>
          <c:w val="0.74096820340948233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xVal>
          <c:yVal>
            <c:numRef>
              <c:f>'Regressie &amp; praktijk'!$BO$51:$BO$60</c:f>
              <c:numCache>
                <c:formatCode>0%</c:formatCode>
                <c:ptCount val="10"/>
                <c:pt idx="0">
                  <c:v>0.15833333333333333</c:v>
                </c:pt>
                <c:pt idx="1">
                  <c:v>0.20833333333333334</c:v>
                </c:pt>
                <c:pt idx="2">
                  <c:v>0.125</c:v>
                </c:pt>
                <c:pt idx="3">
                  <c:v>0.34166666666666667</c:v>
                </c:pt>
                <c:pt idx="4">
                  <c:v>0.60833333333333328</c:v>
                </c:pt>
                <c:pt idx="5">
                  <c:v>7.4999999999999997E-2</c:v>
                </c:pt>
                <c:pt idx="6">
                  <c:v>0.10833333333333334</c:v>
                </c:pt>
                <c:pt idx="7">
                  <c:v>0.30833333333333335</c:v>
                </c:pt>
                <c:pt idx="8">
                  <c:v>0.52500000000000002</c:v>
                </c:pt>
                <c:pt idx="9">
                  <c:v>9.166666666666666E-2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A-4DDC-8A0C-4CFD91BBC738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xVal>
          <c:yVal>
            <c:numRef>
              <c:f>'Regressie &amp; praktijk'!$BO$86:$BO$88</c:f>
              <c:numCache>
                <c:formatCode>0%</c:formatCode>
                <c:ptCount val="3"/>
                <c:pt idx="0">
                  <c:v>0.22500000000000001</c:v>
                </c:pt>
                <c:pt idx="1">
                  <c:v>5.8333333333333334E-2</c:v>
                </c:pt>
                <c:pt idx="2">
                  <c:v>0.24166666666666667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A-4DDC-8A0C-4CFD91BBC738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'Regressie &amp; praktijk'!$BK$62:$BK$84</c:f>
              <c:numCache>
                <c:formatCode>General</c:formatCode>
                <c:ptCount val="23"/>
                <c:pt idx="2" formatCode="_-* #,##0_-;\-* #,##0_-;_-* &quot;-&quot;??_-;_-@_-">
                  <c:v>4.1708486553509427</c:v>
                </c:pt>
                <c:pt idx="3" formatCode="_-* #,##0_-;\-* #,##0_-;_-* &quot;-&quot;??_-;_-@_-">
                  <c:v>0.97634437251339912</c:v>
                </c:pt>
                <c:pt idx="4" formatCode="_-* #,##0_-;\-* #,##0_-;_-* &quot;-&quot;??_-;_-@_-">
                  <c:v>1412.6660301122608</c:v>
                </c:pt>
                <c:pt idx="5" formatCode="_-* #,##0_-;\-* #,##0_-;_-* &quot;-&quot;??_-;_-@_-">
                  <c:v>1412.6660301122608</c:v>
                </c:pt>
                <c:pt idx="6" formatCode="_-* #,##0_-;\-* #,##0_-;_-* &quot;-&quot;??_-;_-@_-">
                  <c:v>1412.6660301122608</c:v>
                </c:pt>
                <c:pt idx="7" formatCode="_-* #,##0_-;\-* #,##0_-;_-* &quot;-&quot;??_-;_-@_-">
                  <c:v>559.01947212358027</c:v>
                </c:pt>
                <c:pt idx="8" formatCode="_-* #,##0_-;\-* #,##0_-;_-* &quot;-&quot;??_-;_-@_-">
                  <c:v>559.01947212358027</c:v>
                </c:pt>
                <c:pt idx="9" formatCode="_-* #,##0_-;\-* #,##0_-;_-* &quot;-&quot;??_-;_-@_-">
                  <c:v>559.01947212358027</c:v>
                </c:pt>
                <c:pt idx="10" formatCode="_-* #,##0_-;\-* #,##0_-;_-* &quot;-&quot;??_-;_-@_-">
                  <c:v>559.01947212358027</c:v>
                </c:pt>
                <c:pt idx="11" formatCode="_-* #,##0_-;\-* #,##0_-;_-* &quot;-&quot;??_-;_-@_-">
                  <c:v>339.13058596909082</c:v>
                </c:pt>
                <c:pt idx="12" formatCode="_-* #,##0_-;\-* #,##0_-;_-* &quot;-&quot;??_-;_-@_-">
                  <c:v>83.197405761333727</c:v>
                </c:pt>
                <c:pt idx="13" formatCode="_-* #,##0_-;\-* #,##0_-;_-* &quot;-&quot;??_-;_-@_-">
                  <c:v>62.436798785324619</c:v>
                </c:pt>
                <c:pt idx="14" formatCode="_-* #,##0_-;\-* #,##0_-;_-* &quot;-&quot;??_-;_-@_-">
                  <c:v>6.4938928098078037</c:v>
                </c:pt>
                <c:pt idx="15" formatCode="_-* #,##0_-;\-* #,##0_-;_-* &quot;-&quot;??_-;_-@_-">
                  <c:v>5.3670466260330327</c:v>
                </c:pt>
                <c:pt idx="16" formatCode="_-* #,##0_-;\-* #,##0_-;_-* &quot;-&quot;??_-;_-@_-">
                  <c:v>1636.2341283351946</c:v>
                </c:pt>
                <c:pt idx="17" formatCode="_-* #,##0_-;\-* #,##0_-;_-* &quot;-&quot;??_-;_-@_-">
                  <c:v>25.765449013481081</c:v>
                </c:pt>
                <c:pt idx="18" formatCode="_-* #,##0_-;\-* #,##0_-;_-* &quot;-&quot;??_-;_-@_-">
                  <c:v>0.70846908776270645</c:v>
                </c:pt>
                <c:pt idx="19" formatCode="_-* #,##0_-;\-* #,##0_-;_-* &quot;-&quot;??_-;_-@_-">
                  <c:v>24.239865804406698</c:v>
                </c:pt>
                <c:pt idx="20" formatCode="_-* #,##0_-;\-* #,##0_-;_-* &quot;-&quot;??_-;_-@_-">
                  <c:v>1495.1146811217764</c:v>
                </c:pt>
                <c:pt idx="21" formatCode="_-* #,##0_-;\-* #,##0_-;_-* &quot;-&quot;??_-;_-@_-">
                  <c:v>169.98630521133234</c:v>
                </c:pt>
              </c:numCache>
            </c:numRef>
          </c:xVal>
          <c:yVal>
            <c:numRef>
              <c:f>'Regressie &amp; praktijk'!$BO$62:$BO$84</c:f>
              <c:numCache>
                <c:formatCode>General</c:formatCode>
                <c:ptCount val="23"/>
                <c:pt idx="2" formatCode="0%">
                  <c:v>0.14166666666666666</c:v>
                </c:pt>
                <c:pt idx="3" formatCode="0%">
                  <c:v>4.1666666666666664E-2</c:v>
                </c:pt>
                <c:pt idx="4" formatCode="0%">
                  <c:v>0.79166666666666663</c:v>
                </c:pt>
                <c:pt idx="5" formatCode="0%">
                  <c:v>0.79166666666666663</c:v>
                </c:pt>
                <c:pt idx="6" formatCode="0%">
                  <c:v>0.79166666666666663</c:v>
                </c:pt>
                <c:pt idx="7" formatCode="0%">
                  <c:v>0.68333333333333335</c:v>
                </c:pt>
                <c:pt idx="8" formatCode="0%">
                  <c:v>0.68333333333333335</c:v>
                </c:pt>
                <c:pt idx="9" formatCode="0%">
                  <c:v>0.68333333333333335</c:v>
                </c:pt>
                <c:pt idx="10" formatCode="0%">
                  <c:v>0.68333333333333335</c:v>
                </c:pt>
                <c:pt idx="11" formatCode="0%">
                  <c:v>0.59166666666666667</c:v>
                </c:pt>
                <c:pt idx="12" formatCode="0%">
                  <c:v>0.375</c:v>
                </c:pt>
                <c:pt idx="13" formatCode="0%">
                  <c:v>0.32500000000000001</c:v>
                </c:pt>
                <c:pt idx="14" formatCode="0%">
                  <c:v>0.19166666666666668</c:v>
                </c:pt>
                <c:pt idx="15" formatCode="0%">
                  <c:v>0.17499999999999999</c:v>
                </c:pt>
                <c:pt idx="16" formatCode="0%">
                  <c:v>0.85833333333333328</c:v>
                </c:pt>
                <c:pt idx="17" formatCode="0%">
                  <c:v>0.27500000000000002</c:v>
                </c:pt>
                <c:pt idx="18" formatCode="0%">
                  <c:v>8.3333333333333332E-3</c:v>
                </c:pt>
                <c:pt idx="19" formatCode="0%">
                  <c:v>0.25833333333333336</c:v>
                </c:pt>
                <c:pt idx="20" formatCode="0%">
                  <c:v>0.84166666666666667</c:v>
                </c:pt>
                <c:pt idx="21" formatCode="0%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A-4DDC-8A0C-4CFD91BBC738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'Regressie &amp; praktijk'!$BK$91:$BK$117</c:f>
              <c:numCache>
                <c:formatCode>_-* #,##0_-;\-* #,##0_-;_-* "-"??_-;_-@_-</c:formatCode>
                <c:ptCount val="27"/>
                <c:pt idx="0">
                  <c:v>3101.2347461357999</c:v>
                </c:pt>
                <c:pt idx="1">
                  <c:v>296.81147737710774</c:v>
                </c:pt>
                <c:pt idx="2">
                  <c:v>126.45739301118191</c:v>
                </c:pt>
                <c:pt idx="3">
                  <c:v>29470.434514250112</c:v>
                </c:pt>
                <c:pt idx="4">
                  <c:v>19002.426061737111</c:v>
                </c:pt>
                <c:pt idx="5">
                  <c:v>10581.370297161582</c:v>
                </c:pt>
                <c:pt idx="6">
                  <c:v>3130.2552673481377</c:v>
                </c:pt>
                <c:pt idx="7">
                  <c:v>1430.3535286455151</c:v>
                </c:pt>
                <c:pt idx="8">
                  <c:v>427.3808848594411</c:v>
                </c:pt>
                <c:pt idx="9">
                  <c:v>217.97515507562136</c:v>
                </c:pt>
                <c:pt idx="10">
                  <c:v>206.42460221688694</c:v>
                </c:pt>
                <c:pt idx="11">
                  <c:v>106.30195336079628</c:v>
                </c:pt>
                <c:pt idx="12">
                  <c:v>95.981953269789543</c:v>
                </c:pt>
                <c:pt idx="13">
                  <c:v>84.523519861897469</c:v>
                </c:pt>
                <c:pt idx="14">
                  <c:v>79.942572117301509</c:v>
                </c:pt>
                <c:pt idx="15">
                  <c:v>45.629608173205099</c:v>
                </c:pt>
                <c:pt idx="16">
                  <c:v>551.75125731362323</c:v>
                </c:pt>
                <c:pt idx="17">
                  <c:v>154.89083006114487</c:v>
                </c:pt>
                <c:pt idx="18">
                  <c:v>190.05029403782405</c:v>
                </c:pt>
                <c:pt idx="19">
                  <c:v>0.76439555829233852</c:v>
                </c:pt>
                <c:pt idx="20">
                  <c:v>16149.035148441206</c:v>
                </c:pt>
                <c:pt idx="21">
                  <c:v>6719.8513948595237</c:v>
                </c:pt>
                <c:pt idx="22">
                  <c:v>2461.8333695508459</c:v>
                </c:pt>
                <c:pt idx="23">
                  <c:v>1056.1166889954436</c:v>
                </c:pt>
                <c:pt idx="24">
                  <c:v>902.5364122345394</c:v>
                </c:pt>
                <c:pt idx="25">
                  <c:v>871.84153953376801</c:v>
                </c:pt>
                <c:pt idx="26">
                  <c:v>335.8227031550465</c:v>
                </c:pt>
              </c:numCache>
            </c:numRef>
          </c:xVal>
          <c:yVal>
            <c:numRef>
              <c:f>'Regressie &amp; praktijk'!$BO$91:$BO$117</c:f>
              <c:numCache>
                <c:formatCode>0%</c:formatCode>
                <c:ptCount val="27"/>
                <c:pt idx="0">
                  <c:v>0.89166666666666672</c:v>
                </c:pt>
                <c:pt idx="1">
                  <c:v>0.55833333333333335</c:v>
                </c:pt>
                <c:pt idx="2">
                  <c:v>0.44166666666666665</c:v>
                </c:pt>
                <c:pt idx="3">
                  <c:v>0.9916666666666667</c:v>
                </c:pt>
                <c:pt idx="4">
                  <c:v>0.97499999999999998</c:v>
                </c:pt>
                <c:pt idx="5">
                  <c:v>0.94166666666666665</c:v>
                </c:pt>
                <c:pt idx="6">
                  <c:v>0.90833333333333333</c:v>
                </c:pt>
                <c:pt idx="7">
                  <c:v>0.82499999999999996</c:v>
                </c:pt>
                <c:pt idx="8">
                  <c:v>0.625</c:v>
                </c:pt>
                <c:pt idx="9">
                  <c:v>0.54166666666666663</c:v>
                </c:pt>
                <c:pt idx="10">
                  <c:v>0.5083333333333333</c:v>
                </c:pt>
                <c:pt idx="11">
                  <c:v>0.42499999999999999</c:v>
                </c:pt>
                <c:pt idx="12">
                  <c:v>0.40833333333333333</c:v>
                </c:pt>
                <c:pt idx="13">
                  <c:v>0.39166666666666666</c:v>
                </c:pt>
                <c:pt idx="14">
                  <c:v>0.35833333333333334</c:v>
                </c:pt>
                <c:pt idx="15">
                  <c:v>0.29166666666666669</c:v>
                </c:pt>
                <c:pt idx="16">
                  <c:v>0.64166666666666672</c:v>
                </c:pt>
                <c:pt idx="17">
                  <c:v>0.45833333333333331</c:v>
                </c:pt>
                <c:pt idx="18">
                  <c:v>0.49166666666666664</c:v>
                </c:pt>
                <c:pt idx="19">
                  <c:v>2.5000000000000001E-2</c:v>
                </c:pt>
                <c:pt idx="20">
                  <c:v>0.95833333333333337</c:v>
                </c:pt>
                <c:pt idx="21">
                  <c:v>0.92500000000000004</c:v>
                </c:pt>
                <c:pt idx="22">
                  <c:v>0.875</c:v>
                </c:pt>
                <c:pt idx="23">
                  <c:v>0.7583333333333333</c:v>
                </c:pt>
                <c:pt idx="24">
                  <c:v>0.7416666666666667</c:v>
                </c:pt>
                <c:pt idx="25">
                  <c:v>0.72499999999999998</c:v>
                </c:pt>
                <c:pt idx="26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A-4DDC-8A0C-4CFD91BBC738}"/>
            </c:ext>
          </c:extLst>
        </c:ser>
        <c:ser>
          <c:idx val="4"/>
          <c:order val="4"/>
          <c:tx>
            <c:v>regressie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'Regressie &amp; praktijk'!$BY$122:$BY$148</c:f>
              <c:numCache>
                <c:formatCode>General</c:formatCode>
                <c:ptCount val="27"/>
                <c:pt idx="0">
                  <c:v>0.01</c:v>
                </c:pt>
                <c:pt idx="1">
                  <c:v>1.5848931924611124E-2</c:v>
                </c:pt>
                <c:pt idx="2">
                  <c:v>2.511886431509578E-2</c:v>
                </c:pt>
                <c:pt idx="3">
                  <c:v>3.9810717055349713E-2</c:v>
                </c:pt>
                <c:pt idx="4">
                  <c:v>6.3095734448019289E-2</c:v>
                </c:pt>
                <c:pt idx="5">
                  <c:v>9.9999999999999922E-2</c:v>
                </c:pt>
                <c:pt idx="6">
                  <c:v>0.1584893192461112</c:v>
                </c:pt>
                <c:pt idx="7">
                  <c:v>0.25118864315095779</c:v>
                </c:pt>
                <c:pt idx="8">
                  <c:v>0.39810717055349698</c:v>
                </c:pt>
                <c:pt idx="9">
                  <c:v>0.63095734448019281</c:v>
                </c:pt>
                <c:pt idx="10">
                  <c:v>0.99999999999999933</c:v>
                </c:pt>
                <c:pt idx="11">
                  <c:v>1.5848931924611125</c:v>
                </c:pt>
                <c:pt idx="12">
                  <c:v>2.5118864315095788</c:v>
                </c:pt>
                <c:pt idx="13">
                  <c:v>3.9810717055349709</c:v>
                </c:pt>
                <c:pt idx="14">
                  <c:v>5.3088444423098844</c:v>
                </c:pt>
                <c:pt idx="15">
                  <c:v>5.3088444423098844</c:v>
                </c:pt>
                <c:pt idx="16">
                  <c:v>6.3095734448019307</c:v>
                </c:pt>
                <c:pt idx="17">
                  <c:v>7.0794578438413795</c:v>
                </c:pt>
                <c:pt idx="18">
                  <c:v>7.0794578438413795</c:v>
                </c:pt>
                <c:pt idx="19">
                  <c:v>9.9999999999999982</c:v>
                </c:pt>
                <c:pt idx="20">
                  <c:v>15.848931924611129</c:v>
                </c:pt>
                <c:pt idx="21">
                  <c:v>25.118864315095788</c:v>
                </c:pt>
                <c:pt idx="22">
                  <c:v>39.810717055349699</c:v>
                </c:pt>
                <c:pt idx="23">
                  <c:v>63.095734448019307</c:v>
                </c:pt>
                <c:pt idx="24">
                  <c:v>99.999999999999957</c:v>
                </c:pt>
                <c:pt idx="25">
                  <c:v>158.48931924611139</c:v>
                </c:pt>
                <c:pt idx="26">
                  <c:v>251.18864315095806</c:v>
                </c:pt>
              </c:numCache>
            </c:numRef>
          </c:xVal>
          <c:yVal>
            <c:numRef>
              <c:f>'Regressie &amp; praktijk'!$CA$122:$CA$148</c:f>
              <c:numCache>
                <c:formatCode>General</c:formatCode>
                <c:ptCount val="27"/>
                <c:pt idx="0">
                  <c:v>2.1582413053688641E-4</c:v>
                </c:pt>
                <c:pt idx="1">
                  <c:v>3.52419556240356E-4</c:v>
                </c:pt>
                <c:pt idx="2">
                  <c:v>5.7546643793578297E-4</c:v>
                </c:pt>
                <c:pt idx="3">
                  <c:v>9.3968003570335632E-4</c:v>
                </c:pt>
                <c:pt idx="4">
                  <c:v>1.5344049822728233E-3</c:v>
                </c:pt>
                <c:pt idx="5">
                  <c:v>2.505532266481948E-3</c:v>
                </c:pt>
                <c:pt idx="6">
                  <c:v>4.0912875094314283E-3</c:v>
                </c:pt>
                <c:pt idx="7">
                  <c:v>6.6806696959175859E-3</c:v>
                </c:pt>
                <c:pt idx="8">
                  <c:v>1.0908875869286919E-2</c:v>
                </c:pt>
                <c:pt idx="9">
                  <c:v>1.7813120263112402E-2</c:v>
                </c:pt>
                <c:pt idx="10">
                  <c:v>2.9087071602075829E-2</c:v>
                </c:pt>
                <c:pt idx="11">
                  <c:v>4.7496324163729509E-2</c:v>
                </c:pt>
                <c:pt idx="12">
                  <c:v>7.7556821117223895E-2</c:v>
                </c:pt>
                <c:pt idx="13">
                  <c:v>0.12664265304140002</c:v>
                </c:pt>
                <c:pt idx="14">
                  <c:v>0.17206003226327057</c:v>
                </c:pt>
                <c:pt idx="15">
                  <c:v>0.17206003226327057</c:v>
                </c:pt>
                <c:pt idx="16">
                  <c:v>0.20679498383672951</c:v>
                </c:pt>
                <c:pt idx="17">
                  <c:v>0.23376527569080377</c:v>
                </c:pt>
                <c:pt idx="18">
                  <c:v>0.22946159073948258</c:v>
                </c:pt>
                <c:pt idx="19">
                  <c:v>0.24745714613338068</c:v>
                </c:pt>
                <c:pt idx="20">
                  <c:v>0.2736654678895985</c:v>
                </c:pt>
                <c:pt idx="21">
                  <c:v>0.30264952734428302</c:v>
                </c:pt>
                <c:pt idx="22">
                  <c:v>0.33470330439597046</c:v>
                </c:pt>
                <c:pt idx="23">
                  <c:v>0.37015191451511703</c:v>
                </c:pt>
                <c:pt idx="24">
                  <c:v>0.40935490632955945</c:v>
                </c:pt>
                <c:pt idx="25">
                  <c:v>0.45270990845905457</c:v>
                </c:pt>
                <c:pt idx="26">
                  <c:v>0.50065666258806107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A-4DDC-8A0C-4CFD91BB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3096"/>
        <c:axId val="696360936"/>
      </c:scatterChart>
      <c:valAx>
        <c:axId val="696353096"/>
        <c:scaling>
          <c:logBase val="100"/>
          <c:orientation val="minMax"/>
          <c:max val="1000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Concentratie t.o.v.</a:t>
                </a:r>
                <a:r>
                  <a:rPr lang="en-US" sz="900" b="1" baseline="0"/>
                  <a:t> ongecorrigeerde risicogrenswaarde</a:t>
                </a:r>
                <a:endParaRPr lang="en-US" sz="900" b="1"/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60936"/>
        <c:crossesAt val="0"/>
        <c:crossBetween val="midCat"/>
      </c:valAx>
      <c:valAx>
        <c:axId val="69636093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kans op overschrijding drinkwaternorm</a:t>
                </a:r>
              </a:p>
            </c:rich>
          </c:tx>
          <c:layout>
            <c:manualLayout>
              <c:xMode val="edge"/>
              <c:yMode val="edge"/>
              <c:x val="3.3981194369618645E-3"/>
              <c:y val="0.1015899905126324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3096"/>
        <c:crossesAt val="1.0000000000000008E-14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9157377818470949"/>
          <c:y val="0.50021954474615105"/>
          <c:w val="0.40664109924615999"/>
          <c:h val="0.2654888984983672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32855611576483"/>
          <c:y val="2.6910436974059149E-2"/>
          <c:w val="0.73046987000498464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'Regressie &amp; praktijk'!$BK$51:$BK$60</c:f>
              <c:numCache>
                <c:formatCode>0.000</c:formatCode>
                <c:ptCount val="10"/>
                <c:pt idx="0">
                  <c:v>4.6703574039855882</c:v>
                </c:pt>
                <c:pt idx="1">
                  <c:v>7.1624688891175934</c:v>
                </c:pt>
                <c:pt idx="2">
                  <c:v>4.0709853890321455</c:v>
                </c:pt>
                <c:pt idx="3">
                  <c:v>76.459538707252094</c:v>
                </c:pt>
                <c:pt idx="4">
                  <c:v>409.05853208379864</c:v>
                </c:pt>
                <c:pt idx="5">
                  <c:v>2.2930238757236747</c:v>
                </c:pt>
                <c:pt idx="6">
                  <c:v>4.0294790281873647</c:v>
                </c:pt>
                <c:pt idx="7">
                  <c:v>61.22187323476868</c:v>
                </c:pt>
                <c:pt idx="8">
                  <c:v>209.1747335521263</c:v>
                </c:pt>
                <c:pt idx="9">
                  <c:v>3.1287170889939904</c:v>
                </c:pt>
              </c:numCache>
            </c:numRef>
          </c:xVal>
          <c:yVal>
            <c:numRef>
              <c:f>'Regressie &amp; praktijk'!$BQ$51:$BQ$60</c:f>
              <c:numCache>
                <c:formatCode>0%</c:formatCode>
                <c:ptCount val="10"/>
                <c:pt idx="0">
                  <c:v>0.42307692307692307</c:v>
                </c:pt>
                <c:pt idx="1">
                  <c:v>0.5</c:v>
                </c:pt>
                <c:pt idx="2">
                  <c:v>0.34615384615384615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0.11538461538461539</c:v>
                </c:pt>
                <c:pt idx="6">
                  <c:v>0.26923076923076922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0.19230769230769232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6F4-88C1-C7D42BDD4DC2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'Regressie &amp; praktijk'!$BK$86:$BK$88</c:f>
              <c:numCache>
                <c:formatCode>0.0</c:formatCode>
                <c:ptCount val="3"/>
                <c:pt idx="0">
                  <c:v>8.9736601690319215</c:v>
                </c:pt>
                <c:pt idx="1">
                  <c:v>1.137198356239735</c:v>
                </c:pt>
                <c:pt idx="2">
                  <c:v>22.063811310090323</c:v>
                </c:pt>
              </c:numCache>
            </c:numRef>
          </c:xVal>
          <c:yVal>
            <c:numRef>
              <c:f>'Regressie &amp; praktijk'!$BQ$86:$BQ$88</c:f>
              <c:numCache>
                <c:formatCode>0%</c:formatCode>
                <c:ptCount val="3"/>
                <c:pt idx="0">
                  <c:v>0.57692307692307687</c:v>
                </c:pt>
                <c:pt idx="1">
                  <c:v>3.8461538461538464E-2</c:v>
                </c:pt>
                <c:pt idx="2">
                  <c:v>0.65384615384615385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1-46F4-88C1-C7D42BDD4DC2}"/>
            </c:ext>
          </c:extLst>
        </c:ser>
        <c:ser>
          <c:idx val="1"/>
          <c:order val="2"/>
          <c:tx>
            <c:v>regressie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'Regressie &amp; praktijk'!$BY$122:$BY$148</c:f>
              <c:numCache>
                <c:formatCode>General</c:formatCode>
                <c:ptCount val="27"/>
                <c:pt idx="0">
                  <c:v>0.01</c:v>
                </c:pt>
                <c:pt idx="1">
                  <c:v>1.5848931924611124E-2</c:v>
                </c:pt>
                <c:pt idx="2">
                  <c:v>2.511886431509578E-2</c:v>
                </c:pt>
                <c:pt idx="3">
                  <c:v>3.9810717055349713E-2</c:v>
                </c:pt>
                <c:pt idx="4">
                  <c:v>6.3095734448019289E-2</c:v>
                </c:pt>
                <c:pt idx="5">
                  <c:v>9.9999999999999922E-2</c:v>
                </c:pt>
                <c:pt idx="6">
                  <c:v>0.1584893192461112</c:v>
                </c:pt>
                <c:pt idx="7">
                  <c:v>0.25118864315095779</c:v>
                </c:pt>
                <c:pt idx="8">
                  <c:v>0.39810717055349698</c:v>
                </c:pt>
                <c:pt idx="9">
                  <c:v>0.63095734448019281</c:v>
                </c:pt>
                <c:pt idx="10">
                  <c:v>0.99999999999999933</c:v>
                </c:pt>
                <c:pt idx="11">
                  <c:v>1.5848931924611125</c:v>
                </c:pt>
                <c:pt idx="12">
                  <c:v>2.5118864315095788</c:v>
                </c:pt>
                <c:pt idx="13">
                  <c:v>3.9810717055349709</c:v>
                </c:pt>
                <c:pt idx="14">
                  <c:v>5.3088444423098844</c:v>
                </c:pt>
                <c:pt idx="15">
                  <c:v>5.3088444423098844</c:v>
                </c:pt>
                <c:pt idx="16">
                  <c:v>6.3095734448019307</c:v>
                </c:pt>
                <c:pt idx="17">
                  <c:v>7.0794578438413795</c:v>
                </c:pt>
                <c:pt idx="18">
                  <c:v>7.0794578438413795</c:v>
                </c:pt>
                <c:pt idx="19">
                  <c:v>9.9999999999999982</c:v>
                </c:pt>
                <c:pt idx="20">
                  <c:v>15.848931924611129</c:v>
                </c:pt>
                <c:pt idx="21">
                  <c:v>25.118864315095788</c:v>
                </c:pt>
                <c:pt idx="22">
                  <c:v>39.810717055349699</c:v>
                </c:pt>
                <c:pt idx="23">
                  <c:v>63.095734448019307</c:v>
                </c:pt>
                <c:pt idx="24">
                  <c:v>99.999999999999957</c:v>
                </c:pt>
                <c:pt idx="25">
                  <c:v>158.48931924611139</c:v>
                </c:pt>
                <c:pt idx="26">
                  <c:v>251.18864315095806</c:v>
                </c:pt>
              </c:numCache>
            </c:numRef>
          </c:xVal>
          <c:yVal>
            <c:numRef>
              <c:f>'Regressie &amp; praktijk'!$CC$122:$CC$148</c:f>
              <c:numCache>
                <c:formatCode>General</c:formatCode>
                <c:ptCount val="27"/>
                <c:pt idx="0">
                  <c:v>1.373409350977001E-5</c:v>
                </c:pt>
                <c:pt idx="1">
                  <c:v>2.9626476256520312E-5</c:v>
                </c:pt>
                <c:pt idx="2">
                  <c:v>6.3908702438481105E-5</c:v>
                </c:pt>
                <c:pt idx="3">
                  <c:v>1.378605478426217E-4</c:v>
                </c:pt>
                <c:pt idx="4">
                  <c:v>2.9738564430662091E-4</c:v>
                </c:pt>
                <c:pt idx="5">
                  <c:v>6.4150493251066178E-4</c:v>
                </c:pt>
                <c:pt idx="6">
                  <c:v>1.3838212647924611E-3</c:v>
                </c:pt>
                <c:pt idx="7">
                  <c:v>2.9851076676795135E-3</c:v>
                </c:pt>
                <c:pt idx="8">
                  <c:v>6.4393198849819963E-3</c:v>
                </c:pt>
                <c:pt idx="9">
                  <c:v>1.38905678445285E-2</c:v>
                </c:pt>
                <c:pt idx="10">
                  <c:v>2.9964014599344387E-2</c:v>
                </c:pt>
                <c:pt idx="11">
                  <c:v>6.4636822695724738E-2</c:v>
                </c:pt>
                <c:pt idx="12">
                  <c:v>0.13943121120659077</c:v>
                </c:pt>
                <c:pt idx="13">
                  <c:v>0.30077379808804877</c:v>
                </c:pt>
                <c:pt idx="14">
                  <c:v>0.48631201551868219</c:v>
                </c:pt>
                <c:pt idx="15">
                  <c:v>0.48418909059403437</c:v>
                </c:pt>
                <c:pt idx="16">
                  <c:v>0.49856294840758764</c:v>
                </c:pt>
                <c:pt idx="17">
                  <c:v>0.50838180646602393</c:v>
                </c:pt>
                <c:pt idx="18">
                  <c:v>0.50838180646602393</c:v>
                </c:pt>
                <c:pt idx="19">
                  <c:v>0.53901394363255084</c:v>
                </c:pt>
                <c:pt idx="20">
                  <c:v>0.5827469376901917</c:v>
                </c:pt>
                <c:pt idx="21">
                  <c:v>0.63002821615093396</c:v>
                </c:pt>
                <c:pt idx="22">
                  <c:v>0.68114566971324464</c:v>
                </c:pt>
                <c:pt idx="23">
                  <c:v>0.7364105471396144</c:v>
                </c:pt>
                <c:pt idx="24">
                  <c:v>0.79615935041731856</c:v>
                </c:pt>
                <c:pt idx="25">
                  <c:v>0.86075588368338884</c:v>
                </c:pt>
                <c:pt idx="26">
                  <c:v>0.93059346838948465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1-46F4-88C1-C7D42BDD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3880"/>
        <c:axId val="696354272"/>
      </c:scatterChart>
      <c:valAx>
        <c:axId val="696353880"/>
        <c:scaling>
          <c:logBase val="100"/>
          <c:orientation val="minMax"/>
          <c:max val="1000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Concentratie</a:t>
                </a:r>
                <a:r>
                  <a:rPr lang="en-US" sz="900" b="1" baseline="0"/>
                  <a:t> t.o.v. risicogrenswaarde</a:t>
                </a:r>
                <a:endParaRPr lang="en-US" sz="900" b="1"/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4272"/>
        <c:crossesAt val="0"/>
        <c:crossBetween val="midCat"/>
      </c:valAx>
      <c:valAx>
        <c:axId val="696354272"/>
        <c:scaling>
          <c:logBase val="10"/>
          <c:orientation val="minMax"/>
          <c:max val="1"/>
          <c:min val="1.0000000000000002E-3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Kans op overschrijding drinkwaternorm</a:t>
                </a:r>
              </a:p>
            </c:rich>
          </c:tx>
          <c:layout>
            <c:manualLayout>
              <c:xMode val="edge"/>
              <c:yMode val="edge"/>
              <c:x val="6.8995063982955525E-3"/>
              <c:y val="0.1005883031114777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6353880"/>
        <c:crossesAt val="1.0000000000000004E-6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0496248362380403"/>
          <c:y val="0.54896554607220394"/>
          <c:w val="0.4145074349032426"/>
          <c:h val="0.210152205018065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53134582456579"/>
          <c:y val="7.407407407407407E-2"/>
          <c:w val="0.74557972271980011"/>
          <c:h val="0.74135510691723416"/>
        </c:manualLayout>
      </c:layout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045026344495411"/>
                  <c:y val="0.24688867016622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'Regressie &amp; praktijk'!$BL$122:$BL$127</c:f>
              <c:numCache>
                <c:formatCode>General</c:formatCode>
                <c:ptCount val="6"/>
                <c:pt idx="0">
                  <c:v>0.66935011667734723</c:v>
                </c:pt>
                <c:pt idx="1">
                  <c:v>0.60969954367782697</c:v>
                </c:pt>
                <c:pt idx="2">
                  <c:v>0.36040857677139543</c:v>
                </c:pt>
                <c:pt idx="3">
                  <c:v>0.6052488997864931</c:v>
                </c:pt>
                <c:pt idx="4">
                  <c:v>0.4953662942923554</c:v>
                </c:pt>
                <c:pt idx="5">
                  <c:v>5.5836223269082857E-2</c:v>
                </c:pt>
              </c:numCache>
            </c:numRef>
          </c:xVal>
          <c:yVal>
            <c:numRef>
              <c:f>'Regressie &amp; praktijk'!$BR$122:$BR$127</c:f>
              <c:numCache>
                <c:formatCode>General</c:formatCode>
                <c:ptCount val="6"/>
                <c:pt idx="0">
                  <c:v>-0.37358066281259295</c:v>
                </c:pt>
                <c:pt idx="1">
                  <c:v>-0.4607308385314931</c:v>
                </c:pt>
                <c:pt idx="2">
                  <c:v>-0.93785209325115548</c:v>
                </c:pt>
                <c:pt idx="3">
                  <c:v>-0.56987530795656116</c:v>
                </c:pt>
                <c:pt idx="4">
                  <c:v>-0.71600334363479912</c:v>
                </c:pt>
                <c:pt idx="5">
                  <c:v>-1.414973347970818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A-49AA-AAA8-E0FDA5718D92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35959849022923E-2"/>
                  <c:y val="0.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'Regressie &amp; praktijk'!$BL$129:$BL$136</c:f>
              <c:numCache>
                <c:formatCode>General</c:formatCode>
                <c:ptCount val="8"/>
                <c:pt idx="0">
                  <c:v>0.66935011667734723</c:v>
                </c:pt>
                <c:pt idx="1">
                  <c:v>0.85506274857909037</c:v>
                </c:pt>
                <c:pt idx="2">
                  <c:v>1.8834316735221501</c:v>
                </c:pt>
                <c:pt idx="3">
                  <c:v>2.6117854555433784</c:v>
                </c:pt>
                <c:pt idx="4">
                  <c:v>1.7869066137794007</c:v>
                </c:pt>
                <c:pt idx="5">
                  <c:v>2.3205092244515111</c:v>
                </c:pt>
                <c:pt idx="6">
                  <c:v>0.95296961885108677</c:v>
                </c:pt>
                <c:pt idx="7">
                  <c:v>1.3436805347574015</c:v>
                </c:pt>
              </c:numCache>
            </c:numRef>
          </c:xVal>
          <c:yVal>
            <c:numRef>
              <c:f>'Regressie &amp; praktijk'!$BR$129:$BR$136</c:f>
              <c:numCache>
                <c:formatCode>General</c:formatCode>
                <c:ptCount val="8"/>
                <c:pt idx="0">
                  <c:v>-0.37358066281259295</c:v>
                </c:pt>
                <c:pt idx="1">
                  <c:v>-0.3010299956639812</c:v>
                </c:pt>
                <c:pt idx="2">
                  <c:v>-9.2754053236898684E-2</c:v>
                </c:pt>
                <c:pt idx="3">
                  <c:v>-1.7033339298780342E-2</c:v>
                </c:pt>
                <c:pt idx="4">
                  <c:v>-0.13621974701798903</c:v>
                </c:pt>
                <c:pt idx="5">
                  <c:v>-5.3245511953225105E-2</c:v>
                </c:pt>
                <c:pt idx="6">
                  <c:v>-0.23888208891513676</c:v>
                </c:pt>
                <c:pt idx="7">
                  <c:v>-0.18452442659254403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A-49AA-AAA8-E0FDA571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57408"/>
        <c:axId val="696357800"/>
      </c:scatterChart>
      <c:valAx>
        <c:axId val="696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</a:t>
                </a:r>
                <a:r>
                  <a:rPr lang="en-US" sz="1000" b="1" i="0" u="none" strike="noStrike" baseline="0">
                    <a:effectLst/>
                  </a:rPr>
                  <a:t>residual Cd (sim/ obs)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5564212628446701"/>
              <c:y val="0.92946102044572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57800"/>
        <c:crossesAt val="-10000"/>
        <c:crossBetween val="midCat"/>
      </c:valAx>
      <c:valAx>
        <c:axId val="696357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 (Sequence)</a:t>
                </a:r>
              </a:p>
            </c:rich>
          </c:tx>
          <c:layout>
            <c:manualLayout>
              <c:xMode val="edge"/>
              <c:yMode val="edge"/>
              <c:x val="1.6774332043553403E-2"/>
              <c:y val="0.31187046986625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574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1995'!$AS$51:$AS$60</c:f>
              <c:numCache>
                <c:formatCode>0%</c:formatCode>
                <c:ptCount val="10"/>
                <c:pt idx="0">
                  <c:v>3.8461538461538464E-2</c:v>
                </c:pt>
                <c:pt idx="1">
                  <c:v>0.57692307692307687</c:v>
                </c:pt>
                <c:pt idx="2">
                  <c:v>0.42307692307692307</c:v>
                </c:pt>
                <c:pt idx="3">
                  <c:v>0.80769230769230771</c:v>
                </c:pt>
                <c:pt idx="4">
                  <c:v>0.96153846153846156</c:v>
                </c:pt>
                <c:pt idx="5">
                  <c:v>0.19230769230769232</c:v>
                </c:pt>
                <c:pt idx="6">
                  <c:v>0.34615384615384615</c:v>
                </c:pt>
                <c:pt idx="7">
                  <c:v>0.73076923076923073</c:v>
                </c:pt>
                <c:pt idx="8">
                  <c:v>0.88461538461538458</c:v>
                </c:pt>
                <c:pt idx="9">
                  <c:v>0.5</c:v>
                </c:pt>
              </c:numCache>
            </c:numRef>
          </c:xVal>
          <c:yVal>
            <c:numRef>
              <c:f>'vdBerg 1995'!$AM$51:$AM$60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10.891426096104455</c:v>
                </c:pt>
                <c:pt idx="2">
                  <c:v>7.6593600403124205</c:v>
                </c:pt>
                <c:pt idx="3">
                  <c:v>134.58751250092084</c:v>
                </c:pt>
                <c:pt idx="4">
                  <c:v>720.04319187992644</c:v>
                </c:pt>
                <c:pt idx="5">
                  <c:v>4.2152328711775864</c:v>
                </c:pt>
                <c:pt idx="6">
                  <c:v>7.4073334487089006</c:v>
                </c:pt>
                <c:pt idx="7">
                  <c:v>112.54329064184711</c:v>
                </c:pt>
                <c:pt idx="8">
                  <c:v>384.52290969297758</c:v>
                </c:pt>
                <c:pt idx="9">
                  <c:v>8.9279486642951777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A-4761-982C-08189F7F2D22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1995'!$AS$86:$AS$88</c:f>
              <c:numCache>
                <c:formatCode>0%</c:formatCode>
                <c:ptCount val="3"/>
                <c:pt idx="0">
                  <c:v>0.65384615384615385</c:v>
                </c:pt>
                <c:pt idx="1">
                  <c:v>0.11538461538461539</c:v>
                </c:pt>
                <c:pt idx="2">
                  <c:v>0.26923076923076922</c:v>
                </c:pt>
              </c:numCache>
            </c:numRef>
          </c:xVal>
          <c:yVal>
            <c:numRef>
              <c:f>'vdBerg 1995'!$AM$86:$AM$88</c:f>
              <c:numCache>
                <c:formatCode>0.0</c:formatCode>
                <c:ptCount val="3"/>
                <c:pt idx="0">
                  <c:v>11.579099724996379</c:v>
                </c:pt>
                <c:pt idx="1">
                  <c:v>1.2345679012345676</c:v>
                </c:pt>
                <c:pt idx="2">
                  <c:v>4.9970605526161078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A-4761-982C-08189F7F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1128"/>
        <c:axId val="562235048"/>
      </c:scatterChart>
      <c:valAx>
        <c:axId val="5622311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5048"/>
        <c:crossesAt val="0"/>
        <c:crossBetween val="midCat"/>
      </c:valAx>
      <c:valAx>
        <c:axId val="56223504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Cd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1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7351243339254"/>
          <c:y val="5.122844896279246E-2"/>
          <c:w val="0.33084692815382882"/>
          <c:h val="0.1405783805731976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53134582456579"/>
          <c:y val="7.407407407407407E-2"/>
          <c:w val="0.74557972271980011"/>
          <c:h val="0.77223024205307667"/>
        </c:manualLayout>
      </c:layout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591232361728672"/>
                  <c:y val="0.252843973595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'Regressie &amp; praktijk'!$BL$140:$BL$151</c:f>
              <c:numCache>
                <c:formatCode>General</c:formatCode>
                <c:ptCount val="12"/>
                <c:pt idx="0">
                  <c:v>0.66935011667734723</c:v>
                </c:pt>
                <c:pt idx="1">
                  <c:v>0.60969954367782697</c:v>
                </c:pt>
                <c:pt idx="2">
                  <c:v>0.36040857677139543</c:v>
                </c:pt>
                <c:pt idx="3">
                  <c:v>0.6052488997864931</c:v>
                </c:pt>
                <c:pt idx="4">
                  <c:v>0.4953662942923554</c:v>
                </c:pt>
                <c:pt idx="5">
                  <c:v>0.62022443119360116</c:v>
                </c:pt>
                <c:pt idx="6">
                  <c:v>-1.0396972596393855E-2</c:v>
                </c:pt>
                <c:pt idx="7">
                  <c:v>0.81250511575084117</c:v>
                </c:pt>
                <c:pt idx="8">
                  <c:v>0.72973536822180363</c:v>
                </c:pt>
                <c:pt idx="9">
                  <c:v>-0.14967909433248225</c:v>
                </c:pt>
                <c:pt idx="10">
                  <c:v>5.5836223269082857E-2</c:v>
                </c:pt>
                <c:pt idx="11">
                  <c:v>-0.11668184518417818</c:v>
                </c:pt>
              </c:numCache>
            </c:numRef>
          </c:xVal>
          <c:yVal>
            <c:numRef>
              <c:f>'Regressie &amp; praktijk'!$BP$140:$BP$151</c:f>
              <c:numCache>
                <c:formatCode>General</c:formatCode>
                <c:ptCount val="12"/>
                <c:pt idx="0">
                  <c:v>-0.80042764509479591</c:v>
                </c:pt>
                <c:pt idx="1">
                  <c:v>-0.90308998699194354</c:v>
                </c:pt>
                <c:pt idx="2">
                  <c:v>-1.1249387366082999</c:v>
                </c:pt>
                <c:pt idx="3">
                  <c:v>-0.96523789374078806</c:v>
                </c:pt>
                <c:pt idx="4">
                  <c:v>-1.0377885608893997</c:v>
                </c:pt>
                <c:pt idx="5">
                  <c:v>-0.84873232466935089</c:v>
                </c:pt>
                <c:pt idx="6">
                  <c:v>-1.3802112417116061</c:v>
                </c:pt>
                <c:pt idx="7">
                  <c:v>-0.71745341003003194</c:v>
                </c:pt>
                <c:pt idx="8">
                  <c:v>-0.75696195131370558</c:v>
                </c:pt>
                <c:pt idx="9">
                  <c:v>-2.0791812460476247</c:v>
                </c:pt>
                <c:pt idx="10">
                  <c:v>-1.234083206033368</c:v>
                </c:pt>
                <c:pt idx="11">
                  <c:v>-1.6020599913279623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F-4062-86C1-51976267FF32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42323172296217"/>
                  <c:y val="0.19768477565174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'Regressie &amp; praktijk'!$BL$153:$BL$200</c:f>
              <c:numCache>
                <c:formatCode>General</c:formatCode>
                <c:ptCount val="48"/>
                <c:pt idx="0">
                  <c:v>0.85506274857909037</c:v>
                </c:pt>
                <c:pt idx="1">
                  <c:v>1.8834316735221501</c:v>
                </c:pt>
                <c:pt idx="2">
                  <c:v>2.6117854555433784</c:v>
                </c:pt>
                <c:pt idx="3">
                  <c:v>1.7869066137794007</c:v>
                </c:pt>
                <c:pt idx="4">
                  <c:v>2.3205092244515111</c:v>
                </c:pt>
                <c:pt idx="5">
                  <c:v>3.1500395019598835</c:v>
                </c:pt>
                <c:pt idx="6">
                  <c:v>3.1500395019598835</c:v>
                </c:pt>
                <c:pt idx="7">
                  <c:v>3.1500395019598835</c:v>
                </c:pt>
                <c:pt idx="8">
                  <c:v>2.7474269357728933</c:v>
                </c:pt>
                <c:pt idx="9">
                  <c:v>2.7474269357728933</c:v>
                </c:pt>
                <c:pt idx="10">
                  <c:v>2.7474269357728933</c:v>
                </c:pt>
                <c:pt idx="11">
                  <c:v>2.7474269357728933</c:v>
                </c:pt>
                <c:pt idx="12">
                  <c:v>2.5303669602840575</c:v>
                </c:pt>
                <c:pt idx="13">
                  <c:v>1.9201097844505439</c:v>
                </c:pt>
                <c:pt idx="14">
                  <c:v>1.7954406281266266</c:v>
                </c:pt>
                <c:pt idx="15">
                  <c:v>3.2138454468713409</c:v>
                </c:pt>
                <c:pt idx="16">
                  <c:v>1.4110377152961411</c:v>
                </c:pt>
                <c:pt idx="17">
                  <c:v>1.3845302111804287</c:v>
                </c:pt>
                <c:pt idx="18">
                  <c:v>3.1746745060170931</c:v>
                </c:pt>
                <c:pt idx="19">
                  <c:v>2.2304139342563736</c:v>
                </c:pt>
                <c:pt idx="20">
                  <c:v>0.95296961885108677</c:v>
                </c:pt>
                <c:pt idx="21">
                  <c:v>1.3436805347574015</c:v>
                </c:pt>
                <c:pt idx="22">
                  <c:v>3.4915346411463384</c:v>
                </c:pt>
                <c:pt idx="23">
                  <c:v>2.4724806906271026</c:v>
                </c:pt>
                <c:pt idx="24">
                  <c:v>2.101944224349503</c:v>
                </c:pt>
                <c:pt idx="25">
                  <c:v>4.4693865391668561</c:v>
                </c:pt>
                <c:pt idx="26">
                  <c:v>4.2788090513719625</c:v>
                </c:pt>
                <c:pt idx="27">
                  <c:v>4.024541912875006</c:v>
                </c:pt>
                <c:pt idx="28">
                  <c:v>3.4955797550161947</c:v>
                </c:pt>
                <c:pt idx="29">
                  <c:v>3.1554433917058478</c:v>
                </c:pt>
                <c:pt idx="30">
                  <c:v>2.6308150939026587</c:v>
                </c:pt>
                <c:pt idx="31">
                  <c:v>2.3384069953089015</c:v>
                </c:pt>
                <c:pt idx="32">
                  <c:v>2.3147614563771786</c:v>
                </c:pt>
                <c:pt idx="33">
                  <c:v>2.0265412450126723</c:v>
                </c:pt>
                <c:pt idx="34">
                  <c:v>1.9821895837466386</c:v>
                </c:pt>
                <c:pt idx="35">
                  <c:v>1.9269775743335333</c:v>
                </c:pt>
                <c:pt idx="36">
                  <c:v>1.9027781173839342</c:v>
                </c:pt>
                <c:pt idx="37">
                  <c:v>1.6592467394510411</c:v>
                </c:pt>
                <c:pt idx="38">
                  <c:v>2.7417433314915929</c:v>
                </c:pt>
                <c:pt idx="39">
                  <c:v>2.1900257071605771</c:v>
                </c:pt>
                <c:pt idx="40">
                  <c:v>2.2788685458618043</c:v>
                </c:pt>
                <c:pt idx="41">
                  <c:v>4.2081465797800996</c:v>
                </c:pt>
                <c:pt idx="42">
                  <c:v>3.8273596690201797</c:v>
                </c:pt>
                <c:pt idx="43">
                  <c:v>3.3912586541462244</c:v>
                </c:pt>
                <c:pt idx="44">
                  <c:v>3.0237119054961616</c:v>
                </c:pt>
                <c:pt idx="45">
                  <c:v>2.9554647322547423</c:v>
                </c:pt>
                <c:pt idx="46">
                  <c:v>2.9404375574558284</c:v>
                </c:pt>
                <c:pt idx="47">
                  <c:v>2.5261100530934693</c:v>
                </c:pt>
              </c:numCache>
            </c:numRef>
          </c:xVal>
          <c:yVal>
            <c:numRef>
              <c:f>'Regressie &amp; praktijk'!$BP$153:$BP$200</c:f>
              <c:numCache>
                <c:formatCode>General</c:formatCode>
                <c:ptCount val="48"/>
                <c:pt idx="0">
                  <c:v>-0.68124123737558717</c:v>
                </c:pt>
                <c:pt idx="1">
                  <c:v>-0.46639738932788932</c:v>
                </c:pt>
                <c:pt idx="2">
                  <c:v>-0.21585838592716897</c:v>
                </c:pt>
                <c:pt idx="3">
                  <c:v>-0.51097952198062979</c:v>
                </c:pt>
                <c:pt idx="4">
                  <c:v>-0.27984069659404309</c:v>
                </c:pt>
                <c:pt idx="5">
                  <c:v>-0.10145764075877708</c:v>
                </c:pt>
                <c:pt idx="6">
                  <c:v>-0.10145764075877708</c:v>
                </c:pt>
                <c:pt idx="7">
                  <c:v>-0.10145764075877708</c:v>
                </c:pt>
                <c:pt idx="8">
                  <c:v>-0.16536739366390812</c:v>
                </c:pt>
                <c:pt idx="9">
                  <c:v>-0.16536739366390812</c:v>
                </c:pt>
                <c:pt idx="10">
                  <c:v>-0.16536739366390812</c:v>
                </c:pt>
                <c:pt idx="11">
                  <c:v>-0.16536739366390812</c:v>
                </c:pt>
                <c:pt idx="12">
                  <c:v>-0.22792289732854953</c:v>
                </c:pt>
                <c:pt idx="13">
                  <c:v>-0.42596873227228116</c:v>
                </c:pt>
                <c:pt idx="14">
                  <c:v>-0.48811663902112562</c:v>
                </c:pt>
                <c:pt idx="15">
                  <c:v>-6.6344021342452653E-2</c:v>
                </c:pt>
                <c:pt idx="16">
                  <c:v>-0.56066730616973737</c:v>
                </c:pt>
                <c:pt idx="17">
                  <c:v>-0.58781955221335214</c:v>
                </c:pt>
                <c:pt idx="18">
                  <c:v>-7.4859872264982252E-2</c:v>
                </c:pt>
                <c:pt idx="19">
                  <c:v>-0.32330639037513342</c:v>
                </c:pt>
                <c:pt idx="20">
                  <c:v>-0.64781748188863753</c:v>
                </c:pt>
                <c:pt idx="21">
                  <c:v>-0.61678324814866869</c:v>
                </c:pt>
                <c:pt idx="22">
                  <c:v>-4.9797468362415165E-2</c:v>
                </c:pt>
                <c:pt idx="23">
                  <c:v>-0.25310644334679838</c:v>
                </c:pt>
                <c:pt idx="24">
                  <c:v>-0.35490537644683579</c:v>
                </c:pt>
                <c:pt idx="25">
                  <c:v>-3.6342846550940556E-3</c:v>
                </c:pt>
                <c:pt idx="26">
                  <c:v>-1.0995384301463193E-2</c:v>
                </c:pt>
                <c:pt idx="27">
                  <c:v>-2.6102802564205111E-2</c:v>
                </c:pt>
                <c:pt idx="28">
                  <c:v>-4.1754748107001194E-2</c:v>
                </c:pt>
                <c:pt idx="29">
                  <c:v>-8.3546051450074932E-2</c:v>
                </c:pt>
                <c:pt idx="30">
                  <c:v>-0.20411998265592479</c:v>
                </c:pt>
                <c:pt idx="31">
                  <c:v>-0.26626788940476931</c:v>
                </c:pt>
                <c:pt idx="32">
                  <c:v>-0.2938514110368578</c:v>
                </c:pt>
                <c:pt idx="33">
                  <c:v>-0.37161106994968846</c:v>
                </c:pt>
                <c:pt idx="34">
                  <c:v>-0.38898516601911115</c:v>
                </c:pt>
                <c:pt idx="35">
                  <c:v>-0.40708338811190736</c:v>
                </c:pt>
                <c:pt idx="36">
                  <c:v>-0.4457127904680383</c:v>
                </c:pt>
                <c:pt idx="37">
                  <c:v>-0.53511320169734922</c:v>
                </c:pt>
                <c:pt idx="38">
                  <c:v>-0.19269052087514293</c:v>
                </c:pt>
                <c:pt idx="39">
                  <c:v>-0.338818556553381</c:v>
                </c:pt>
                <c:pt idx="40">
                  <c:v>-0.30832923440548066</c:v>
                </c:pt>
                <c:pt idx="41">
                  <c:v>-1.8483405694013126E-2</c:v>
                </c:pt>
                <c:pt idx="42">
                  <c:v>-3.385826726096737E-2</c:v>
                </c:pt>
                <c:pt idx="43">
                  <c:v>-5.7991946977686754E-2</c:v>
                </c:pt>
                <c:pt idx="44">
                  <c:v>-0.12013985372653124</c:v>
                </c:pt>
                <c:pt idx="45">
                  <c:v>-0.12979123940271203</c:v>
                </c:pt>
                <c:pt idx="46">
                  <c:v>-0.13966199342900631</c:v>
                </c:pt>
                <c:pt idx="47">
                  <c:v>-0.24033215531036956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F-4062-86C1-5197626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2504"/>
        <c:axId val="696362896"/>
      </c:scatterChart>
      <c:valAx>
        <c:axId val="6963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</a:t>
                </a:r>
                <a:r>
                  <a:rPr lang="en-US" sz="1000" b="0" i="0" u="none" strike="noStrike" baseline="0">
                    <a:effectLst/>
                  </a:rPr>
                  <a:t>residual Cd (sim/ obs)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394246977945472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62896"/>
        <c:crossesAt val="-10000"/>
        <c:crossBetween val="midCat"/>
      </c:valAx>
      <c:valAx>
        <c:axId val="696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Sequence)</a:t>
                </a:r>
              </a:p>
            </c:rich>
          </c:tx>
          <c:layout>
            <c:manualLayout>
              <c:xMode val="edge"/>
              <c:yMode val="edge"/>
              <c:x val="2.7451629894966675E-2"/>
              <c:y val="0.1486727179935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6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97888888888887"/>
          <c:h val="0.80939965277777781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'vdBerg 1995'!$BO$51:$BO$60</c:f>
              <c:numCache>
                <c:formatCode>0%</c:formatCode>
                <c:ptCount val="10"/>
                <c:pt idx="0">
                  <c:v>2.5000000000000001E-2</c:v>
                </c:pt>
                <c:pt idx="1">
                  <c:v>0.19166666666666668</c:v>
                </c:pt>
                <c:pt idx="2">
                  <c:v>0.17499999999999999</c:v>
                </c:pt>
                <c:pt idx="3">
                  <c:v>0.45833333333333331</c:v>
                </c:pt>
                <c:pt idx="4">
                  <c:v>0.7583333333333333</c:v>
                </c:pt>
                <c:pt idx="5">
                  <c:v>0.10833333333333334</c:v>
                </c:pt>
                <c:pt idx="6">
                  <c:v>0.15833333333333333</c:v>
                </c:pt>
                <c:pt idx="7">
                  <c:v>0.40833333333333333</c:v>
                </c:pt>
                <c:pt idx="8">
                  <c:v>0.64166666666666672</c:v>
                </c:pt>
                <c:pt idx="9">
                  <c:v>0.22500000000000001</c:v>
                </c:pt>
              </c:numCache>
            </c:numRef>
          </c:xVal>
          <c:yVal>
            <c:numRef>
              <c:f>'vdBerg 1995'!$BK$51:$BK$60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2.5885188769837901</c:v>
                </c:pt>
                <c:pt idx="2">
                  <c:v>2.4359765208847537</c:v>
                </c:pt>
                <c:pt idx="3">
                  <c:v>42.804100960261636</c:v>
                </c:pt>
                <c:pt idx="4">
                  <c:v>229.00194013739977</c:v>
                </c:pt>
                <c:pt idx="5">
                  <c:v>1.3406091697226703</c:v>
                </c:pt>
                <c:pt idx="6">
                  <c:v>2.3558221925135108</c:v>
                </c:pt>
                <c:pt idx="7">
                  <c:v>35.793174905441049</c:v>
                </c:pt>
                <c:pt idx="8">
                  <c:v>122.29334759359025</c:v>
                </c:pt>
                <c:pt idx="9">
                  <c:v>3.189910457858625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86D-835D-D07A2D7B69F5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1995'!$BO$86:$BO$88</c:f>
              <c:numCache>
                <c:formatCode>0%</c:formatCode>
                <c:ptCount val="3"/>
                <c:pt idx="0">
                  <c:v>0.20833333333333334</c:v>
                </c:pt>
                <c:pt idx="1">
                  <c:v>5.8333333333333334E-2</c:v>
                </c:pt>
                <c:pt idx="2">
                  <c:v>4.1666666666666664E-2</c:v>
                </c:pt>
              </c:numCache>
            </c:numRef>
          </c:xVal>
          <c:yVal>
            <c:numRef>
              <c:f>'vdBerg 1995'!$BK$86:$BK$88</c:f>
              <c:numCache>
                <c:formatCode>0.0</c:formatCode>
                <c:ptCount val="3"/>
                <c:pt idx="0">
                  <c:v>3.1252894645943656</c:v>
                </c:pt>
                <c:pt idx="1">
                  <c:v>0.69308380526934121</c:v>
                </c:pt>
                <c:pt idx="2">
                  <c:v>0.38528913909484469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86D-835D-D07A2D7B69F5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1995'!$BO$62:$BO$84</c:f>
              <c:numCache>
                <c:formatCode>General</c:formatCode>
                <c:ptCount val="23"/>
                <c:pt idx="2" formatCode="0%">
                  <c:v>0.24166666666666667</c:v>
                </c:pt>
                <c:pt idx="3" formatCode="0%">
                  <c:v>7.4999999999999997E-2</c:v>
                </c:pt>
                <c:pt idx="4" formatCode="0%">
                  <c:v>0.67500000000000004</c:v>
                </c:pt>
                <c:pt idx="5" formatCode="0%">
                  <c:v>0.67500000000000004</c:v>
                </c:pt>
                <c:pt idx="6" formatCode="0%">
                  <c:v>0.67500000000000004</c:v>
                </c:pt>
                <c:pt idx="7" formatCode="0%">
                  <c:v>0.53333333333333333</c:v>
                </c:pt>
                <c:pt idx="8" formatCode="0%">
                  <c:v>0.53333333333333333</c:v>
                </c:pt>
                <c:pt idx="9" formatCode="0%">
                  <c:v>0.53333333333333333</c:v>
                </c:pt>
                <c:pt idx="10" formatCode="0%">
                  <c:v>0.53333333333333333</c:v>
                </c:pt>
                <c:pt idx="11" formatCode="0%">
                  <c:v>0.72499999999999998</c:v>
                </c:pt>
                <c:pt idx="12" formatCode="0%">
                  <c:v>0.375</c:v>
                </c:pt>
                <c:pt idx="13" formatCode="0%">
                  <c:v>0.30833333333333335</c:v>
                </c:pt>
                <c:pt idx="14" formatCode="0%">
                  <c:v>9.166666666666666E-2</c:v>
                </c:pt>
                <c:pt idx="15" formatCode="0%">
                  <c:v>0.14166666666666666</c:v>
                </c:pt>
                <c:pt idx="16" formatCode="0%">
                  <c:v>0.89166666666666672</c:v>
                </c:pt>
                <c:pt idx="17" formatCode="0%">
                  <c:v>0.27500000000000002</c:v>
                </c:pt>
                <c:pt idx="18" formatCode="0%">
                  <c:v>8.3333333333333332E-3</c:v>
                </c:pt>
                <c:pt idx="19" formatCode="0%">
                  <c:v>0.47499999999999998</c:v>
                </c:pt>
                <c:pt idx="20" formatCode="0%">
                  <c:v>0.875</c:v>
                </c:pt>
                <c:pt idx="21" formatCode="0%">
                  <c:v>0.49166666666666664</c:v>
                </c:pt>
              </c:numCache>
            </c:numRef>
          </c:xVal>
          <c:yVal>
            <c:numRef>
              <c:f>'vdBerg 1995'!$BK$62:$BK$84</c:f>
              <c:numCache>
                <c:formatCode>General</c:formatCode>
                <c:ptCount val="23"/>
                <c:pt idx="2" formatCode="_-* #,##0_-;\-* #,##0_-;_-* &quot;-&quot;??_-;_-@_-">
                  <c:v>4.6346990841995321</c:v>
                </c:pt>
                <c:pt idx="3" formatCode="_-* #,##0_-;\-* #,##0_-;_-* &quot;-&quot;??_-;_-@_-">
                  <c:v>0.78710852694175004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175.83140202702688</c:v>
                </c:pt>
                <c:pt idx="12" formatCode="_-* #,##0_-;\-* #,##0_-;_-* &quot;-&quot;??_-;_-@_-">
                  <c:v>27.181646941363326</c:v>
                </c:pt>
                <c:pt idx="13" formatCode="_-* #,##0_-;\-* #,##0_-;_-* &quot;-&quot;??_-;_-@_-">
                  <c:v>15.49095351548862</c:v>
                </c:pt>
                <c:pt idx="14" formatCode="_-* #,##0_-;\-* #,##0_-;_-* &quot;-&quot;??_-;_-@_-">
                  <c:v>1.0064533880093738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916.00776054959908</c:v>
                </c:pt>
                <c:pt idx="17" formatCode="_-* #,##0_-;\-* #,##0_-;_-* &quot;-&quot;??_-;_-@_-">
                  <c:v>13.739214592125686</c:v>
                </c:pt>
                <c:pt idx="18" formatCode="_-* #,##0_-;\-* #,##0_-;_-* &quot;-&quot;??_-;_-@_-">
                  <c:v>0.23889608280646346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763.35298498502402</c:v>
                </c:pt>
                <c:pt idx="21" formatCode="_-* #,##0_-;\-* #,##0_-;_-* &quot;-&quot;??_-;_-@_-">
                  <c:v>55.163976138389415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86D-835D-D07A2D7B69F5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1995'!$BO$91:$BO$117</c:f>
              <c:numCache>
                <c:formatCode>0%</c:formatCode>
                <c:ptCount val="27"/>
                <c:pt idx="0">
                  <c:v>0.95833333333333337</c:v>
                </c:pt>
                <c:pt idx="1">
                  <c:v>0.79166666666666663</c:v>
                </c:pt>
                <c:pt idx="2">
                  <c:v>0.625</c:v>
                </c:pt>
                <c:pt idx="3">
                  <c:v>0.9916666666666667</c:v>
                </c:pt>
                <c:pt idx="4">
                  <c:v>0.92500000000000004</c:v>
                </c:pt>
                <c:pt idx="5">
                  <c:v>0.90833333333333333</c:v>
                </c:pt>
                <c:pt idx="6">
                  <c:v>0.85833333333333328</c:v>
                </c:pt>
                <c:pt idx="7">
                  <c:v>0.80833333333333335</c:v>
                </c:pt>
                <c:pt idx="8">
                  <c:v>0.59166666666666667</c:v>
                </c:pt>
                <c:pt idx="9">
                  <c:v>0.44166666666666665</c:v>
                </c:pt>
                <c:pt idx="10">
                  <c:v>0.42499999999999999</c:v>
                </c:pt>
                <c:pt idx="11">
                  <c:v>0.35833333333333334</c:v>
                </c:pt>
                <c:pt idx="12">
                  <c:v>0.34166666666666667</c:v>
                </c:pt>
                <c:pt idx="13">
                  <c:v>0.32500000000000001</c:v>
                </c:pt>
                <c:pt idx="14">
                  <c:v>0.29166666666666669</c:v>
                </c:pt>
                <c:pt idx="15">
                  <c:v>0.25833333333333336</c:v>
                </c:pt>
                <c:pt idx="16">
                  <c:v>0.77500000000000002</c:v>
                </c:pt>
                <c:pt idx="17">
                  <c:v>0.57499999999999996</c:v>
                </c:pt>
                <c:pt idx="18">
                  <c:v>0.82499999999999996</c:v>
                </c:pt>
                <c:pt idx="19">
                  <c:v>0.125</c:v>
                </c:pt>
                <c:pt idx="20">
                  <c:v>0.97499999999999998</c:v>
                </c:pt>
                <c:pt idx="21">
                  <c:v>0.94166666666666665</c:v>
                </c:pt>
                <c:pt idx="22">
                  <c:v>0.84166666666666667</c:v>
                </c:pt>
                <c:pt idx="23">
                  <c:v>0.70833333333333337</c:v>
                </c:pt>
                <c:pt idx="24">
                  <c:v>0.39166666666666666</c:v>
                </c:pt>
                <c:pt idx="25">
                  <c:v>0.7416666666666667</c:v>
                </c:pt>
                <c:pt idx="26">
                  <c:v>0.60833333333333328</c:v>
                </c:pt>
              </c:numCache>
            </c:numRef>
          </c:xVal>
          <c:yVal>
            <c:numRef>
              <c:f>'vdBerg 1995'!$BK$91:$BK$117</c:f>
              <c:numCache>
                <c:formatCode>_-* #,##0_-;\-* #,##0_-;_-* "-"??_-;_-@_-</c:formatCode>
                <c:ptCount val="27"/>
                <c:pt idx="0">
                  <c:v>2698.6578066574284</c:v>
                </c:pt>
                <c:pt idx="1">
                  <c:v>258.62137313800355</c:v>
                </c:pt>
                <c:pt idx="2">
                  <c:v>110.19519377184498</c:v>
                </c:pt>
                <c:pt idx="3">
                  <c:v>10495.510085808424</c:v>
                </c:pt>
                <c:pt idx="4">
                  <c:v>2417.8640264481251</c:v>
                </c:pt>
                <c:pt idx="5">
                  <c:v>1560.6213261619714</c:v>
                </c:pt>
                <c:pt idx="6">
                  <c:v>549.5145514654829</c:v>
                </c:pt>
                <c:pt idx="7">
                  <c:v>263.76698470343177</c:v>
                </c:pt>
                <c:pt idx="8">
                  <c:v>81.32815361689147</c:v>
                </c:pt>
                <c:pt idx="9">
                  <c:v>41.763105911376698</c:v>
                </c:pt>
                <c:pt idx="10">
                  <c:v>39.565047705514765</c:v>
                </c:pt>
                <c:pt idx="11">
                  <c:v>20.441941314515962</c:v>
                </c:pt>
                <c:pt idx="12">
                  <c:v>18.463688929240224</c:v>
                </c:pt>
                <c:pt idx="13">
                  <c:v>16.265630723378298</c:v>
                </c:pt>
                <c:pt idx="14">
                  <c:v>15.386407441033523</c:v>
                </c:pt>
                <c:pt idx="15">
                  <c:v>8.7922328234477263</c:v>
                </c:pt>
                <c:pt idx="16">
                  <c:v>250.2546600908525</c:v>
                </c:pt>
                <c:pt idx="17">
                  <c:v>70.724143069153968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6139.3934415748199</c:v>
                </c:pt>
                <c:pt idx="21">
                  <c:v>2639.9391798771721</c:v>
                </c:pt>
                <c:pt idx="22">
                  <c:v>396.63056241055961</c:v>
                </c:pt>
                <c:pt idx="23">
                  <c:v>171.04693003955387</c:v>
                </c:pt>
                <c:pt idx="24">
                  <c:v>29.643631545669944</c:v>
                </c:pt>
                <c:pt idx="25">
                  <c:v>190.16634140822262</c:v>
                </c:pt>
                <c:pt idx="26">
                  <c:v>94.833431828730951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86D-835D-D07A2D7B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5440"/>
        <c:axId val="562229560"/>
      </c:scatterChart>
      <c:valAx>
        <c:axId val="56223544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Sequence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29560"/>
        <c:crossesAt val="0"/>
        <c:crossBetween val="midCat"/>
      </c:valAx>
      <c:valAx>
        <c:axId val="56222956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2235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1178991750047"/>
          <c:y val="3.4398977987018464E-2"/>
          <c:w val="0.78795746945876122"/>
          <c:h val="0.52985992177327723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ln>
                <a:solidFill>
                  <a:schemeClr val="tx1"/>
                </a:solidFill>
              </a:ln>
            </c:spPr>
          </c:marker>
          <c:cat>
            <c:strRef>
              <c:f>'vdBerg 1995'!$BS$51:$BS$62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1995'!$BU$51:$BU$62</c:f>
              <c:numCache>
                <c:formatCode>0</c:formatCode>
                <c:ptCount val="12"/>
                <c:pt idx="0">
                  <c:v>0.69308380526934121</c:v>
                </c:pt>
                <c:pt idx="1">
                  <c:v>0.34642462826744658</c:v>
                </c:pt>
                <c:pt idx="2">
                  <c:v>1.3406091697226703</c:v>
                </c:pt>
                <c:pt idx="3">
                  <c:v>1.4915595867976819</c:v>
                </c:pt>
                <c:pt idx="4">
                  <c:v>3.189910457858625</c:v>
                </c:pt>
                <c:pt idx="5">
                  <c:v>27.181646941363326</c:v>
                </c:pt>
                <c:pt idx="7">
                  <c:v>1.0064533880093738</c:v>
                </c:pt>
                <c:pt idx="8">
                  <c:v>0.38528913909484469</c:v>
                </c:pt>
                <c:pt idx="9">
                  <c:v>0.23889608280646346</c:v>
                </c:pt>
                <c:pt idx="10">
                  <c:v>1.385739480977576</c:v>
                </c:pt>
                <c:pt idx="11">
                  <c:v>29.643631545669944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3-4F06-868E-F391705950A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'vdBerg 1995'!$BS$51:$BS$62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1995'!$BW$51:$BW$62</c:f>
              <c:numCache>
                <c:formatCode>0</c:formatCode>
                <c:ptCount val="12"/>
                <c:pt idx="0">
                  <c:v>2698.6578066574284</c:v>
                </c:pt>
                <c:pt idx="1">
                  <c:v>138.21631933196556</c:v>
                </c:pt>
                <c:pt idx="2">
                  <c:v>916.00776054959908</c:v>
                </c:pt>
                <c:pt idx="3">
                  <c:v>1.4915595867976819</c:v>
                </c:pt>
                <c:pt idx="4">
                  <c:v>3.189910457858625</c:v>
                </c:pt>
                <c:pt idx="5">
                  <c:v>10495.510085808424</c:v>
                </c:pt>
                <c:pt idx="7">
                  <c:v>2417.8640264481251</c:v>
                </c:pt>
                <c:pt idx="8">
                  <c:v>0.38528913909484469</c:v>
                </c:pt>
                <c:pt idx="9">
                  <c:v>13.739214592125686</c:v>
                </c:pt>
                <c:pt idx="10">
                  <c:v>340.13605442176856</c:v>
                </c:pt>
                <c:pt idx="11">
                  <c:v>6139.3934415748199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3-4F06-868E-F391705950A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'vdBerg 1995'!$BS$51:$BS$62</c:f>
              <c:strCache>
                <c:ptCount val="12"/>
                <c:pt idx="0">
                  <c:v>Benzeen</c:v>
                </c:pt>
                <c:pt idx="1">
                  <c:v>cis 1,2-dichlooretheen</c:v>
                </c:pt>
                <c:pt idx="2">
                  <c:v>Tetrachlooretheen (per)</c:v>
                </c:pt>
                <c:pt idx="3">
                  <c:v>sim cis- en trans</c:v>
                </c:pt>
                <c:pt idx="4">
                  <c:v>Trichlooretheen</c:v>
                </c:pt>
                <c:pt idx="5">
                  <c:v>Ethylbenzeen</c:v>
                </c:pt>
                <c:pt idx="6">
                  <c:v>Min olie (CS10-CS12)</c:v>
                </c:pt>
                <c:pt idx="7">
                  <c:v>Naftaleen</c:v>
                </c:pt>
                <c:pt idx="8">
                  <c:v>Fenantreen</c:v>
                </c:pt>
                <c:pt idx="9">
                  <c:v>Tolueen</c:v>
                </c:pt>
                <c:pt idx="10">
                  <c:v>vinylchloride (monchlooretheen)</c:v>
                </c:pt>
                <c:pt idx="11">
                  <c:v>Xyleen</c:v>
                </c:pt>
              </c:strCache>
            </c:strRef>
          </c:cat>
          <c:val>
            <c:numRef>
              <c:f>'vdBerg 1995'!$BV$51:$BV$62</c:f>
              <c:numCache>
                <c:formatCode>0</c:formatCode>
                <c:ptCount val="12"/>
                <c:pt idx="0">
                  <c:v>512.26487749728119</c:v>
                </c:pt>
                <c:pt idx="1">
                  <c:v>79.52010543968953</c:v>
                </c:pt>
                <c:pt idx="2">
                  <c:v>139.89377862758312</c:v>
                </c:pt>
                <c:pt idx="3">
                  <c:v>1.4915595867976819</c:v>
                </c:pt>
                <c:pt idx="4">
                  <c:v>3.189910457858625</c:v>
                </c:pt>
                <c:pt idx="5">
                  <c:v>3566.1743782589383</c:v>
                </c:pt>
                <c:pt idx="7">
                  <c:v>360.73360743913639</c:v>
                </c:pt>
                <c:pt idx="8">
                  <c:v>0.38528913909484469</c:v>
                </c:pt>
                <c:pt idx="9">
                  <c:v>6.9890553374660751</c:v>
                </c:pt>
                <c:pt idx="10">
                  <c:v>130.13353489543962</c:v>
                </c:pt>
                <c:pt idx="11">
                  <c:v>1164.4633866453491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3-4F06-868E-F3917059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62231520"/>
        <c:axId val="192907880"/>
      </c:stockChart>
      <c:catAx>
        <c:axId val="5622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192907880"/>
        <c:crossesAt val="1"/>
        <c:auto val="1"/>
        <c:lblAlgn val="ctr"/>
        <c:lblOffset val="100"/>
        <c:noMultiLvlLbl val="0"/>
      </c:catAx>
      <c:valAx>
        <c:axId val="19290788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Cg     (sim / obs)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1789085324532254E-3"/>
              <c:y val="8.7001192864911578E-2"/>
            </c:manualLayout>
          </c:layout>
          <c:overlay val="0"/>
        </c:title>
        <c:numFmt formatCode="0E+00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622315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391239013546"/>
          <c:y val="2.6910416666666666E-2"/>
          <c:w val="0.75459916666666671"/>
          <c:h val="0.83144826388888893"/>
        </c:manualLayout>
      </c:layout>
      <c:scatterChart>
        <c:scatterStyle val="lineMarker"/>
        <c:varyColors val="0"/>
        <c:ser>
          <c:idx val="0"/>
          <c:order val="0"/>
          <c:tx>
            <c:v>&gt;DL Brabant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'vdBerg 1995'!$AO$51:$AO$60</c:f>
              <c:numCache>
                <c:formatCode>0.00</c:formatCode>
                <c:ptCount val="10"/>
                <c:pt idx="0">
                  <c:v>3.8937596699329546E-4</c:v>
                </c:pt>
                <c:pt idx="1">
                  <c:v>1.1103400073574855E-3</c:v>
                </c:pt>
                <c:pt idx="2">
                  <c:v>4.7946500317709601E-3</c:v>
                </c:pt>
                <c:pt idx="3">
                  <c:v>6.0098234398231073E-2</c:v>
                </c:pt>
                <c:pt idx="4">
                  <c:v>6.0098234398231073E-2</c:v>
                </c:pt>
                <c:pt idx="5">
                  <c:v>2.4070585159499776E-2</c:v>
                </c:pt>
                <c:pt idx="6">
                  <c:v>2.4070585159499776E-2</c:v>
                </c:pt>
                <c:pt idx="7">
                  <c:v>2.4070585159499776E-2</c:v>
                </c:pt>
                <c:pt idx="8">
                  <c:v>2.4070585159499776E-2</c:v>
                </c:pt>
                <c:pt idx="9">
                  <c:v>2.4037550200500225E-5</c:v>
                </c:pt>
              </c:numCache>
            </c:numRef>
          </c:xVal>
          <c:yVal>
            <c:numRef>
              <c:f>'vdBerg 1995'!$BK$51:$BK$60</c:f>
              <c:numCache>
                <c:formatCode>0.0</c:formatCode>
                <c:ptCount val="10"/>
                <c:pt idx="0">
                  <c:v>0.34642462826744658</c:v>
                </c:pt>
                <c:pt idx="1">
                  <c:v>2.5885188769837901</c:v>
                </c:pt>
                <c:pt idx="2">
                  <c:v>2.4359765208847537</c:v>
                </c:pt>
                <c:pt idx="3">
                  <c:v>42.804100960261636</c:v>
                </c:pt>
                <c:pt idx="4">
                  <c:v>229.00194013739977</c:v>
                </c:pt>
                <c:pt idx="5">
                  <c:v>1.3406091697226703</c:v>
                </c:pt>
                <c:pt idx="6">
                  <c:v>2.3558221925135108</c:v>
                </c:pt>
                <c:pt idx="7">
                  <c:v>35.793174905441049</c:v>
                </c:pt>
                <c:pt idx="8">
                  <c:v>122.29334759359025</c:v>
                </c:pt>
                <c:pt idx="9">
                  <c:v>3.189910457858625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120-B009-86E381E0FB00}"/>
            </c:ext>
          </c:extLst>
        </c:ser>
        <c:ser>
          <c:idx val="3"/>
          <c:order val="1"/>
          <c:tx>
            <c:v>&gt;DL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'vdBerg 1995'!$AO$86:$AO$88</c:f>
              <c:numCache>
                <c:formatCode>0.00</c:formatCode>
                <c:ptCount val="3"/>
                <c:pt idx="0">
                  <c:v>0.22711500150494024</c:v>
                </c:pt>
                <c:pt idx="1">
                  <c:v>7.0390709760853528E-6</c:v>
                </c:pt>
                <c:pt idx="2">
                  <c:v>2</c:v>
                </c:pt>
              </c:numCache>
            </c:numRef>
          </c:xVal>
          <c:yVal>
            <c:numRef>
              <c:f>'vdBerg 1995'!$BK$86:$BK$88</c:f>
              <c:numCache>
                <c:formatCode>0.0</c:formatCode>
                <c:ptCount val="3"/>
                <c:pt idx="0">
                  <c:v>3.1252894645943656</c:v>
                </c:pt>
                <c:pt idx="1">
                  <c:v>0.69308380526934121</c:v>
                </c:pt>
                <c:pt idx="2">
                  <c:v>0.38528913909484469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B-4120-B009-86E381E0FB00}"/>
            </c:ext>
          </c:extLst>
        </c:ser>
        <c:ser>
          <c:idx val="1"/>
          <c:order val="2"/>
          <c:tx>
            <c:v>&lt;DL Brabant</c:v>
          </c:tx>
          <c:spPr>
            <a:ln>
              <a:noFill/>
            </a:ln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</c:spPr>
          </c:marker>
          <c:xVal>
            <c:numRef>
              <c:f>'vdBerg 1995'!$AO$62:$AO$84</c:f>
              <c:numCache>
                <c:formatCode>0.00</c:formatCode>
                <c:ptCount val="23"/>
                <c:pt idx="2">
                  <c:v>4.3969054061333151E-6</c:v>
                </c:pt>
                <c:pt idx="3">
                  <c:v>8.798838720106691E-7</c:v>
                </c:pt>
                <c:pt idx="4">
                  <c:v>8.841228910336698E-3</c:v>
                </c:pt>
                <c:pt idx="5">
                  <c:v>8.841228910336698E-3</c:v>
                </c:pt>
                <c:pt idx="6">
                  <c:v>8.841228910336698E-3</c:v>
                </c:pt>
                <c:pt idx="7">
                  <c:v>3.536801001989243E-3</c:v>
                </c:pt>
                <c:pt idx="8">
                  <c:v>3.536801001989243E-3</c:v>
                </c:pt>
                <c:pt idx="9">
                  <c:v>3.536801001989243E-3</c:v>
                </c:pt>
                <c:pt idx="10">
                  <c:v>3.536801001989243E-3</c:v>
                </c:pt>
                <c:pt idx="11">
                  <c:v>3.7896027678728365E-3</c:v>
                </c:pt>
                <c:pt idx="12">
                  <c:v>7.8394761437170803E-4</c:v>
                </c:pt>
                <c:pt idx="13">
                  <c:v>4.702044025157232E-3</c:v>
                </c:pt>
                <c:pt idx="14">
                  <c:v>4.0880503144654083E-4</c:v>
                </c:pt>
                <c:pt idx="15">
                  <c:v>2.5517241379310345E-5</c:v>
                </c:pt>
                <c:pt idx="16">
                  <c:v>6.0098234398231073E-2</c:v>
                </c:pt>
                <c:pt idx="17">
                  <c:v>7.7424979973307712E-5</c:v>
                </c:pt>
                <c:pt idx="18">
                  <c:v>1.8015331141330194E-6</c:v>
                </c:pt>
                <c:pt idx="19">
                  <c:v>2.2663551401869158E-4</c:v>
                </c:pt>
                <c:pt idx="20">
                  <c:v>1.2616404066306149E-2</c:v>
                </c:pt>
                <c:pt idx="21">
                  <c:v>1.2200560118783284E-3</c:v>
                </c:pt>
              </c:numCache>
            </c:numRef>
          </c:xVal>
          <c:yVal>
            <c:numRef>
              <c:f>'vdBerg 1995'!$BK$62:$BK$84</c:f>
              <c:numCache>
                <c:formatCode>General</c:formatCode>
                <c:ptCount val="23"/>
                <c:pt idx="2" formatCode="_-* #,##0_-;\-* #,##0_-;_-* &quot;-&quot;??_-;_-@_-">
                  <c:v>4.6346990841995321</c:v>
                </c:pt>
                <c:pt idx="3" formatCode="_-* #,##0_-;\-* #,##0_-;_-* &quot;-&quot;??_-;_-@_-">
                  <c:v>0.78710852694175004</c:v>
                </c:pt>
                <c:pt idx="4" formatCode="_-* #,##0_-;\-* #,##0_-;_-* &quot;-&quot;??_-;_-@_-">
                  <c:v>138.21631933196556</c:v>
                </c:pt>
                <c:pt idx="5" formatCode="_-* #,##0_-;\-* #,##0_-;_-* &quot;-&quot;??_-;_-@_-">
                  <c:v>138.21631933196556</c:v>
                </c:pt>
                <c:pt idx="6" formatCode="_-* #,##0_-;\-* #,##0_-;_-* &quot;-&quot;??_-;_-@_-">
                  <c:v>138.21631933196556</c:v>
                </c:pt>
                <c:pt idx="7" formatCode="_-* #,##0_-;\-* #,##0_-;_-* &quot;-&quot;??_-;_-@_-">
                  <c:v>55.291365223338005</c:v>
                </c:pt>
                <c:pt idx="8" formatCode="_-* #,##0_-;\-* #,##0_-;_-* &quot;-&quot;??_-;_-@_-">
                  <c:v>55.291365223338005</c:v>
                </c:pt>
                <c:pt idx="9" formatCode="_-* #,##0_-;\-* #,##0_-;_-* &quot;-&quot;??_-;_-@_-">
                  <c:v>55.291365223338005</c:v>
                </c:pt>
                <c:pt idx="10" formatCode="_-* #,##0_-;\-* #,##0_-;_-* &quot;-&quot;??_-;_-@_-">
                  <c:v>55.291365223338005</c:v>
                </c:pt>
                <c:pt idx="11" formatCode="_-* #,##0_-;\-* #,##0_-;_-* &quot;-&quot;??_-;_-@_-">
                  <c:v>175.83140202702688</c:v>
                </c:pt>
                <c:pt idx="12" formatCode="_-* #,##0_-;\-* #,##0_-;_-* &quot;-&quot;??_-;_-@_-">
                  <c:v>27.181646941363326</c:v>
                </c:pt>
                <c:pt idx="13" formatCode="_-* #,##0_-;\-* #,##0_-;_-* &quot;-&quot;??_-;_-@_-">
                  <c:v>15.49095351548862</c:v>
                </c:pt>
                <c:pt idx="14" formatCode="_-* #,##0_-;\-* #,##0_-;_-* &quot;-&quot;??_-;_-@_-">
                  <c:v>1.0064533880093738</c:v>
                </c:pt>
                <c:pt idx="15" formatCode="_-* #,##0_-;\-* #,##0_-;_-* &quot;-&quot;??_-;_-@_-">
                  <c:v>1.4915595867976819</c:v>
                </c:pt>
                <c:pt idx="16" formatCode="_-* #,##0_-;\-* #,##0_-;_-* &quot;-&quot;??_-;_-@_-">
                  <c:v>916.00776054959908</c:v>
                </c:pt>
                <c:pt idx="17" formatCode="_-* #,##0_-;\-* #,##0_-;_-* &quot;-&quot;??_-;_-@_-">
                  <c:v>13.739214592125686</c:v>
                </c:pt>
                <c:pt idx="18" formatCode="_-* #,##0_-;\-* #,##0_-;_-* &quot;-&quot;??_-;_-@_-">
                  <c:v>0.23889608280646346</c:v>
                </c:pt>
                <c:pt idx="19" formatCode="_-* #,##0_-;\-* #,##0_-;_-* &quot;-&quot;??_-;_-@_-">
                  <c:v>48.878810783572675</c:v>
                </c:pt>
                <c:pt idx="20" formatCode="_-* #,##0_-;\-* #,##0_-;_-* &quot;-&quot;??_-;_-@_-">
                  <c:v>763.35298498502402</c:v>
                </c:pt>
                <c:pt idx="21" formatCode="_-* #,##0_-;\-* #,##0_-;_-* &quot;-&quot;??_-;_-@_-">
                  <c:v>55.163976138389415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B-4120-B009-86E381E0FB00}"/>
            </c:ext>
          </c:extLst>
        </c:ser>
        <c:ser>
          <c:idx val="2"/>
          <c:order val="3"/>
          <c:tx>
            <c:v>&lt;DL  Noord Holland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'vdBerg 1995'!$AO$91:$AO$117</c:f>
              <c:numCache>
                <c:formatCode>0.00</c:formatCode>
                <c:ptCount val="27"/>
                <c:pt idx="0">
                  <c:v>1.2066978816146318E-3</c:v>
                </c:pt>
                <c:pt idx="1">
                  <c:v>1.1564188032140221E-4</c:v>
                </c:pt>
                <c:pt idx="2">
                  <c:v>4.927349683259747E-5</c:v>
                </c:pt>
                <c:pt idx="3">
                  <c:v>0.10661687555455229</c:v>
                </c:pt>
                <c:pt idx="4">
                  <c:v>0.34591194968553457</c:v>
                </c:pt>
                <c:pt idx="5">
                  <c:v>0.22327044025157231</c:v>
                </c:pt>
                <c:pt idx="6">
                  <c:v>7.8616352201257858E-2</c:v>
                </c:pt>
                <c:pt idx="7">
                  <c:v>3.7735849056603772E-2</c:v>
                </c:pt>
                <c:pt idx="8">
                  <c:v>1.1635220125786163E-2</c:v>
                </c:pt>
                <c:pt idx="9">
                  <c:v>5.974842767295597E-3</c:v>
                </c:pt>
                <c:pt idx="10">
                  <c:v>5.6603773584905656E-3</c:v>
                </c:pt>
                <c:pt idx="11">
                  <c:v>2.9245283018867921E-3</c:v>
                </c:pt>
                <c:pt idx="12">
                  <c:v>2.6415094339622639E-3</c:v>
                </c:pt>
                <c:pt idx="13">
                  <c:v>2.3270440251572325E-3</c:v>
                </c:pt>
                <c:pt idx="14">
                  <c:v>2.2012578616352201E-3</c:v>
                </c:pt>
                <c:pt idx="15">
                  <c:v>1.2578616352201257E-3</c:v>
                </c:pt>
                <c:pt idx="16">
                  <c:v>7.7387333846127785E-3</c:v>
                </c:pt>
                <c:pt idx="17">
                  <c:v>2.1870333478253502E-3</c:v>
                </c:pt>
                <c:pt idx="18">
                  <c:v>6.3084112149532712E-3</c:v>
                </c:pt>
                <c:pt idx="19">
                  <c:v>2.5700934579439254E-5</c:v>
                </c:pt>
                <c:pt idx="20">
                  <c:v>4.7825640888196165E-2</c:v>
                </c:pt>
                <c:pt idx="21">
                  <c:v>2.0565025581924353E-2</c:v>
                </c:pt>
                <c:pt idx="22">
                  <c:v>7.6521025421113871E-3</c:v>
                </c:pt>
                <c:pt idx="23">
                  <c:v>3.2999692212855357E-3</c:v>
                </c:pt>
                <c:pt idx="24">
                  <c:v>2.8217128124035738E-3</c:v>
                </c:pt>
                <c:pt idx="25">
                  <c:v>2.7260615306271816E-3</c:v>
                </c:pt>
                <c:pt idx="26">
                  <c:v>1.0521640995403156E-3</c:v>
                </c:pt>
              </c:numCache>
            </c:numRef>
          </c:xVal>
          <c:yVal>
            <c:numRef>
              <c:f>'vdBerg 1995'!$BK$91:$BK$117</c:f>
              <c:numCache>
                <c:formatCode>_-* #,##0_-;\-* #,##0_-;_-* "-"??_-;_-@_-</c:formatCode>
                <c:ptCount val="27"/>
                <c:pt idx="0">
                  <c:v>2698.6578066574284</c:v>
                </c:pt>
                <c:pt idx="1">
                  <c:v>258.62137313800355</c:v>
                </c:pt>
                <c:pt idx="2">
                  <c:v>110.19519377184498</c:v>
                </c:pt>
                <c:pt idx="3">
                  <c:v>10495.510085808424</c:v>
                </c:pt>
                <c:pt idx="4">
                  <c:v>2417.8640264481251</c:v>
                </c:pt>
                <c:pt idx="5">
                  <c:v>1560.6213261619714</c:v>
                </c:pt>
                <c:pt idx="6">
                  <c:v>549.5145514654829</c:v>
                </c:pt>
                <c:pt idx="7">
                  <c:v>263.76698470343177</c:v>
                </c:pt>
                <c:pt idx="8">
                  <c:v>81.32815361689147</c:v>
                </c:pt>
                <c:pt idx="9">
                  <c:v>41.763105911376698</c:v>
                </c:pt>
                <c:pt idx="10">
                  <c:v>39.565047705514765</c:v>
                </c:pt>
                <c:pt idx="11">
                  <c:v>20.441941314515962</c:v>
                </c:pt>
                <c:pt idx="12">
                  <c:v>18.463688929240224</c:v>
                </c:pt>
                <c:pt idx="13">
                  <c:v>16.265630723378298</c:v>
                </c:pt>
                <c:pt idx="14">
                  <c:v>15.386407441033523</c:v>
                </c:pt>
                <c:pt idx="15">
                  <c:v>8.7922328234477263</c:v>
                </c:pt>
                <c:pt idx="16">
                  <c:v>250.2546600908525</c:v>
                </c:pt>
                <c:pt idx="17">
                  <c:v>70.724143069153968</c:v>
                </c:pt>
                <c:pt idx="18">
                  <c:v>340.13605442176856</c:v>
                </c:pt>
                <c:pt idx="19">
                  <c:v>1.385739480977576</c:v>
                </c:pt>
                <c:pt idx="20">
                  <c:v>6139.3934415748199</c:v>
                </c:pt>
                <c:pt idx="21">
                  <c:v>2639.9391798771721</c:v>
                </c:pt>
                <c:pt idx="22">
                  <c:v>396.63056241055961</c:v>
                </c:pt>
                <c:pt idx="23">
                  <c:v>171.04693003955387</c:v>
                </c:pt>
                <c:pt idx="24">
                  <c:v>29.643631545669944</c:v>
                </c:pt>
                <c:pt idx="25">
                  <c:v>190.16634140822262</c:v>
                </c:pt>
                <c:pt idx="26">
                  <c:v>94.833431828730951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FB-4120-B009-86E381E0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64400"/>
        <c:axId val="369365184"/>
      </c:scatterChart>
      <c:valAx>
        <c:axId val="3693644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Cg/Sw</a:t>
                </a:r>
                <a:r>
                  <a:rPr lang="en-US" b="1" baseline="0"/>
                  <a:t> (-)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080099776721074"/>
              <c:y val="0.93031611865573161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69365184"/>
        <c:crossesAt val="0"/>
        <c:crossBetween val="midCat"/>
      </c:valAx>
      <c:valAx>
        <c:axId val="3693651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1"/>
                </a:pPr>
                <a:r>
                  <a:rPr lang="en-US" b="1"/>
                  <a:t>residual Cg     (sim / obs)</a:t>
                </a:r>
              </a:p>
            </c:rich>
          </c:tx>
          <c:layout>
            <c:manualLayout>
              <c:xMode val="edge"/>
              <c:yMode val="edge"/>
              <c:x val="3.3980995016754303E-3"/>
              <c:y val="0.21257906935874474"/>
            </c:manualLayout>
          </c:layout>
          <c:overlay val="0"/>
        </c:title>
        <c:numFmt formatCode="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69364400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8972810731699682"/>
          <c:y val="6.4428288255062985E-2"/>
          <c:w val="0.33084692815382882"/>
          <c:h val="0.2549767370359450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349549</xdr:colOff>
      <xdr:row>59</xdr:row>
      <xdr:rowOff>81824</xdr:rowOff>
    </xdr:from>
    <xdr:to>
      <xdr:col>53</xdr:col>
      <xdr:colOff>892742</xdr:colOff>
      <xdr:row>77</xdr:row>
      <xdr:rowOff>144347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942912</xdr:colOff>
      <xdr:row>42</xdr:row>
      <xdr:rowOff>27832</xdr:rowOff>
    </xdr:from>
    <xdr:to>
      <xdr:col>55</xdr:col>
      <xdr:colOff>1415143</xdr:colOff>
      <xdr:row>59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419420</xdr:colOff>
      <xdr:row>79</xdr:row>
      <xdr:rowOff>68834</xdr:rowOff>
    </xdr:from>
    <xdr:to>
      <xdr:col>53</xdr:col>
      <xdr:colOff>968220</xdr:colOff>
      <xdr:row>97</xdr:row>
      <xdr:rowOff>131356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252204</xdr:colOff>
      <xdr:row>42</xdr:row>
      <xdr:rowOff>29252</xdr:rowOff>
    </xdr:from>
    <xdr:to>
      <xdr:col>53</xdr:col>
      <xdr:colOff>804714</xdr:colOff>
      <xdr:row>58</xdr:row>
      <xdr:rowOff>91774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1034143</xdr:colOff>
      <xdr:row>79</xdr:row>
      <xdr:rowOff>122465</xdr:rowOff>
    </xdr:from>
    <xdr:to>
      <xdr:col>56</xdr:col>
      <xdr:colOff>0</xdr:colOff>
      <xdr:row>98</xdr:row>
      <xdr:rowOff>21702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882862</xdr:colOff>
      <xdr:row>59</xdr:row>
      <xdr:rowOff>131909</xdr:rowOff>
    </xdr:from>
    <xdr:to>
      <xdr:col>55</xdr:col>
      <xdr:colOff>1434863</xdr:colOff>
      <xdr:row>78</xdr:row>
      <xdr:rowOff>91337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349549</xdr:colOff>
      <xdr:row>59</xdr:row>
      <xdr:rowOff>81824</xdr:rowOff>
    </xdr:from>
    <xdr:to>
      <xdr:col>77</xdr:col>
      <xdr:colOff>892742</xdr:colOff>
      <xdr:row>77</xdr:row>
      <xdr:rowOff>144347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942912</xdr:colOff>
      <xdr:row>42</xdr:row>
      <xdr:rowOff>27832</xdr:rowOff>
    </xdr:from>
    <xdr:to>
      <xdr:col>79</xdr:col>
      <xdr:colOff>1415143</xdr:colOff>
      <xdr:row>59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419420</xdr:colOff>
      <xdr:row>79</xdr:row>
      <xdr:rowOff>68834</xdr:rowOff>
    </xdr:from>
    <xdr:to>
      <xdr:col>77</xdr:col>
      <xdr:colOff>968220</xdr:colOff>
      <xdr:row>97</xdr:row>
      <xdr:rowOff>131356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252204</xdr:colOff>
      <xdr:row>42</xdr:row>
      <xdr:rowOff>29252</xdr:rowOff>
    </xdr:from>
    <xdr:to>
      <xdr:col>77</xdr:col>
      <xdr:colOff>804714</xdr:colOff>
      <xdr:row>58</xdr:row>
      <xdr:rowOff>91774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1034143</xdr:colOff>
      <xdr:row>79</xdr:row>
      <xdr:rowOff>122465</xdr:rowOff>
    </xdr:from>
    <xdr:to>
      <xdr:col>80</xdr:col>
      <xdr:colOff>0</xdr:colOff>
      <xdr:row>98</xdr:row>
      <xdr:rowOff>21702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882862</xdr:colOff>
      <xdr:row>59</xdr:row>
      <xdr:rowOff>131909</xdr:rowOff>
    </xdr:from>
    <xdr:to>
      <xdr:col>79</xdr:col>
      <xdr:colOff>1434863</xdr:colOff>
      <xdr:row>78</xdr:row>
      <xdr:rowOff>91337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349549</xdr:colOff>
      <xdr:row>59</xdr:row>
      <xdr:rowOff>81824</xdr:rowOff>
    </xdr:from>
    <xdr:to>
      <xdr:col>53</xdr:col>
      <xdr:colOff>892742</xdr:colOff>
      <xdr:row>77</xdr:row>
      <xdr:rowOff>144347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942912</xdr:colOff>
      <xdr:row>42</xdr:row>
      <xdr:rowOff>27832</xdr:rowOff>
    </xdr:from>
    <xdr:to>
      <xdr:col>55</xdr:col>
      <xdr:colOff>1415143</xdr:colOff>
      <xdr:row>59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419420</xdr:colOff>
      <xdr:row>79</xdr:row>
      <xdr:rowOff>68834</xdr:rowOff>
    </xdr:from>
    <xdr:to>
      <xdr:col>53</xdr:col>
      <xdr:colOff>968220</xdr:colOff>
      <xdr:row>97</xdr:row>
      <xdr:rowOff>131356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252204</xdr:colOff>
      <xdr:row>42</xdr:row>
      <xdr:rowOff>29252</xdr:rowOff>
    </xdr:from>
    <xdr:to>
      <xdr:col>53</xdr:col>
      <xdr:colOff>804714</xdr:colOff>
      <xdr:row>58</xdr:row>
      <xdr:rowOff>91774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1034143</xdr:colOff>
      <xdr:row>79</xdr:row>
      <xdr:rowOff>122465</xdr:rowOff>
    </xdr:from>
    <xdr:to>
      <xdr:col>56</xdr:col>
      <xdr:colOff>0</xdr:colOff>
      <xdr:row>98</xdr:row>
      <xdr:rowOff>21702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882862</xdr:colOff>
      <xdr:row>59</xdr:row>
      <xdr:rowOff>131909</xdr:rowOff>
    </xdr:from>
    <xdr:to>
      <xdr:col>55</xdr:col>
      <xdr:colOff>1434863</xdr:colOff>
      <xdr:row>78</xdr:row>
      <xdr:rowOff>91337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349549</xdr:colOff>
      <xdr:row>59</xdr:row>
      <xdr:rowOff>81824</xdr:rowOff>
    </xdr:from>
    <xdr:to>
      <xdr:col>77</xdr:col>
      <xdr:colOff>892742</xdr:colOff>
      <xdr:row>77</xdr:row>
      <xdr:rowOff>144347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942912</xdr:colOff>
      <xdr:row>42</xdr:row>
      <xdr:rowOff>27832</xdr:rowOff>
    </xdr:from>
    <xdr:to>
      <xdr:col>79</xdr:col>
      <xdr:colOff>1415143</xdr:colOff>
      <xdr:row>59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419420</xdr:colOff>
      <xdr:row>79</xdr:row>
      <xdr:rowOff>68834</xdr:rowOff>
    </xdr:from>
    <xdr:to>
      <xdr:col>77</xdr:col>
      <xdr:colOff>968220</xdr:colOff>
      <xdr:row>97</xdr:row>
      <xdr:rowOff>131356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252204</xdr:colOff>
      <xdr:row>42</xdr:row>
      <xdr:rowOff>29252</xdr:rowOff>
    </xdr:from>
    <xdr:to>
      <xdr:col>77</xdr:col>
      <xdr:colOff>804714</xdr:colOff>
      <xdr:row>58</xdr:row>
      <xdr:rowOff>91774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1034143</xdr:colOff>
      <xdr:row>79</xdr:row>
      <xdr:rowOff>122465</xdr:rowOff>
    </xdr:from>
    <xdr:to>
      <xdr:col>80</xdr:col>
      <xdr:colOff>0</xdr:colOff>
      <xdr:row>98</xdr:row>
      <xdr:rowOff>21702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882862</xdr:colOff>
      <xdr:row>59</xdr:row>
      <xdr:rowOff>131909</xdr:rowOff>
    </xdr:from>
    <xdr:to>
      <xdr:col>79</xdr:col>
      <xdr:colOff>1434863</xdr:colOff>
      <xdr:row>78</xdr:row>
      <xdr:rowOff>91337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0.18365</cdr:x>
      <cdr:y>0.46302</cdr:y>
    </cdr:from>
    <cdr:to>
      <cdr:x>0.93382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D5D336-9BC4-47F6-A14E-FBBAE1146E09}"/>
            </a:ext>
          </a:extLst>
        </cdr:cNvPr>
        <cdr:cNvCxnSpPr/>
      </cdr:nvCxnSpPr>
      <cdr:spPr>
        <a:xfrm xmlns:a="http://schemas.openxmlformats.org/drawingml/2006/main" flipV="1">
          <a:off x="661147" y="1333500"/>
          <a:ext cx="2700617" cy="11205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0.18054</cdr:x>
      <cdr:y>0.02335</cdr:y>
    </cdr:from>
    <cdr:to>
      <cdr:x>0.80931</cdr:x>
      <cdr:y>0.78208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29DC5C6-12FD-601F-945C-C3CABD6A545C}"/>
            </a:ext>
          </a:extLst>
        </cdr:cNvPr>
        <cdr:cNvCxnSpPr/>
      </cdr:nvCxnSpPr>
      <cdr:spPr>
        <a:xfrm xmlns:a="http://schemas.openxmlformats.org/drawingml/2006/main" flipV="1">
          <a:off x="649941" y="67236"/>
          <a:ext cx="2263588" cy="218514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0.41825</cdr:x>
      <cdr:y>0.45785</cdr:y>
    </cdr:from>
    <cdr:to>
      <cdr:x>0.94243</cdr:x>
      <cdr:y>0.87491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7278059-5E5C-083C-D871-3CE7336CBEB5}"/>
            </a:ext>
          </a:extLst>
        </cdr:cNvPr>
        <cdr:cNvCxnSpPr/>
      </cdr:nvCxnSpPr>
      <cdr:spPr>
        <a:xfrm xmlns:a="http://schemas.openxmlformats.org/drawingml/2006/main" flipV="1">
          <a:off x="1496785" y="1374313"/>
          <a:ext cx="1875869" cy="12518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0.18774</cdr:x>
      <cdr:y>0.02267</cdr:y>
    </cdr:from>
    <cdr:to>
      <cdr:x>0.69462</cdr:x>
      <cdr:y>0.86131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1E695DD-D430-BA99-4EDB-FDD57BAEC8F8}"/>
            </a:ext>
          </a:extLst>
        </cdr:cNvPr>
        <cdr:cNvCxnSpPr/>
      </cdr:nvCxnSpPr>
      <cdr:spPr>
        <a:xfrm xmlns:a="http://schemas.openxmlformats.org/drawingml/2006/main" flipV="1">
          <a:off x="680357" y="68035"/>
          <a:ext cx="1836965" cy="25173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0.5654</cdr:x>
      <cdr:y>0.37883</cdr:y>
    </cdr:from>
    <cdr:to>
      <cdr:x>0.56787</cdr:x>
      <cdr:y>0.83709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4E0A444-90FF-E435-A9B8-7D93FA20C4A1}"/>
            </a:ext>
          </a:extLst>
        </cdr:cNvPr>
        <cdr:cNvCxnSpPr/>
      </cdr:nvCxnSpPr>
      <cdr:spPr>
        <a:xfrm xmlns:a="http://schemas.openxmlformats.org/drawingml/2006/main" flipH="1" flipV="1">
          <a:off x="2041226" y="1127851"/>
          <a:ext cx="8940" cy="13643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0.18198</cdr:x>
      <cdr:y>0.37967</cdr:y>
    </cdr:from>
    <cdr:to>
      <cdr:x>0.5621</cdr:x>
      <cdr:y>0.37967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26042B28-3D7D-0ACC-F006-D81854C8D833}"/>
            </a:ext>
          </a:extLst>
        </cdr:cNvPr>
        <cdr:cNvCxnSpPr/>
      </cdr:nvCxnSpPr>
      <cdr:spPr>
        <a:xfrm xmlns:a="http://schemas.openxmlformats.org/drawingml/2006/main" flipH="1">
          <a:off x="656995" y="1130338"/>
          <a:ext cx="137230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0.22769</cdr:x>
      <cdr:y>0.68917</cdr:y>
    </cdr:from>
    <cdr:to>
      <cdr:x>0.22769</cdr:x>
      <cdr:y>0.83314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DF809F2-2EDD-3513-0E45-A7D3EAFA6E6A}"/>
            </a:ext>
          </a:extLst>
        </cdr:cNvPr>
        <cdr:cNvCxnSpPr/>
      </cdr:nvCxnSpPr>
      <cdr:spPr>
        <a:xfrm xmlns:a="http://schemas.openxmlformats.org/drawingml/2006/main" flipV="1">
          <a:off x="822026" y="2051776"/>
          <a:ext cx="1" cy="428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0.17524</cdr:x>
      <cdr:y>0.682</cdr:y>
    </cdr:from>
    <cdr:to>
      <cdr:x>0.23011</cdr:x>
      <cdr:y>0.6841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07620A0-E65F-625E-67DB-6F2C84B93A03}"/>
            </a:ext>
          </a:extLst>
        </cdr:cNvPr>
        <cdr:cNvCxnSpPr/>
      </cdr:nvCxnSpPr>
      <cdr:spPr>
        <a:xfrm xmlns:a="http://schemas.openxmlformats.org/drawingml/2006/main" flipH="1">
          <a:off x="632652" y="2030442"/>
          <a:ext cx="198096" cy="62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0.15968</cdr:x>
      <cdr:y>0.62086</cdr:y>
    </cdr:from>
    <cdr:to>
      <cdr:x>0.26963</cdr:x>
      <cdr:y>0.72462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76491" y="1848408"/>
          <a:ext cx="396948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0.16182</cdr:x>
      <cdr:y>0.37219</cdr:y>
    </cdr:from>
    <cdr:to>
      <cdr:x>0.27177</cdr:x>
      <cdr:y>0.47595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84200" y="1108075"/>
          <a:ext cx="396947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248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0.57444</cdr:x>
      <cdr:y>0.75779</cdr:y>
    </cdr:from>
    <cdr:to>
      <cdr:x>0.6839</cdr:x>
      <cdr:y>0.86079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2073877" y="225608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0.23305</cdr:x>
      <cdr:y>0.75291</cdr:y>
    </cdr:from>
    <cdr:to>
      <cdr:x>0.34251</cdr:x>
      <cdr:y>0.8559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841375" y="2241550"/>
          <a:ext cx="395156" cy="30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0.05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0.18365</cdr:x>
      <cdr:y>0.79304</cdr:y>
    </cdr:from>
    <cdr:to>
      <cdr:x>0.92057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726EB20-0E37-FA81-6ED6-734F854EAEB6}"/>
            </a:ext>
          </a:extLst>
        </cdr:cNvPr>
        <cdr:cNvCxnSpPr/>
      </cdr:nvCxnSpPr>
      <cdr:spPr>
        <a:xfrm xmlns:a="http://schemas.openxmlformats.org/drawingml/2006/main" flipV="1">
          <a:off x="665550" y="2380451"/>
          <a:ext cx="2670601" cy="177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0.18429</cdr:x>
      <cdr:y>0.18559</cdr:y>
    </cdr:from>
    <cdr:to>
      <cdr:x>0.95061</cdr:x>
      <cdr:y>0.85393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786437E-4EB3-D20C-7EFD-FDF41A56EE31}"/>
            </a:ext>
          </a:extLst>
        </cdr:cNvPr>
        <cdr:cNvCxnSpPr/>
      </cdr:nvCxnSpPr>
      <cdr:spPr>
        <a:xfrm xmlns:a="http://schemas.openxmlformats.org/drawingml/2006/main" flipV="1">
          <a:off x="667870" y="557094"/>
          <a:ext cx="2777139" cy="20061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0.39164</cdr:x>
      <cdr:y>0.78424</cdr:y>
    </cdr:from>
    <cdr:to>
      <cdr:x>0.95057</cdr:x>
      <cdr:y>0.83864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71F5242-BC78-C0C1-DF52-1B7A107CCEDF}"/>
            </a:ext>
          </a:extLst>
        </cdr:cNvPr>
        <cdr:cNvCxnSpPr/>
      </cdr:nvCxnSpPr>
      <cdr:spPr>
        <a:xfrm xmlns:a="http://schemas.openxmlformats.org/drawingml/2006/main" flipV="1">
          <a:off x="1401536" y="2354035"/>
          <a:ext cx="2000250" cy="163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0.35361</cdr:x>
      <cdr:y>0.07253</cdr:y>
    </cdr:from>
    <cdr:to>
      <cdr:x>0.87452</cdr:x>
      <cdr:y>0.83411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D449E36-F683-5800-6709-40C331A1E69E}"/>
            </a:ext>
          </a:extLst>
        </cdr:cNvPr>
        <cdr:cNvCxnSpPr/>
      </cdr:nvCxnSpPr>
      <cdr:spPr>
        <a:xfrm xmlns:a="http://schemas.openxmlformats.org/drawingml/2006/main" flipV="1">
          <a:off x="1265464" y="217714"/>
          <a:ext cx="1864179" cy="22859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0.5594</cdr:x>
      <cdr:y>0.62353</cdr:y>
    </cdr:from>
    <cdr:to>
      <cdr:x>0.56334</cdr:x>
      <cdr:y>0.83172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36FA5E8-8914-F93E-9CFE-6B3965358B89}"/>
            </a:ext>
          </a:extLst>
        </cdr:cNvPr>
        <cdr:cNvCxnSpPr/>
      </cdr:nvCxnSpPr>
      <cdr:spPr>
        <a:xfrm xmlns:a="http://schemas.openxmlformats.org/drawingml/2006/main" flipH="1" flipV="1">
          <a:off x="2029067" y="1909163"/>
          <a:ext cx="14295" cy="6374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0.17438</cdr:x>
      <cdr:y>0.62292</cdr:y>
    </cdr:from>
    <cdr:to>
      <cdr:x>0.55271</cdr:x>
      <cdr:y>0.62292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699B55B-B34A-D2D9-239D-C2526E36838D}"/>
            </a:ext>
          </a:extLst>
        </cdr:cNvPr>
        <cdr:cNvCxnSpPr/>
      </cdr:nvCxnSpPr>
      <cdr:spPr>
        <a:xfrm xmlns:a="http://schemas.openxmlformats.org/drawingml/2006/main" flipH="1">
          <a:off x="632502" y="1907306"/>
          <a:ext cx="137230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0.22598</cdr:x>
      <cdr:y>0.81331</cdr:y>
    </cdr:from>
    <cdr:to>
      <cdr:x>0.22766</cdr:x>
      <cdr:y>0.83989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E7D7CE7-3931-19D8-EF57-E612F0ABFD65}"/>
            </a:ext>
          </a:extLst>
        </cdr:cNvPr>
        <cdr:cNvCxnSpPr/>
      </cdr:nvCxnSpPr>
      <cdr:spPr>
        <a:xfrm xmlns:a="http://schemas.openxmlformats.org/drawingml/2006/main" flipV="1">
          <a:off x="817277" y="2526809"/>
          <a:ext cx="6078" cy="82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0.17521</cdr:x>
      <cdr:y>0.81424</cdr:y>
    </cdr:from>
    <cdr:to>
      <cdr:x>0.22982</cdr:x>
      <cdr:y>0.81627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294BE5-E59E-9BFA-2D87-4E7073D14718}"/>
            </a:ext>
          </a:extLst>
        </cdr:cNvPr>
        <cdr:cNvCxnSpPr/>
      </cdr:nvCxnSpPr>
      <cdr:spPr>
        <a:xfrm xmlns:a="http://schemas.openxmlformats.org/drawingml/2006/main" flipH="1">
          <a:off x="633648" y="2529696"/>
          <a:ext cx="197515" cy="631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0.15384</cdr:x>
      <cdr:y>0.73345</cdr:y>
    </cdr:from>
    <cdr:to>
      <cdr:x>0.26328</cdr:x>
      <cdr:y>0.81331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56374" y="2278708"/>
          <a:ext cx="395783" cy="24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0.18649</cdr:x>
      <cdr:y>0.55251</cdr:y>
    </cdr:from>
    <cdr:to>
      <cdr:x>0.29592</cdr:x>
      <cdr:y>0.6534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674437" y="1716561"/>
          <a:ext cx="395781" cy="31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0.55462</cdr:x>
      <cdr:y>0.76193</cdr:y>
    </cdr:from>
    <cdr:to>
      <cdr:x>0.66381</cdr:x>
      <cdr:y>0.86293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2007202" y="231323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0.21406</cdr:x>
      <cdr:y>0.75715</cdr:y>
    </cdr:from>
    <cdr:to>
      <cdr:x>0.32325</cdr:x>
      <cdr:y>0.85814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774700" y="2298700"/>
          <a:ext cx="395156" cy="30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0.05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349549</xdr:colOff>
      <xdr:row>59</xdr:row>
      <xdr:rowOff>81824</xdr:rowOff>
    </xdr:from>
    <xdr:to>
      <xdr:col>53</xdr:col>
      <xdr:colOff>892742</xdr:colOff>
      <xdr:row>77</xdr:row>
      <xdr:rowOff>144347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942912</xdr:colOff>
      <xdr:row>42</xdr:row>
      <xdr:rowOff>27832</xdr:rowOff>
    </xdr:from>
    <xdr:to>
      <xdr:col>55</xdr:col>
      <xdr:colOff>1415143</xdr:colOff>
      <xdr:row>59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419420</xdr:colOff>
      <xdr:row>79</xdr:row>
      <xdr:rowOff>68834</xdr:rowOff>
    </xdr:from>
    <xdr:to>
      <xdr:col>53</xdr:col>
      <xdr:colOff>968220</xdr:colOff>
      <xdr:row>97</xdr:row>
      <xdr:rowOff>131356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252204</xdr:colOff>
      <xdr:row>42</xdr:row>
      <xdr:rowOff>29252</xdr:rowOff>
    </xdr:from>
    <xdr:to>
      <xdr:col>53</xdr:col>
      <xdr:colOff>804714</xdr:colOff>
      <xdr:row>58</xdr:row>
      <xdr:rowOff>91774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1034143</xdr:colOff>
      <xdr:row>79</xdr:row>
      <xdr:rowOff>122465</xdr:rowOff>
    </xdr:from>
    <xdr:to>
      <xdr:col>56</xdr:col>
      <xdr:colOff>0</xdr:colOff>
      <xdr:row>98</xdr:row>
      <xdr:rowOff>21702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882862</xdr:colOff>
      <xdr:row>59</xdr:row>
      <xdr:rowOff>131909</xdr:rowOff>
    </xdr:from>
    <xdr:to>
      <xdr:col>55</xdr:col>
      <xdr:colOff>1434863</xdr:colOff>
      <xdr:row>78</xdr:row>
      <xdr:rowOff>91337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75</xdr:col>
      <xdr:colOff>349549</xdr:colOff>
      <xdr:row>59</xdr:row>
      <xdr:rowOff>81824</xdr:rowOff>
    </xdr:from>
    <xdr:to>
      <xdr:col>77</xdr:col>
      <xdr:colOff>892742</xdr:colOff>
      <xdr:row>77</xdr:row>
      <xdr:rowOff>144347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942912</xdr:colOff>
      <xdr:row>42</xdr:row>
      <xdr:rowOff>27832</xdr:rowOff>
    </xdr:from>
    <xdr:to>
      <xdr:col>79</xdr:col>
      <xdr:colOff>1415143</xdr:colOff>
      <xdr:row>59</xdr:row>
      <xdr:rowOff>13607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419420</xdr:colOff>
      <xdr:row>79</xdr:row>
      <xdr:rowOff>68834</xdr:rowOff>
    </xdr:from>
    <xdr:to>
      <xdr:col>77</xdr:col>
      <xdr:colOff>968220</xdr:colOff>
      <xdr:row>97</xdr:row>
      <xdr:rowOff>131356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252204</xdr:colOff>
      <xdr:row>42</xdr:row>
      <xdr:rowOff>29252</xdr:rowOff>
    </xdr:from>
    <xdr:to>
      <xdr:col>77</xdr:col>
      <xdr:colOff>804714</xdr:colOff>
      <xdr:row>58</xdr:row>
      <xdr:rowOff>91774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1034143</xdr:colOff>
      <xdr:row>79</xdr:row>
      <xdr:rowOff>122465</xdr:rowOff>
    </xdr:from>
    <xdr:to>
      <xdr:col>80</xdr:col>
      <xdr:colOff>0</xdr:colOff>
      <xdr:row>98</xdr:row>
      <xdr:rowOff>21702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882862</xdr:colOff>
      <xdr:row>59</xdr:row>
      <xdr:rowOff>131909</xdr:rowOff>
    </xdr:from>
    <xdr:to>
      <xdr:col>79</xdr:col>
      <xdr:colOff>1434863</xdr:colOff>
      <xdr:row>78</xdr:row>
      <xdr:rowOff>91337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0.18365</cdr:x>
      <cdr:y>0.46302</cdr:y>
    </cdr:from>
    <cdr:to>
      <cdr:x>0.93382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E103369-7C55-CCB1-8609-DCF9B18E73E6}"/>
            </a:ext>
          </a:extLst>
        </cdr:cNvPr>
        <cdr:cNvCxnSpPr/>
      </cdr:nvCxnSpPr>
      <cdr:spPr>
        <a:xfrm xmlns:a="http://schemas.openxmlformats.org/drawingml/2006/main" flipV="1">
          <a:off x="661147" y="1333500"/>
          <a:ext cx="2700617" cy="11205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0.18054</cdr:x>
      <cdr:y>0.02335</cdr:y>
    </cdr:from>
    <cdr:to>
      <cdr:x>0.80931</cdr:x>
      <cdr:y>0.78208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33D448D-1A73-8281-09AC-503117FB124A}"/>
            </a:ext>
          </a:extLst>
        </cdr:cNvPr>
        <cdr:cNvCxnSpPr/>
      </cdr:nvCxnSpPr>
      <cdr:spPr>
        <a:xfrm xmlns:a="http://schemas.openxmlformats.org/drawingml/2006/main" flipV="1">
          <a:off x="649941" y="67236"/>
          <a:ext cx="2263588" cy="218514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0.18365</cdr:x>
      <cdr:y>0.46302</cdr:y>
    </cdr:from>
    <cdr:to>
      <cdr:x>0.93382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0B406CF-5853-AF6C-AC29-70689F221CDD}"/>
            </a:ext>
          </a:extLst>
        </cdr:cNvPr>
        <cdr:cNvCxnSpPr/>
      </cdr:nvCxnSpPr>
      <cdr:spPr>
        <a:xfrm xmlns:a="http://schemas.openxmlformats.org/drawingml/2006/main" flipV="1">
          <a:off x="661147" y="1333500"/>
          <a:ext cx="2700617" cy="11205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0.18054</cdr:x>
      <cdr:y>0.02335</cdr:y>
    </cdr:from>
    <cdr:to>
      <cdr:x>0.80931</cdr:x>
      <cdr:y>0.78208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D404561-F0D7-A1FE-5153-DB02878227D4}"/>
            </a:ext>
          </a:extLst>
        </cdr:cNvPr>
        <cdr:cNvCxnSpPr/>
      </cdr:nvCxnSpPr>
      <cdr:spPr>
        <a:xfrm xmlns:a="http://schemas.openxmlformats.org/drawingml/2006/main" flipV="1">
          <a:off x="649941" y="67236"/>
          <a:ext cx="2263588" cy="218514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0.41825</cdr:x>
      <cdr:y>0.45785</cdr:y>
    </cdr:from>
    <cdr:to>
      <cdr:x>0.94243</cdr:x>
      <cdr:y>0.87491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06998A2-C6CF-3CD4-3E22-A6681CC79912}"/>
            </a:ext>
          </a:extLst>
        </cdr:cNvPr>
        <cdr:cNvCxnSpPr/>
      </cdr:nvCxnSpPr>
      <cdr:spPr>
        <a:xfrm xmlns:a="http://schemas.openxmlformats.org/drawingml/2006/main" flipV="1">
          <a:off x="1496785" y="1374313"/>
          <a:ext cx="1875869" cy="12518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0.18774</cdr:x>
      <cdr:y>0.02267</cdr:y>
    </cdr:from>
    <cdr:to>
      <cdr:x>0.69462</cdr:x>
      <cdr:y>0.86131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3C06606-B0E9-D2D9-E853-DB27B9C19C71}"/>
            </a:ext>
          </a:extLst>
        </cdr:cNvPr>
        <cdr:cNvCxnSpPr/>
      </cdr:nvCxnSpPr>
      <cdr:spPr>
        <a:xfrm xmlns:a="http://schemas.openxmlformats.org/drawingml/2006/main" flipV="1">
          <a:off x="680357" y="68035"/>
          <a:ext cx="1836965" cy="25173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0.5654</cdr:x>
      <cdr:y>0.37883</cdr:y>
    </cdr:from>
    <cdr:to>
      <cdr:x>0.56787</cdr:x>
      <cdr:y>0.83709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1713C7A-EC79-D097-070F-062D87E2B93F}"/>
            </a:ext>
          </a:extLst>
        </cdr:cNvPr>
        <cdr:cNvCxnSpPr/>
      </cdr:nvCxnSpPr>
      <cdr:spPr>
        <a:xfrm xmlns:a="http://schemas.openxmlformats.org/drawingml/2006/main" flipH="1" flipV="1">
          <a:off x="2041226" y="1127851"/>
          <a:ext cx="8940" cy="13643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0.18198</cdr:x>
      <cdr:y>0.37967</cdr:y>
    </cdr:from>
    <cdr:to>
      <cdr:x>0.5621</cdr:x>
      <cdr:y>0.37967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C7D345C-B9D9-3E00-52BA-42E2EDFC82E4}"/>
            </a:ext>
          </a:extLst>
        </cdr:cNvPr>
        <cdr:cNvCxnSpPr/>
      </cdr:nvCxnSpPr>
      <cdr:spPr>
        <a:xfrm xmlns:a="http://schemas.openxmlformats.org/drawingml/2006/main" flipH="1">
          <a:off x="656995" y="1130338"/>
          <a:ext cx="137230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0.22769</cdr:x>
      <cdr:y>0.68917</cdr:y>
    </cdr:from>
    <cdr:to>
      <cdr:x>0.22769</cdr:x>
      <cdr:y>0.83314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8E31CB7-B499-E689-07FC-8BC5DEE54112}"/>
            </a:ext>
          </a:extLst>
        </cdr:cNvPr>
        <cdr:cNvCxnSpPr/>
      </cdr:nvCxnSpPr>
      <cdr:spPr>
        <a:xfrm xmlns:a="http://schemas.openxmlformats.org/drawingml/2006/main" flipV="1">
          <a:off x="822026" y="2051776"/>
          <a:ext cx="1" cy="428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0.17524</cdr:x>
      <cdr:y>0.682</cdr:y>
    </cdr:from>
    <cdr:to>
      <cdr:x>0.23011</cdr:x>
      <cdr:y>0.6841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4A9CA0DA-47A4-2CA6-274F-F56E4AE63292}"/>
            </a:ext>
          </a:extLst>
        </cdr:cNvPr>
        <cdr:cNvCxnSpPr/>
      </cdr:nvCxnSpPr>
      <cdr:spPr>
        <a:xfrm xmlns:a="http://schemas.openxmlformats.org/drawingml/2006/main" flipH="1">
          <a:off x="632652" y="2030442"/>
          <a:ext cx="198096" cy="62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0.15968</cdr:x>
      <cdr:y>0.62086</cdr:y>
    </cdr:from>
    <cdr:to>
      <cdr:x>0.26963</cdr:x>
      <cdr:y>0.72462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76491" y="1848408"/>
          <a:ext cx="396948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0.16182</cdr:x>
      <cdr:y>0.37219</cdr:y>
    </cdr:from>
    <cdr:to>
      <cdr:x>0.27177</cdr:x>
      <cdr:y>0.47595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84200" y="1108075"/>
          <a:ext cx="396947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248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0.57444</cdr:x>
      <cdr:y>0.75779</cdr:y>
    </cdr:from>
    <cdr:to>
      <cdr:x>0.6839</cdr:x>
      <cdr:y>0.86079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2073877" y="225608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0.23305</cdr:x>
      <cdr:y>0.75291</cdr:y>
    </cdr:from>
    <cdr:to>
      <cdr:x>0.34251</cdr:x>
      <cdr:y>0.8559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841375" y="2241550"/>
          <a:ext cx="395156" cy="30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0.05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0.18365</cdr:x>
      <cdr:y>0.79304</cdr:y>
    </cdr:from>
    <cdr:to>
      <cdr:x>0.92057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3848527-7D4C-BDDE-2D91-7ED7C56528E1}"/>
            </a:ext>
          </a:extLst>
        </cdr:cNvPr>
        <cdr:cNvCxnSpPr/>
      </cdr:nvCxnSpPr>
      <cdr:spPr>
        <a:xfrm xmlns:a="http://schemas.openxmlformats.org/drawingml/2006/main" flipV="1">
          <a:off x="665550" y="2380451"/>
          <a:ext cx="2670601" cy="177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0.18429</cdr:x>
      <cdr:y>0.18559</cdr:y>
    </cdr:from>
    <cdr:to>
      <cdr:x>0.95061</cdr:x>
      <cdr:y>0.85393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2458B28-3DDE-2B13-898E-5FF10D00A42E}"/>
            </a:ext>
          </a:extLst>
        </cdr:cNvPr>
        <cdr:cNvCxnSpPr/>
      </cdr:nvCxnSpPr>
      <cdr:spPr>
        <a:xfrm xmlns:a="http://schemas.openxmlformats.org/drawingml/2006/main" flipV="1">
          <a:off x="667870" y="557094"/>
          <a:ext cx="2777139" cy="20061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0.39164</cdr:x>
      <cdr:y>0.78424</cdr:y>
    </cdr:from>
    <cdr:to>
      <cdr:x>0.95057</cdr:x>
      <cdr:y>0.83864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B095B2B-AE29-BBC6-1302-3F868C42CF79}"/>
            </a:ext>
          </a:extLst>
        </cdr:cNvPr>
        <cdr:cNvCxnSpPr/>
      </cdr:nvCxnSpPr>
      <cdr:spPr>
        <a:xfrm xmlns:a="http://schemas.openxmlformats.org/drawingml/2006/main" flipV="1">
          <a:off x="1401536" y="2354035"/>
          <a:ext cx="2000250" cy="163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0.35361</cdr:x>
      <cdr:y>0.07253</cdr:y>
    </cdr:from>
    <cdr:to>
      <cdr:x>0.87452</cdr:x>
      <cdr:y>0.83411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8B43993-2229-8B7A-3311-17F3ECEA278A}"/>
            </a:ext>
          </a:extLst>
        </cdr:cNvPr>
        <cdr:cNvCxnSpPr/>
      </cdr:nvCxnSpPr>
      <cdr:spPr>
        <a:xfrm xmlns:a="http://schemas.openxmlformats.org/drawingml/2006/main" flipV="1">
          <a:off x="1265464" y="217714"/>
          <a:ext cx="1864179" cy="22859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0.5594</cdr:x>
      <cdr:y>0.62353</cdr:y>
    </cdr:from>
    <cdr:to>
      <cdr:x>0.56334</cdr:x>
      <cdr:y>0.83172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51073D5-18B1-A2A9-6F5B-2FA597D83253}"/>
            </a:ext>
          </a:extLst>
        </cdr:cNvPr>
        <cdr:cNvCxnSpPr/>
      </cdr:nvCxnSpPr>
      <cdr:spPr>
        <a:xfrm xmlns:a="http://schemas.openxmlformats.org/drawingml/2006/main" flipH="1" flipV="1">
          <a:off x="2029067" y="1909163"/>
          <a:ext cx="14295" cy="6374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0.17438</cdr:x>
      <cdr:y>0.62292</cdr:y>
    </cdr:from>
    <cdr:to>
      <cdr:x>0.55271</cdr:x>
      <cdr:y>0.62292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2AABCE6-77A6-E036-EFED-5077DB2F122E}"/>
            </a:ext>
          </a:extLst>
        </cdr:cNvPr>
        <cdr:cNvCxnSpPr/>
      </cdr:nvCxnSpPr>
      <cdr:spPr>
        <a:xfrm xmlns:a="http://schemas.openxmlformats.org/drawingml/2006/main" flipH="1">
          <a:off x="632502" y="1907306"/>
          <a:ext cx="137230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0.22598</cdr:x>
      <cdr:y>0.81331</cdr:y>
    </cdr:from>
    <cdr:to>
      <cdr:x>0.22766</cdr:x>
      <cdr:y>0.83989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370BCBE-7837-6F6C-757C-04BA00CE705B}"/>
            </a:ext>
          </a:extLst>
        </cdr:cNvPr>
        <cdr:cNvCxnSpPr/>
      </cdr:nvCxnSpPr>
      <cdr:spPr>
        <a:xfrm xmlns:a="http://schemas.openxmlformats.org/drawingml/2006/main" flipV="1">
          <a:off x="817277" y="2526809"/>
          <a:ext cx="6078" cy="82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0.17521</cdr:x>
      <cdr:y>0.81424</cdr:y>
    </cdr:from>
    <cdr:to>
      <cdr:x>0.22982</cdr:x>
      <cdr:y>0.81627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0C39283E-F2FC-6CC0-9A3F-46D3E132C280}"/>
            </a:ext>
          </a:extLst>
        </cdr:cNvPr>
        <cdr:cNvCxnSpPr/>
      </cdr:nvCxnSpPr>
      <cdr:spPr>
        <a:xfrm xmlns:a="http://schemas.openxmlformats.org/drawingml/2006/main" flipH="1">
          <a:off x="633648" y="2529696"/>
          <a:ext cx="197515" cy="631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0.15384</cdr:x>
      <cdr:y>0.73345</cdr:y>
    </cdr:from>
    <cdr:to>
      <cdr:x>0.26328</cdr:x>
      <cdr:y>0.81331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56374" y="2278708"/>
          <a:ext cx="395783" cy="248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0.18649</cdr:x>
      <cdr:y>0.55251</cdr:y>
    </cdr:from>
    <cdr:to>
      <cdr:x>0.29592</cdr:x>
      <cdr:y>0.6534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674437" y="1716561"/>
          <a:ext cx="395781" cy="31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0.55462</cdr:x>
      <cdr:y>0.76193</cdr:y>
    </cdr:from>
    <cdr:to>
      <cdr:x>0.66381</cdr:x>
      <cdr:y>0.86293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2007202" y="231323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0.21406</cdr:x>
      <cdr:y>0.75715</cdr:y>
    </cdr:from>
    <cdr:to>
      <cdr:x>0.32325</cdr:x>
      <cdr:y>0.85814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774700" y="2298700"/>
          <a:ext cx="395156" cy="30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0.05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349549</xdr:colOff>
      <xdr:row>59</xdr:row>
      <xdr:rowOff>81824</xdr:rowOff>
    </xdr:from>
    <xdr:to>
      <xdr:col>53</xdr:col>
      <xdr:colOff>892742</xdr:colOff>
      <xdr:row>77</xdr:row>
      <xdr:rowOff>144347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942912</xdr:colOff>
      <xdr:row>42</xdr:row>
      <xdr:rowOff>27832</xdr:rowOff>
    </xdr:from>
    <xdr:to>
      <xdr:col>55</xdr:col>
      <xdr:colOff>1415143</xdr:colOff>
      <xdr:row>59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419420</xdr:colOff>
      <xdr:row>79</xdr:row>
      <xdr:rowOff>68834</xdr:rowOff>
    </xdr:from>
    <xdr:to>
      <xdr:col>53</xdr:col>
      <xdr:colOff>968220</xdr:colOff>
      <xdr:row>97</xdr:row>
      <xdr:rowOff>131356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252204</xdr:colOff>
      <xdr:row>42</xdr:row>
      <xdr:rowOff>29252</xdr:rowOff>
    </xdr:from>
    <xdr:to>
      <xdr:col>53</xdr:col>
      <xdr:colOff>804714</xdr:colOff>
      <xdr:row>58</xdr:row>
      <xdr:rowOff>91774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1034143</xdr:colOff>
      <xdr:row>79</xdr:row>
      <xdr:rowOff>122465</xdr:rowOff>
    </xdr:from>
    <xdr:to>
      <xdr:col>56</xdr:col>
      <xdr:colOff>0</xdr:colOff>
      <xdr:row>98</xdr:row>
      <xdr:rowOff>21702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882862</xdr:colOff>
      <xdr:row>59</xdr:row>
      <xdr:rowOff>131909</xdr:rowOff>
    </xdr:from>
    <xdr:to>
      <xdr:col>55</xdr:col>
      <xdr:colOff>1434863</xdr:colOff>
      <xdr:row>78</xdr:row>
      <xdr:rowOff>91337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476249</xdr:colOff>
      <xdr:row>43</xdr:row>
      <xdr:rowOff>326572</xdr:rowOff>
    </xdr:from>
    <xdr:to>
      <xdr:col>116</xdr:col>
      <xdr:colOff>349765</xdr:colOff>
      <xdr:row>61</xdr:row>
      <xdr:rowOff>149061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110</xdr:col>
      <xdr:colOff>190500</xdr:colOff>
      <xdr:row>61</xdr:row>
      <xdr:rowOff>163284</xdr:rowOff>
    </xdr:from>
    <xdr:to>
      <xdr:col>116</xdr:col>
      <xdr:colOff>134978</xdr:colOff>
      <xdr:row>80</xdr:row>
      <xdr:rowOff>62523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110</xdr:col>
      <xdr:colOff>163286</xdr:colOff>
      <xdr:row>80</xdr:row>
      <xdr:rowOff>136071</xdr:rowOff>
    </xdr:from>
    <xdr:to>
      <xdr:col>116</xdr:col>
      <xdr:colOff>107764</xdr:colOff>
      <xdr:row>99</xdr:row>
      <xdr:rowOff>35308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132</xdr:col>
      <xdr:colOff>190500</xdr:colOff>
      <xdr:row>47</xdr:row>
      <xdr:rowOff>81643</xdr:rowOff>
    </xdr:from>
    <xdr:to>
      <xdr:col>135</xdr:col>
      <xdr:colOff>515182</xdr:colOff>
      <xdr:row>66</xdr:row>
      <xdr:rowOff>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349549</xdr:colOff>
      <xdr:row>59</xdr:row>
      <xdr:rowOff>81824</xdr:rowOff>
    </xdr:from>
    <xdr:to>
      <xdr:col>77</xdr:col>
      <xdr:colOff>892742</xdr:colOff>
      <xdr:row>77</xdr:row>
      <xdr:rowOff>144347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942912</xdr:colOff>
      <xdr:row>42</xdr:row>
      <xdr:rowOff>27832</xdr:rowOff>
    </xdr:from>
    <xdr:to>
      <xdr:col>79</xdr:col>
      <xdr:colOff>1415143</xdr:colOff>
      <xdr:row>59</xdr:row>
      <xdr:rowOff>13607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75</xdr:col>
      <xdr:colOff>419420</xdr:colOff>
      <xdr:row>79</xdr:row>
      <xdr:rowOff>68834</xdr:rowOff>
    </xdr:from>
    <xdr:to>
      <xdr:col>77</xdr:col>
      <xdr:colOff>968220</xdr:colOff>
      <xdr:row>97</xdr:row>
      <xdr:rowOff>131356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252204</xdr:colOff>
      <xdr:row>42</xdr:row>
      <xdr:rowOff>29252</xdr:rowOff>
    </xdr:from>
    <xdr:to>
      <xdr:col>77</xdr:col>
      <xdr:colOff>804714</xdr:colOff>
      <xdr:row>58</xdr:row>
      <xdr:rowOff>91774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1034143</xdr:colOff>
      <xdr:row>79</xdr:row>
      <xdr:rowOff>122465</xdr:rowOff>
    </xdr:from>
    <xdr:to>
      <xdr:col>80</xdr:col>
      <xdr:colOff>0</xdr:colOff>
      <xdr:row>98</xdr:row>
      <xdr:rowOff>21702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77</xdr:col>
      <xdr:colOff>882862</xdr:colOff>
      <xdr:row>59</xdr:row>
      <xdr:rowOff>131909</xdr:rowOff>
    </xdr:from>
    <xdr:to>
      <xdr:col>79</xdr:col>
      <xdr:colOff>1434863</xdr:colOff>
      <xdr:row>78</xdr:row>
      <xdr:rowOff>91337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123</xdr:col>
      <xdr:colOff>68036</xdr:colOff>
      <xdr:row>62</xdr:row>
      <xdr:rowOff>40820</xdr:rowOff>
    </xdr:from>
    <xdr:to>
      <xdr:col>128</xdr:col>
      <xdr:colOff>585108</xdr:colOff>
      <xdr:row>80</xdr:row>
      <xdr:rowOff>103343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123</xdr:col>
      <xdr:colOff>136072</xdr:colOff>
      <xdr:row>81</xdr:row>
      <xdr:rowOff>81643</xdr:rowOff>
    </xdr:from>
    <xdr:to>
      <xdr:col>129</xdr:col>
      <xdr:colOff>40823</xdr:colOff>
      <xdr:row>99</xdr:row>
      <xdr:rowOff>144165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123</xdr:col>
      <xdr:colOff>81643</xdr:colOff>
      <xdr:row>43</xdr:row>
      <xdr:rowOff>204107</xdr:rowOff>
    </xdr:from>
    <xdr:to>
      <xdr:col>129</xdr:col>
      <xdr:colOff>26122</xdr:colOff>
      <xdr:row>60</xdr:row>
      <xdr:rowOff>103345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123</xdr:col>
      <xdr:colOff>190501</xdr:colOff>
      <xdr:row>100</xdr:row>
      <xdr:rowOff>69273</xdr:rowOff>
    </xdr:from>
    <xdr:to>
      <xdr:col>129</xdr:col>
      <xdr:colOff>95252</xdr:colOff>
      <xdr:row>118</xdr:row>
      <xdr:rowOff>131795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244929</xdr:colOff>
      <xdr:row>98</xdr:row>
      <xdr:rowOff>122464</xdr:rowOff>
    </xdr:from>
    <xdr:to>
      <xdr:col>77</xdr:col>
      <xdr:colOff>788122</xdr:colOff>
      <xdr:row>117</xdr:row>
      <xdr:rowOff>21701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66437</xdr:colOff>
      <xdr:row>98</xdr:row>
      <xdr:rowOff>27215</xdr:rowOff>
    </xdr:from>
    <xdr:to>
      <xdr:col>81</xdr:col>
      <xdr:colOff>10918</xdr:colOff>
      <xdr:row>116</xdr:row>
      <xdr:rowOff>149928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75</xdr:col>
      <xdr:colOff>930088</xdr:colOff>
      <xdr:row>113</xdr:row>
      <xdr:rowOff>582</xdr:rowOff>
    </xdr:from>
    <xdr:to>
      <xdr:col>77</xdr:col>
      <xdr:colOff>1427985</xdr:colOff>
      <xdr:row>131</xdr:row>
      <xdr:rowOff>56030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74</xdr:col>
      <xdr:colOff>217714</xdr:colOff>
      <xdr:row>140</xdr:row>
      <xdr:rowOff>1239</xdr:rowOff>
    </xdr:from>
    <xdr:to>
      <xdr:col>76</xdr:col>
      <xdr:colOff>1251237</xdr:colOff>
      <xdr:row>156</xdr:row>
      <xdr:rowOff>118261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0.18365</cdr:x>
      <cdr:y>0.46302</cdr:y>
    </cdr:from>
    <cdr:to>
      <cdr:x>0.93382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97B8E05-374E-45EA-9B72-55C8A3D997C4}"/>
            </a:ext>
          </a:extLst>
        </cdr:cNvPr>
        <cdr:cNvCxnSpPr/>
      </cdr:nvCxnSpPr>
      <cdr:spPr>
        <a:xfrm xmlns:a="http://schemas.openxmlformats.org/drawingml/2006/main" flipV="1">
          <a:off x="661147" y="1333500"/>
          <a:ext cx="2700617" cy="11205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0.18054</cdr:x>
      <cdr:y>0.02335</cdr:y>
    </cdr:from>
    <cdr:to>
      <cdr:x>0.80931</cdr:x>
      <cdr:y>0.78208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F6F727B-E89C-5A33-1882-03E832724ABE}"/>
            </a:ext>
          </a:extLst>
        </cdr:cNvPr>
        <cdr:cNvCxnSpPr/>
      </cdr:nvCxnSpPr>
      <cdr:spPr>
        <a:xfrm xmlns:a="http://schemas.openxmlformats.org/drawingml/2006/main" flipV="1">
          <a:off x="649941" y="67236"/>
          <a:ext cx="2263588" cy="218514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0.41825</cdr:x>
      <cdr:y>0.45785</cdr:y>
    </cdr:from>
    <cdr:to>
      <cdr:x>0.94243</cdr:x>
      <cdr:y>0.87491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68F831-2090-58BD-C7DD-0C1BF63881EE}"/>
            </a:ext>
          </a:extLst>
        </cdr:cNvPr>
        <cdr:cNvCxnSpPr/>
      </cdr:nvCxnSpPr>
      <cdr:spPr>
        <a:xfrm xmlns:a="http://schemas.openxmlformats.org/drawingml/2006/main" flipV="1">
          <a:off x="1496785" y="1374313"/>
          <a:ext cx="1875869" cy="12518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0.18774</cdr:x>
      <cdr:y>0.02267</cdr:y>
    </cdr:from>
    <cdr:to>
      <cdr:x>0.69462</cdr:x>
      <cdr:y>0.86131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B8040E7-C456-AACE-6190-9490C52286B3}"/>
            </a:ext>
          </a:extLst>
        </cdr:cNvPr>
        <cdr:cNvCxnSpPr/>
      </cdr:nvCxnSpPr>
      <cdr:spPr>
        <a:xfrm xmlns:a="http://schemas.openxmlformats.org/drawingml/2006/main" flipV="1">
          <a:off x="680357" y="68035"/>
          <a:ext cx="1836965" cy="25173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0.2148</cdr:x>
      <cdr:y>0.13218</cdr:y>
    </cdr:from>
    <cdr:to>
      <cdr:x>0.2148</cdr:x>
      <cdr:y>0.38774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AD7E506-D2EB-9992-B783-AEAD8EE55889}"/>
            </a:ext>
          </a:extLst>
        </cdr:cNvPr>
        <cdr:cNvCxnSpPr/>
      </cdr:nvCxnSpPr>
      <cdr:spPr>
        <a:xfrm xmlns:a="http://schemas.openxmlformats.org/drawingml/2006/main">
          <a:off x="762001" y="408214"/>
          <a:ext cx="0" cy="7892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0.54046</cdr:x>
      <cdr:y>0.04416</cdr:y>
    </cdr:from>
    <cdr:to>
      <cdr:x>0.54148</cdr:x>
      <cdr:y>0.2348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95FB00-AC43-E0FF-D2D1-241EAC123A19}"/>
            </a:ext>
          </a:extLst>
        </cdr:cNvPr>
        <cdr:cNvCxnSpPr/>
      </cdr:nvCxnSpPr>
      <cdr:spPr>
        <a:xfrm xmlns:a="http://schemas.openxmlformats.org/drawingml/2006/main">
          <a:off x="1893883" y="131203"/>
          <a:ext cx="3584" cy="5664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0.67407</cdr:x>
      <cdr:y>0.07814</cdr:y>
    </cdr:from>
    <cdr:to>
      <cdr:x>0.67509</cdr:x>
      <cdr:y>0.26878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7F34101-667B-4F26-4CCC-FC408DBBFF40}"/>
            </a:ext>
          </a:extLst>
        </cdr:cNvPr>
        <cdr:cNvCxnSpPr/>
      </cdr:nvCxnSpPr>
      <cdr:spPr>
        <a:xfrm xmlns:a="http://schemas.openxmlformats.org/drawingml/2006/main">
          <a:off x="2391229" y="241300"/>
          <a:ext cx="3629" cy="5887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0.27617</cdr:x>
      <cdr:y>0.11339</cdr:y>
    </cdr:from>
    <cdr:to>
      <cdr:x>0.27899</cdr:x>
      <cdr:y>0.1454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731FAF31-0527-1482-2AD8-5761942B6C8E}"/>
            </a:ext>
          </a:extLst>
        </cdr:cNvPr>
        <cdr:cNvCxnSpPr/>
      </cdr:nvCxnSpPr>
      <cdr:spPr>
        <a:xfrm xmlns:a="http://schemas.openxmlformats.org/drawingml/2006/main" flipH="1">
          <a:off x="979715" y="350157"/>
          <a:ext cx="9978" cy="988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0.34803</cdr:x>
      <cdr:y>0.11339</cdr:y>
    </cdr:from>
    <cdr:to>
      <cdr:x>0.34905</cdr:x>
      <cdr:y>0.18947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857E220-DA37-C5FF-ADEE-35E6A898A79F}"/>
            </a:ext>
          </a:extLst>
        </cdr:cNvPr>
        <cdr:cNvCxnSpPr/>
      </cdr:nvCxnSpPr>
      <cdr:spPr>
        <a:xfrm xmlns:a="http://schemas.openxmlformats.org/drawingml/2006/main">
          <a:off x="1234621" y="350157"/>
          <a:ext cx="3630" cy="234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0.80065</cdr:x>
      <cdr:y>0.30285</cdr:y>
    </cdr:from>
    <cdr:to>
      <cdr:x>0.80167</cdr:x>
      <cdr:y>0.37893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A32494A3-BE33-AF19-974E-533BC7FC2595}"/>
            </a:ext>
          </a:extLst>
        </cdr:cNvPr>
        <cdr:cNvCxnSpPr/>
      </cdr:nvCxnSpPr>
      <cdr:spPr>
        <a:xfrm xmlns:a="http://schemas.openxmlformats.org/drawingml/2006/main">
          <a:off x="2840264" y="935264"/>
          <a:ext cx="3630" cy="2349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0.934</cdr:x>
      <cdr:y>0.08939</cdr:y>
    </cdr:from>
    <cdr:to>
      <cdr:x>0.934</cdr:x>
      <cdr:y>0.20836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BE8A5A73-58AC-641D-F681-9EDAFF202A93}"/>
            </a:ext>
          </a:extLst>
        </cdr:cNvPr>
        <cdr:cNvCxnSpPr/>
      </cdr:nvCxnSpPr>
      <cdr:spPr>
        <a:xfrm xmlns:a="http://schemas.openxmlformats.org/drawingml/2006/main">
          <a:off x="3272955" y="265617"/>
          <a:ext cx="0" cy="3534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0.87175</cdr:x>
      <cdr:y>0.20077</cdr:y>
    </cdr:from>
    <cdr:to>
      <cdr:x>0.87175</cdr:x>
      <cdr:y>0.31974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BEE21398-7AE0-BCAE-F3A9-F177D67D793E}"/>
            </a:ext>
          </a:extLst>
        </cdr:cNvPr>
        <cdr:cNvCxnSpPr/>
      </cdr:nvCxnSpPr>
      <cdr:spPr>
        <a:xfrm xmlns:a="http://schemas.openxmlformats.org/drawingml/2006/main">
          <a:off x="3054814" y="596564"/>
          <a:ext cx="0" cy="3534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0.34522</cdr:x>
      <cdr:y>0.17625</cdr:y>
    </cdr:from>
    <cdr:to>
      <cdr:x>0.34522</cdr:x>
      <cdr:y>0.33927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535758A-3F0A-0056-6396-BFAB5606468D}"/>
            </a:ext>
          </a:extLst>
        </cdr:cNvPr>
        <cdr:cNvCxnSpPr/>
      </cdr:nvCxnSpPr>
      <cdr:spPr>
        <a:xfrm xmlns:a="http://schemas.openxmlformats.org/drawingml/2006/main" flipH="1">
          <a:off x="1219007" y="539488"/>
          <a:ext cx="0" cy="4990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0.1841</cdr:x>
      <cdr:y>0.28375</cdr:y>
    </cdr:from>
    <cdr:to>
      <cdr:x>0.29381</cdr:x>
      <cdr:y>0.38658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666818" y="863820"/>
          <a:ext cx="397337" cy="313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10,250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0.56941</cdr:x>
      <cdr:y>0.29384</cdr:y>
    </cdr:from>
    <cdr:to>
      <cdr:x>0.56941</cdr:x>
      <cdr:y>0.83526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67EF0CF-678B-0C0E-6533-2D003AB19AF9}"/>
            </a:ext>
          </a:extLst>
        </cdr:cNvPr>
        <cdr:cNvCxnSpPr/>
      </cdr:nvCxnSpPr>
      <cdr:spPr>
        <a:xfrm xmlns:a="http://schemas.openxmlformats.org/drawingml/2006/main" flipV="1">
          <a:off x="2062370" y="894523"/>
          <a:ext cx="0" cy="16482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0.18124</cdr:x>
      <cdr:y>0.29167</cdr:y>
    </cdr:from>
    <cdr:to>
      <cdr:x>0.5605</cdr:x>
      <cdr:y>0.29167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DA0DB388-A64F-41AF-FFB4-72559835F958}"/>
            </a:ext>
          </a:extLst>
        </cdr:cNvPr>
        <cdr:cNvCxnSpPr/>
      </cdr:nvCxnSpPr>
      <cdr:spPr>
        <a:xfrm xmlns:a="http://schemas.openxmlformats.org/drawingml/2006/main" flipH="1">
          <a:off x="656444" y="887918"/>
          <a:ext cx="1373651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0.55652</cdr:x>
      <cdr:y>0.7515</cdr:y>
    </cdr:from>
    <cdr:to>
      <cdr:x>0.66622</cdr:x>
      <cdr:y>0.85449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015674" y="2287768"/>
          <a:ext cx="397337" cy="313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0.25321</cdr:x>
      <cdr:y>0.57118</cdr:y>
    </cdr:from>
    <cdr:to>
      <cdr:x>0.25572</cdr:x>
      <cdr:y>0.83736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B0107B-436E-D1C0-1D56-D96CB5E92DF5}"/>
            </a:ext>
          </a:extLst>
        </cdr:cNvPr>
        <cdr:cNvCxnSpPr/>
      </cdr:nvCxnSpPr>
      <cdr:spPr>
        <a:xfrm xmlns:a="http://schemas.openxmlformats.org/drawingml/2006/main" flipV="1">
          <a:off x="916217" y="1714501"/>
          <a:ext cx="9069" cy="7989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0.24443</cdr:x>
      <cdr:y>0.73302</cdr:y>
    </cdr:from>
    <cdr:to>
      <cdr:x>0.35413</cdr:x>
      <cdr:y>0.83601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884463" y="2200283"/>
          <a:ext cx="396939" cy="309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0.17664</cdr:x>
      <cdr:y>0.55107</cdr:y>
    </cdr:from>
    <cdr:to>
      <cdr:x>0.25948</cdr:x>
      <cdr:y>0.55305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9EE02DA8-032A-F933-6CE7-1460B894FA3C}"/>
            </a:ext>
          </a:extLst>
        </cdr:cNvPr>
        <cdr:cNvCxnSpPr/>
      </cdr:nvCxnSpPr>
      <cdr:spPr>
        <a:xfrm xmlns:a="http://schemas.openxmlformats.org/drawingml/2006/main" flipH="1" flipV="1">
          <a:off x="639155" y="1654115"/>
          <a:ext cx="299749" cy="59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0.17466</cdr:x>
      <cdr:y>0.45113</cdr:y>
    </cdr:from>
    <cdr:to>
      <cdr:x>0.30084</cdr:x>
      <cdr:y>0.53492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631991" y="1354149"/>
          <a:ext cx="456571" cy="251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206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0.55612</cdr:x>
      <cdr:y>0.48052</cdr:y>
    </cdr:from>
    <cdr:to>
      <cdr:x>0.56032</cdr:x>
      <cdr:y>0.82821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BF34EB7-0B21-50E5-C329-C5FC3FFD2210}"/>
            </a:ext>
          </a:extLst>
        </cdr:cNvPr>
        <cdr:cNvCxnSpPr/>
      </cdr:nvCxnSpPr>
      <cdr:spPr>
        <a:xfrm xmlns:a="http://schemas.openxmlformats.org/drawingml/2006/main" flipV="1">
          <a:off x="2012268" y="1442358"/>
          <a:ext cx="15196" cy="10436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0.1783</cdr:x>
      <cdr:y>0.47923</cdr:y>
    </cdr:from>
    <cdr:to>
      <cdr:x>0.55756</cdr:x>
      <cdr:y>0.47923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F831D22F-294E-772F-CF6F-E1FB16195A09}"/>
            </a:ext>
          </a:extLst>
        </cdr:cNvPr>
        <cdr:cNvCxnSpPr/>
      </cdr:nvCxnSpPr>
      <cdr:spPr>
        <a:xfrm xmlns:a="http://schemas.openxmlformats.org/drawingml/2006/main" flipH="1">
          <a:off x="645808" y="1460050"/>
          <a:ext cx="1373662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0.54672</cdr:x>
      <cdr:y>0.74476</cdr:y>
    </cdr:from>
    <cdr:to>
      <cdr:x>0.65642</cdr:x>
      <cdr:y>0.84767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54626" y="2144897"/>
          <a:ext cx="392206" cy="296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0.27076</cdr:x>
      <cdr:y>0.55305</cdr:y>
    </cdr:from>
    <cdr:to>
      <cdr:x>0.27452</cdr:x>
      <cdr:y>0.83411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FB222F6-7108-8D13-3027-896C552A1125}"/>
            </a:ext>
          </a:extLst>
        </cdr:cNvPr>
        <cdr:cNvCxnSpPr/>
      </cdr:nvCxnSpPr>
      <cdr:spPr>
        <a:xfrm xmlns:a="http://schemas.openxmlformats.org/drawingml/2006/main" flipH="1" flipV="1">
          <a:off x="979714" y="1660072"/>
          <a:ext cx="13612" cy="8436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0.26933</cdr:x>
      <cdr:y>0.72322</cdr:y>
    </cdr:from>
    <cdr:to>
      <cdr:x>0.37904</cdr:x>
      <cdr:y>0.82613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974542" y="2170855"/>
          <a:ext cx="396975" cy="308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0.17888</cdr:x>
      <cdr:y>0.56212</cdr:y>
    </cdr:from>
    <cdr:to>
      <cdr:x>0.26537</cdr:x>
      <cdr:y>0.56212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F624B141-5C33-DDEF-1328-F35E6C506D78}"/>
            </a:ext>
          </a:extLst>
        </cdr:cNvPr>
        <cdr:cNvCxnSpPr/>
      </cdr:nvCxnSpPr>
      <cdr:spPr>
        <a:xfrm xmlns:a="http://schemas.openxmlformats.org/drawingml/2006/main" flipH="1">
          <a:off x="647908" y="1712565"/>
          <a:ext cx="313263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0.17467</cdr:x>
      <cdr:y>0.40926</cdr:y>
    </cdr:from>
    <cdr:to>
      <cdr:x>0.28437</cdr:x>
      <cdr:y>0.51217</cdr:y>
    </cdr:to>
    <cdr:sp macro="" textlink="">
      <cdr:nvSpPr>
        <cdr:cNvPr id="15" name="TextBox 2"/>
        <cdr:cNvSpPr txBox="1"/>
      </cdr:nvSpPr>
      <cdr:spPr>
        <a:xfrm xmlns:a="http://schemas.openxmlformats.org/drawingml/2006/main">
          <a:off x="632023" y="1228466"/>
          <a:ext cx="396940" cy="308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380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0.17117</cdr:x>
      <cdr:y>0.55486</cdr:y>
    </cdr:from>
    <cdr:to>
      <cdr:x>0.28087</cdr:x>
      <cdr:y>0.69282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619958" y="1690454"/>
          <a:ext cx="397328" cy="420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117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0.40761</cdr:x>
      <cdr:y>0.02513</cdr:y>
    </cdr:from>
    <cdr:to>
      <cdr:x>0.40761</cdr:x>
      <cdr:y>0.83203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E293FD0-FA31-B65C-968B-3957B44C9563}"/>
            </a:ext>
          </a:extLst>
        </cdr:cNvPr>
        <cdr:cNvCxnSpPr/>
      </cdr:nvCxnSpPr>
      <cdr:spPr>
        <a:xfrm xmlns:a="http://schemas.openxmlformats.org/drawingml/2006/main" flipV="1">
          <a:off x="2939644" y="74913"/>
          <a:ext cx="0" cy="24055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0.14258</cdr:x>
      <cdr:y>0.42994</cdr:y>
    </cdr:from>
    <cdr:to>
      <cdr:x>0.66771</cdr:x>
      <cdr:y>0.42994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44465E5-BEE8-9A7C-9770-DCA41BD998C3}"/>
            </a:ext>
          </a:extLst>
        </cdr:cNvPr>
        <cdr:cNvCxnSpPr/>
      </cdr:nvCxnSpPr>
      <cdr:spPr>
        <a:xfrm xmlns:a="http://schemas.openxmlformats.org/drawingml/2006/main" flipH="1">
          <a:off x="1028314" y="1281760"/>
          <a:ext cx="37871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0.5654</cdr:x>
      <cdr:y>0.37883</cdr:y>
    </cdr:from>
    <cdr:to>
      <cdr:x>0.56787</cdr:x>
      <cdr:y>0.83709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F3B87D5-B079-9257-A004-45558A2AC973}"/>
            </a:ext>
          </a:extLst>
        </cdr:cNvPr>
        <cdr:cNvCxnSpPr/>
      </cdr:nvCxnSpPr>
      <cdr:spPr>
        <a:xfrm xmlns:a="http://schemas.openxmlformats.org/drawingml/2006/main" flipH="1" flipV="1">
          <a:off x="2041226" y="1127851"/>
          <a:ext cx="8940" cy="13643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0.18198</cdr:x>
      <cdr:y>0.38874</cdr:y>
    </cdr:from>
    <cdr:to>
      <cdr:x>0.5621</cdr:x>
      <cdr:y>0.38874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CB2AD7F-5C78-6C87-9CEC-A55652CD0CDB}"/>
            </a:ext>
          </a:extLst>
        </cdr:cNvPr>
        <cdr:cNvCxnSpPr/>
      </cdr:nvCxnSpPr>
      <cdr:spPr>
        <a:xfrm xmlns:a="http://schemas.openxmlformats.org/drawingml/2006/main" flipH="1">
          <a:off x="658478" y="1166856"/>
          <a:ext cx="1375429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0.25313</cdr:x>
      <cdr:y>0.65272</cdr:y>
    </cdr:from>
    <cdr:to>
      <cdr:x>0.25401</cdr:x>
      <cdr:y>0.82407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6C9AC9E-9FB3-6BD6-0E93-9A6757892672}"/>
            </a:ext>
          </a:extLst>
        </cdr:cNvPr>
        <cdr:cNvCxnSpPr/>
      </cdr:nvCxnSpPr>
      <cdr:spPr>
        <a:xfrm xmlns:a="http://schemas.openxmlformats.org/drawingml/2006/main" flipH="1" flipV="1">
          <a:off x="915915" y="1959248"/>
          <a:ext cx="3197" cy="5143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0.18652</cdr:x>
      <cdr:y>0.64573</cdr:y>
    </cdr:from>
    <cdr:to>
      <cdr:x>0.24139</cdr:x>
      <cdr:y>0.64783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ED3820EB-117D-8E99-4D14-7EFDDA426955}"/>
            </a:ext>
          </a:extLst>
        </cdr:cNvPr>
        <cdr:cNvCxnSpPr/>
      </cdr:nvCxnSpPr>
      <cdr:spPr>
        <a:xfrm xmlns:a="http://schemas.openxmlformats.org/drawingml/2006/main" flipH="1">
          <a:off x="674911" y="1938279"/>
          <a:ext cx="198542" cy="63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0.18062</cdr:x>
      <cdr:y>0.37672</cdr:y>
    </cdr:from>
    <cdr:to>
      <cdr:x>0.29057</cdr:x>
      <cdr:y>0.48048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654897" y="1080459"/>
          <a:ext cx="398660" cy="297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198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0.57444</cdr:x>
      <cdr:y>0.73966</cdr:y>
    </cdr:from>
    <cdr:to>
      <cdr:x>0.6839</cdr:x>
      <cdr:y>0.84266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2078558" y="2220203"/>
          <a:ext cx="396071" cy="309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0.23681</cdr:x>
      <cdr:y>0.73931</cdr:y>
    </cdr:from>
    <cdr:to>
      <cdr:x>0.34627</cdr:x>
      <cdr:y>0.8423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856878" y="2219163"/>
          <a:ext cx="396071" cy="309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0.8576</cdr:x>
      <cdr:y>0.22302</cdr:y>
    </cdr:from>
    <cdr:to>
      <cdr:x>0.85857</cdr:x>
      <cdr:y>0.83405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3669A74D-D4E1-B6C4-5DD1-384A48BC52CF}"/>
            </a:ext>
          </a:extLst>
        </cdr:cNvPr>
        <cdr:cNvCxnSpPr/>
      </cdr:nvCxnSpPr>
      <cdr:spPr>
        <a:xfrm xmlns:a="http://schemas.openxmlformats.org/drawingml/2006/main" flipH="1" flipV="1">
          <a:off x="3103151" y="669444"/>
          <a:ext cx="3515" cy="1834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0.52389</cdr:x>
      <cdr:y>0.23293</cdr:y>
    </cdr:from>
    <cdr:to>
      <cdr:x>0.85806</cdr:x>
      <cdr:y>0.23567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5902B02D-3263-692F-FD26-8E7BC410A9CC}"/>
            </a:ext>
          </a:extLst>
        </cdr:cNvPr>
        <cdr:cNvCxnSpPr/>
      </cdr:nvCxnSpPr>
      <cdr:spPr>
        <a:xfrm xmlns:a="http://schemas.openxmlformats.org/drawingml/2006/main" flipH="1">
          <a:off x="1895630" y="699192"/>
          <a:ext cx="1209190" cy="819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0.55556</cdr:x>
      <cdr:y>0.16199</cdr:y>
    </cdr:from>
    <cdr:to>
      <cdr:x>0.66551</cdr:x>
      <cdr:y>0.26575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2010228" y="486228"/>
          <a:ext cx="397843" cy="3114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3104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0.84784</cdr:x>
      <cdr:y>0.73345</cdr:y>
    </cdr:from>
    <cdr:to>
      <cdr:x>0.9573</cdr:x>
      <cdr:y>0.83645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3067828" y="2201570"/>
          <a:ext cx="396071" cy="309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0.9</a:t>
          </a:r>
        </a:p>
      </cdr:txBody>
    </cdr:sp>
  </cdr:relSizeAnchor>
  <cdr:relSizeAnchor xmlns:cdr="http://schemas.openxmlformats.org/drawingml/2006/chartDrawing">
    <cdr:from>
      <cdr:x>0.16822</cdr:x>
      <cdr:y>0.53824</cdr:y>
    </cdr:from>
    <cdr:to>
      <cdr:x>0.27817</cdr:x>
      <cdr:y>0.642</cdr:y>
    </cdr:to>
    <cdr:sp macro="" textlink="">
      <cdr:nvSpPr>
        <cdr:cNvPr id="16" name="TextBox 2"/>
        <cdr:cNvSpPr txBox="1"/>
      </cdr:nvSpPr>
      <cdr:spPr>
        <a:xfrm xmlns:a="http://schemas.openxmlformats.org/drawingml/2006/main">
          <a:off x="608693" y="1615621"/>
          <a:ext cx="397844" cy="311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3.94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0.18365</cdr:x>
      <cdr:y>0.79304</cdr:y>
    </cdr:from>
    <cdr:to>
      <cdr:x>0.92057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1B5C548-10FB-7BB4-1F9C-C6F37F251345}"/>
            </a:ext>
          </a:extLst>
        </cdr:cNvPr>
        <cdr:cNvCxnSpPr/>
      </cdr:nvCxnSpPr>
      <cdr:spPr>
        <a:xfrm xmlns:a="http://schemas.openxmlformats.org/drawingml/2006/main" flipV="1">
          <a:off x="665550" y="2380451"/>
          <a:ext cx="2670601" cy="177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0.18429</cdr:x>
      <cdr:y>0.18559</cdr:y>
    </cdr:from>
    <cdr:to>
      <cdr:x>0.95061</cdr:x>
      <cdr:y>0.85393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081044A-F620-36F9-E10C-E2D8C4B67F6C}"/>
            </a:ext>
          </a:extLst>
        </cdr:cNvPr>
        <cdr:cNvCxnSpPr/>
      </cdr:nvCxnSpPr>
      <cdr:spPr>
        <a:xfrm xmlns:a="http://schemas.openxmlformats.org/drawingml/2006/main" flipV="1">
          <a:off x="667870" y="557094"/>
          <a:ext cx="2777139" cy="20061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0.39164</cdr:x>
      <cdr:y>0.78424</cdr:y>
    </cdr:from>
    <cdr:to>
      <cdr:x>0.95057</cdr:x>
      <cdr:y>0.83864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CAA8140-6BB5-9724-D15C-4D09177466AE}"/>
            </a:ext>
          </a:extLst>
        </cdr:cNvPr>
        <cdr:cNvCxnSpPr/>
      </cdr:nvCxnSpPr>
      <cdr:spPr>
        <a:xfrm xmlns:a="http://schemas.openxmlformats.org/drawingml/2006/main" flipV="1">
          <a:off x="1401536" y="2354035"/>
          <a:ext cx="2000250" cy="163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0.35361</cdr:x>
      <cdr:y>0.07253</cdr:y>
    </cdr:from>
    <cdr:to>
      <cdr:x>0.87452</cdr:x>
      <cdr:y>0.83411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21E0B71-1631-AECE-A0CE-D121C67EA5AD}"/>
            </a:ext>
          </a:extLst>
        </cdr:cNvPr>
        <cdr:cNvCxnSpPr/>
      </cdr:nvCxnSpPr>
      <cdr:spPr>
        <a:xfrm xmlns:a="http://schemas.openxmlformats.org/drawingml/2006/main" flipV="1">
          <a:off x="1265464" y="217714"/>
          <a:ext cx="1864179" cy="22859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0.41825</cdr:x>
      <cdr:y>0.45785</cdr:y>
    </cdr:from>
    <cdr:to>
      <cdr:x>0.94243</cdr:x>
      <cdr:y>0.87491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B4150E8-A6A3-7C97-A24E-05E8672E1274}"/>
            </a:ext>
          </a:extLst>
        </cdr:cNvPr>
        <cdr:cNvCxnSpPr/>
      </cdr:nvCxnSpPr>
      <cdr:spPr>
        <a:xfrm xmlns:a="http://schemas.openxmlformats.org/drawingml/2006/main" flipV="1">
          <a:off x="1496785" y="1374313"/>
          <a:ext cx="1875869" cy="12518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0.18774</cdr:x>
      <cdr:y>0.02267</cdr:y>
    </cdr:from>
    <cdr:to>
      <cdr:x>0.69462</cdr:x>
      <cdr:y>0.86131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F960448-35BF-B8FD-E7AF-8DB4F4AA1359}"/>
            </a:ext>
          </a:extLst>
        </cdr:cNvPr>
        <cdr:cNvCxnSpPr/>
      </cdr:nvCxnSpPr>
      <cdr:spPr>
        <a:xfrm xmlns:a="http://schemas.openxmlformats.org/drawingml/2006/main" flipV="1">
          <a:off x="680357" y="68035"/>
          <a:ext cx="1836965" cy="25173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0.5519</cdr:x>
      <cdr:y>0.6102</cdr:y>
    </cdr:from>
    <cdr:to>
      <cdr:x>0.5519</cdr:x>
      <cdr:y>0.82579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5DF5140-8773-ACC8-C827-A08692AA8B1E}"/>
            </a:ext>
          </a:extLst>
        </cdr:cNvPr>
        <cdr:cNvCxnSpPr/>
      </cdr:nvCxnSpPr>
      <cdr:spPr>
        <a:xfrm xmlns:a="http://schemas.openxmlformats.org/drawingml/2006/main" flipH="1" flipV="1">
          <a:off x="2001852" y="1868341"/>
          <a:ext cx="0" cy="66011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0.17301</cdr:x>
      <cdr:y>0.60956</cdr:y>
    </cdr:from>
    <cdr:to>
      <cdr:x>0.5518</cdr:x>
      <cdr:y>0.60956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C2B581D-5D3C-BA43-4D79-2D5261364D21}"/>
            </a:ext>
          </a:extLst>
        </cdr:cNvPr>
        <cdr:cNvCxnSpPr/>
      </cdr:nvCxnSpPr>
      <cdr:spPr>
        <a:xfrm xmlns:a="http://schemas.openxmlformats.org/drawingml/2006/main" flipH="1">
          <a:off x="627531" y="1866386"/>
          <a:ext cx="1373968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0.24704</cdr:x>
      <cdr:y>0.75241</cdr:y>
    </cdr:from>
    <cdr:to>
      <cdr:x>0.24803</cdr:x>
      <cdr:y>0.83048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C1F8936-2105-3432-0418-4010A60E03E1}"/>
            </a:ext>
          </a:extLst>
        </cdr:cNvPr>
        <cdr:cNvCxnSpPr/>
      </cdr:nvCxnSpPr>
      <cdr:spPr>
        <a:xfrm xmlns:a="http://schemas.openxmlformats.org/drawingml/2006/main" flipV="1">
          <a:off x="896067" y="2303770"/>
          <a:ext cx="3607" cy="2390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0.17106</cdr:x>
      <cdr:y>0.75004</cdr:y>
    </cdr:from>
    <cdr:to>
      <cdr:x>0.24934</cdr:x>
      <cdr:y>0.75004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B5A3B72-EE85-D3F2-9FA4-08D6A5CF9EF8}"/>
            </a:ext>
          </a:extLst>
        </cdr:cNvPr>
        <cdr:cNvCxnSpPr/>
      </cdr:nvCxnSpPr>
      <cdr:spPr>
        <a:xfrm xmlns:a="http://schemas.openxmlformats.org/drawingml/2006/main" flipH="1">
          <a:off x="620478" y="2296521"/>
          <a:ext cx="283938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0.15898</cdr:x>
      <cdr:y>0.66676</cdr:y>
    </cdr:from>
    <cdr:to>
      <cdr:x>0.26842</cdr:x>
      <cdr:y>0.74663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76650" y="2041528"/>
          <a:ext cx="396962" cy="244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2.46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0.54337</cdr:x>
      <cdr:y>0.75749</cdr:y>
    </cdr:from>
    <cdr:to>
      <cdr:x>0.65256</cdr:x>
      <cdr:y>0.85849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1970906" y="2319313"/>
          <a:ext cx="396055" cy="309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0.2326</cdr:x>
      <cdr:y>0.75218</cdr:y>
    </cdr:from>
    <cdr:to>
      <cdr:x>0.34179</cdr:x>
      <cdr:y>0.85317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843691" y="2303068"/>
          <a:ext cx="396056" cy="309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0.84076</cdr:x>
      <cdr:y>0.22165</cdr:y>
    </cdr:from>
    <cdr:to>
      <cdr:x>0.84346</cdr:x>
      <cdr:y>0.83685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1239B0A-FB04-B16F-3C28-CEAE804E43B4}"/>
            </a:ext>
          </a:extLst>
        </cdr:cNvPr>
        <cdr:cNvCxnSpPr/>
      </cdr:nvCxnSpPr>
      <cdr:spPr>
        <a:xfrm xmlns:a="http://schemas.openxmlformats.org/drawingml/2006/main" flipV="1">
          <a:off x="3055858" y="647409"/>
          <a:ext cx="9826" cy="17968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0.16449</cdr:x>
      <cdr:y>0.21466</cdr:y>
    </cdr:from>
    <cdr:to>
      <cdr:x>0.84145</cdr:x>
      <cdr:y>0.21586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37B9E9DB-491E-FF67-E5D4-8DBC1B0D3F93}"/>
            </a:ext>
          </a:extLst>
        </cdr:cNvPr>
        <cdr:cNvCxnSpPr/>
      </cdr:nvCxnSpPr>
      <cdr:spPr>
        <a:xfrm xmlns:a="http://schemas.openxmlformats.org/drawingml/2006/main" flipH="1" flipV="1">
          <a:off x="597844" y="626994"/>
          <a:ext cx="2460505" cy="35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0.5395</cdr:x>
      <cdr:y>0.13509</cdr:y>
    </cdr:from>
    <cdr:to>
      <cdr:x>0.64893</cdr:x>
      <cdr:y>0.23597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1960884" y="394585"/>
          <a:ext cx="397738" cy="294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183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0.83778</cdr:x>
      <cdr:y>0.74599</cdr:y>
    </cdr:from>
    <cdr:to>
      <cdr:x>0.94697</cdr:x>
      <cdr:y>0.84699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3038814" y="2284115"/>
          <a:ext cx="396056" cy="309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0.9</a:t>
          </a:r>
        </a:p>
      </cdr:txBody>
    </cdr:sp>
  </cdr:relSizeAnchor>
  <cdr:relSizeAnchor xmlns:cdr="http://schemas.openxmlformats.org/drawingml/2006/chartDrawing">
    <cdr:from>
      <cdr:x>0.17532</cdr:x>
      <cdr:y>0.54099</cdr:y>
    </cdr:from>
    <cdr:to>
      <cdr:x>0.28476</cdr:x>
      <cdr:y>0.62086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635907" y="1656443"/>
          <a:ext cx="396962" cy="244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7.16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0.60493</cdr:x>
      <cdr:y>0.11249</cdr:y>
    </cdr:from>
    <cdr:to>
      <cdr:x>0.60744</cdr:x>
      <cdr:y>0.84029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D296BCA-6F5C-285C-9D9A-6E8B6EC490E2}"/>
            </a:ext>
          </a:extLst>
        </cdr:cNvPr>
        <cdr:cNvCxnSpPr/>
      </cdr:nvCxnSpPr>
      <cdr:spPr>
        <a:xfrm xmlns:a="http://schemas.openxmlformats.org/drawingml/2006/main" flipH="1" flipV="1">
          <a:off x="2183946" y="334736"/>
          <a:ext cx="9078" cy="21658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0.18726</cdr:x>
      <cdr:y>0.10928</cdr:y>
    </cdr:from>
    <cdr:to>
      <cdr:x>0.60757</cdr:x>
      <cdr:y>0.11027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BC86025-FBB3-5902-E08E-A2D22BF9EE90}"/>
            </a:ext>
          </a:extLst>
        </cdr:cNvPr>
        <cdr:cNvCxnSpPr/>
      </cdr:nvCxnSpPr>
      <cdr:spPr>
        <a:xfrm xmlns:a="http://schemas.openxmlformats.org/drawingml/2006/main" flipH="1">
          <a:off x="676042" y="325211"/>
          <a:ext cx="1517429" cy="293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0.45628</cdr:x>
      <cdr:y>0.22381</cdr:y>
    </cdr:from>
    <cdr:to>
      <cdr:x>0.45718</cdr:x>
      <cdr:y>0.83267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1E0D66C-4E41-92E2-6BE5-914F2ABFF71E}"/>
            </a:ext>
          </a:extLst>
        </cdr:cNvPr>
        <cdr:cNvCxnSpPr/>
      </cdr:nvCxnSpPr>
      <cdr:spPr>
        <a:xfrm xmlns:a="http://schemas.openxmlformats.org/drawingml/2006/main" flipH="1" flipV="1">
          <a:off x="1647287" y="666023"/>
          <a:ext cx="3259" cy="18118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0.1918</cdr:x>
      <cdr:y>0.22131</cdr:y>
    </cdr:from>
    <cdr:to>
      <cdr:x>0.45982</cdr:x>
      <cdr:y>0.22212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973A622-568D-B7AF-9606-3FFF4696B72D}"/>
            </a:ext>
          </a:extLst>
        </cdr:cNvPr>
        <cdr:cNvCxnSpPr/>
      </cdr:nvCxnSpPr>
      <cdr:spPr>
        <a:xfrm xmlns:a="http://schemas.openxmlformats.org/drawingml/2006/main" flipH="1">
          <a:off x="692433" y="658586"/>
          <a:ext cx="967638" cy="24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0.58956</cdr:x>
      <cdr:y>0.76402</cdr:y>
    </cdr:from>
    <cdr:to>
      <cdr:x>0.69951</cdr:x>
      <cdr:y>0.86778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2128457" y="2273573"/>
          <a:ext cx="396946" cy="308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198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0.18397</cdr:x>
      <cdr:y>0.0963</cdr:y>
    </cdr:from>
    <cdr:to>
      <cdr:x>0.29343</cdr:x>
      <cdr:y>0.1993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664168" y="286564"/>
          <a:ext cx="395177" cy="306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0.18404</cdr:x>
      <cdr:y>0.21758</cdr:y>
    </cdr:from>
    <cdr:to>
      <cdr:x>0.2935</cdr:x>
      <cdr:y>0.32057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664442" y="647473"/>
          <a:ext cx="395177" cy="30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0.77054</cdr:x>
      <cdr:y>0.04377</cdr:y>
    </cdr:from>
    <cdr:to>
      <cdr:x>0.77642</cdr:x>
      <cdr:y>0.82627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DAB31684-CB4E-F3E5-7ECD-98115EF9A689}"/>
            </a:ext>
          </a:extLst>
        </cdr:cNvPr>
        <cdr:cNvCxnSpPr/>
      </cdr:nvCxnSpPr>
      <cdr:spPr>
        <a:xfrm xmlns:a="http://schemas.openxmlformats.org/drawingml/2006/main" flipH="1" flipV="1">
          <a:off x="2781819" y="130266"/>
          <a:ext cx="21252" cy="23285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0.18882</cdr:x>
      <cdr:y>0.04362</cdr:y>
    </cdr:from>
    <cdr:to>
      <cdr:x>0.77115</cdr:x>
      <cdr:y>0.04527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8C93065C-5E81-9105-4CEE-0CBFF2E9B06F}"/>
            </a:ext>
          </a:extLst>
        </cdr:cNvPr>
        <cdr:cNvCxnSpPr/>
      </cdr:nvCxnSpPr>
      <cdr:spPr>
        <a:xfrm xmlns:a="http://schemas.openxmlformats.org/drawingml/2006/main" flipH="1" flipV="1">
          <a:off x="681696" y="129810"/>
          <a:ext cx="2102325" cy="49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0.7719</cdr:x>
      <cdr:y>0.75734</cdr:y>
    </cdr:from>
    <cdr:to>
      <cdr:x>0.88185</cdr:x>
      <cdr:y>0.8611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2786757" y="2253702"/>
          <a:ext cx="396946" cy="308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3104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0.18298</cdr:x>
      <cdr:y>0.03247</cdr:y>
    </cdr:from>
    <cdr:to>
      <cdr:x>0.29244</cdr:x>
      <cdr:y>0.13547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660608" y="96634"/>
          <a:ext cx="395178" cy="306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0.9</a:t>
          </a:r>
        </a:p>
      </cdr:txBody>
    </cdr:sp>
  </cdr:relSizeAnchor>
  <cdr:relSizeAnchor xmlns:cdr="http://schemas.openxmlformats.org/drawingml/2006/chartDrawing">
    <cdr:from>
      <cdr:x>0.35818</cdr:x>
      <cdr:y>0.7591</cdr:y>
    </cdr:from>
    <cdr:to>
      <cdr:x>0.46813</cdr:x>
      <cdr:y>0.86286</cdr:y>
    </cdr:to>
    <cdr:sp macro="" textlink="">
      <cdr:nvSpPr>
        <cdr:cNvPr id="16" name="TextBox 2"/>
        <cdr:cNvSpPr txBox="1"/>
      </cdr:nvSpPr>
      <cdr:spPr>
        <a:xfrm xmlns:a="http://schemas.openxmlformats.org/drawingml/2006/main">
          <a:off x="1293115" y="2258926"/>
          <a:ext cx="396946" cy="308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3.94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0.48393</cdr:x>
      <cdr:y>0.11999</cdr:y>
    </cdr:from>
    <cdr:to>
      <cdr:x>0.48813</cdr:x>
      <cdr:y>0.83023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C7BED8A-A685-9985-0C4E-A814D3ECD827}"/>
            </a:ext>
          </a:extLst>
        </cdr:cNvPr>
        <cdr:cNvCxnSpPr/>
      </cdr:nvCxnSpPr>
      <cdr:spPr>
        <a:xfrm xmlns:a="http://schemas.openxmlformats.org/drawingml/2006/main" flipH="1" flipV="1">
          <a:off x="1755321" y="367393"/>
          <a:ext cx="15218" cy="21746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0.19177</cdr:x>
      <cdr:y>0.11555</cdr:y>
    </cdr:from>
    <cdr:to>
      <cdr:x>0.47643</cdr:x>
      <cdr:y>0.11627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2410E2B9-83E4-70EC-4031-935A42ED9955}"/>
            </a:ext>
          </a:extLst>
        </cdr:cNvPr>
        <cdr:cNvCxnSpPr/>
      </cdr:nvCxnSpPr>
      <cdr:spPr>
        <a:xfrm xmlns:a="http://schemas.openxmlformats.org/drawingml/2006/main" flipH="1">
          <a:off x="695582" y="353786"/>
          <a:ext cx="1032525" cy="220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0.42766</cdr:x>
      <cdr:y>0.31245</cdr:y>
    </cdr:from>
    <cdr:to>
      <cdr:x>0.43185</cdr:x>
      <cdr:y>0.83104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4A1F52D-AD17-E909-86AC-473A25E0DCFC}"/>
            </a:ext>
          </a:extLst>
        </cdr:cNvPr>
        <cdr:cNvCxnSpPr/>
      </cdr:nvCxnSpPr>
      <cdr:spPr>
        <a:xfrm xmlns:a="http://schemas.openxmlformats.org/drawingml/2006/main" flipV="1">
          <a:off x="1551214" y="956666"/>
          <a:ext cx="15194" cy="15878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0.18982</cdr:x>
      <cdr:y>0.30119</cdr:y>
    </cdr:from>
    <cdr:to>
      <cdr:x>0.43516</cdr:x>
      <cdr:y>0.3022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E1EC58C-C090-B61B-4A51-4BCCA21B30C8}"/>
            </a:ext>
          </a:extLst>
        </cdr:cNvPr>
        <cdr:cNvCxnSpPr/>
      </cdr:nvCxnSpPr>
      <cdr:spPr>
        <a:xfrm xmlns:a="http://schemas.openxmlformats.org/drawingml/2006/main" flipH="1" flipV="1">
          <a:off x="688508" y="922194"/>
          <a:ext cx="889920" cy="309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0.32779</cdr:x>
      <cdr:y>0.76009</cdr:y>
    </cdr:from>
    <cdr:to>
      <cdr:x>0.43723</cdr:x>
      <cdr:y>0.83996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1188976" y="2327274"/>
          <a:ext cx="396962" cy="244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2.46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0.19449</cdr:x>
      <cdr:y>0.09532</cdr:y>
    </cdr:from>
    <cdr:to>
      <cdr:x>0.30368</cdr:x>
      <cdr:y>0.19632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705456" y="291862"/>
          <a:ext cx="396056" cy="309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0.19884</cdr:x>
      <cdr:y>0.29444</cdr:y>
    </cdr:from>
    <cdr:to>
      <cdr:x>0.30803</cdr:x>
      <cdr:y>0.39543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721227" y="901532"/>
          <a:ext cx="396056" cy="309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0.59647</cdr:x>
      <cdr:y>0.05333</cdr:y>
    </cdr:from>
    <cdr:to>
      <cdr:x>0.59692</cdr:x>
      <cdr:y>0.83685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49D3DA61-7545-75CC-6A47-1A9919392798}"/>
            </a:ext>
          </a:extLst>
        </cdr:cNvPr>
        <cdr:cNvCxnSpPr/>
      </cdr:nvCxnSpPr>
      <cdr:spPr>
        <a:xfrm xmlns:a="http://schemas.openxmlformats.org/drawingml/2006/main" flipH="1" flipV="1">
          <a:off x="2163535" y="163286"/>
          <a:ext cx="1619" cy="23990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0.18588</cdr:x>
      <cdr:y>0.04396</cdr:y>
    </cdr:from>
    <cdr:to>
      <cdr:x>0.59586</cdr:x>
      <cdr:y>0.04435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8AFDF957-01B8-FC64-79F5-484268712F3C}"/>
            </a:ext>
          </a:extLst>
        </cdr:cNvPr>
        <cdr:cNvCxnSpPr/>
      </cdr:nvCxnSpPr>
      <cdr:spPr>
        <a:xfrm xmlns:a="http://schemas.openxmlformats.org/drawingml/2006/main" flipH="1" flipV="1">
          <a:off x="671958" y="133515"/>
          <a:ext cx="1482052" cy="11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0.59952</cdr:x>
      <cdr:y>0.77059</cdr:y>
    </cdr:from>
    <cdr:to>
      <cdr:x>0.70895</cdr:x>
      <cdr:y>0.87147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2174597" y="2359448"/>
          <a:ext cx="396926" cy="308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183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0.19406</cdr:x>
      <cdr:y>0.02997</cdr:y>
    </cdr:from>
    <cdr:to>
      <cdr:x>0.30325</cdr:x>
      <cdr:y>0.13097</cdr:y>
    </cdr:to>
    <cdr:sp macro="" textlink="">
      <cdr:nvSpPr>
        <cdr:cNvPr id="15" name="TextBox 3"/>
        <cdr:cNvSpPr txBox="1"/>
      </cdr:nvSpPr>
      <cdr:spPr>
        <a:xfrm xmlns:a="http://schemas.openxmlformats.org/drawingml/2006/main">
          <a:off x="701512" y="91039"/>
          <a:ext cx="394719" cy="306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0.9</a:t>
          </a:r>
        </a:p>
      </cdr:txBody>
    </cdr:sp>
  </cdr:relSizeAnchor>
  <cdr:relSizeAnchor xmlns:cdr="http://schemas.openxmlformats.org/drawingml/2006/chartDrawing">
    <cdr:from>
      <cdr:x>0.46418</cdr:x>
      <cdr:y>0.76764</cdr:y>
    </cdr:from>
    <cdr:to>
      <cdr:x>0.57362</cdr:x>
      <cdr:y>0.84751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1683674" y="2350398"/>
          <a:ext cx="396962" cy="244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7.16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0.22855</cdr:x>
      <cdr:y>0.69124</cdr:y>
    </cdr:from>
    <cdr:to>
      <cdr:x>0.3138</cdr:x>
      <cdr:y>0.82059</cdr:y>
    </cdr:to>
    <cdr:sp macro="" textlink="">
      <cdr:nvSpPr>
        <cdr:cNvPr id="16" name="TextBox 2"/>
        <cdr:cNvSpPr txBox="1"/>
      </cdr:nvSpPr>
      <cdr:spPr>
        <a:xfrm xmlns:a="http://schemas.openxmlformats.org/drawingml/2006/main" rot="17452993">
          <a:off x="785585" y="2159907"/>
          <a:ext cx="396055" cy="309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/>
              </a:solidFill>
            </a:rPr>
            <a:t>P = 10 </a:t>
          </a:r>
          <a:r>
            <a:rPr lang="en-GB" sz="1100" baseline="30000">
              <a:solidFill>
                <a:schemeClr val="tx1"/>
              </a:solidFill>
            </a:rPr>
            <a:t>1.6694 * log(X) - 1.5234</a:t>
          </a:r>
        </a:p>
      </cdr:txBody>
    </cdr:sp>
  </cdr:relSizeAnchor>
  <cdr:relSizeAnchor xmlns:cdr="http://schemas.openxmlformats.org/drawingml/2006/chartDrawing">
    <cdr:from>
      <cdr:x>0.49311</cdr:x>
      <cdr:y>0.11322</cdr:y>
    </cdr:from>
    <cdr:to>
      <cdr:x>0.5984</cdr:x>
      <cdr:y>0.21795</cdr:y>
    </cdr:to>
    <cdr:sp macro="" textlink="">
      <cdr:nvSpPr>
        <cdr:cNvPr id="18" name="TextBox 2"/>
        <cdr:cNvSpPr txBox="1"/>
      </cdr:nvSpPr>
      <cdr:spPr>
        <a:xfrm xmlns:a="http://schemas.openxmlformats.org/drawingml/2006/main" rot="20789792">
          <a:off x="1785059" y="333602"/>
          <a:ext cx="381145" cy="30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tx1"/>
              </a:solidFill>
            </a:rPr>
            <a:t>P = 10 </a:t>
          </a:r>
          <a:r>
            <a:rPr lang="en-GB" sz="1100" baseline="30000">
              <a:solidFill>
                <a:schemeClr val="tx1"/>
              </a:solidFill>
            </a:rPr>
            <a:t>0.1694 * log(X) - 0.4387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0.5654</cdr:x>
      <cdr:y>0.37883</cdr:y>
    </cdr:from>
    <cdr:to>
      <cdr:x>0.56787</cdr:x>
      <cdr:y>0.83709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7BE30C4-B65C-0386-757B-20E13537967D}"/>
            </a:ext>
          </a:extLst>
        </cdr:cNvPr>
        <cdr:cNvCxnSpPr/>
      </cdr:nvCxnSpPr>
      <cdr:spPr>
        <a:xfrm xmlns:a="http://schemas.openxmlformats.org/drawingml/2006/main" flipH="1" flipV="1">
          <a:off x="2041226" y="1127851"/>
          <a:ext cx="8940" cy="13643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0.18198</cdr:x>
      <cdr:y>0.37967</cdr:y>
    </cdr:from>
    <cdr:to>
      <cdr:x>0.5621</cdr:x>
      <cdr:y>0.37967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437C6BF-858A-0D89-1A66-76AF5CC8394F}"/>
            </a:ext>
          </a:extLst>
        </cdr:cNvPr>
        <cdr:cNvCxnSpPr/>
      </cdr:nvCxnSpPr>
      <cdr:spPr>
        <a:xfrm xmlns:a="http://schemas.openxmlformats.org/drawingml/2006/main" flipH="1">
          <a:off x="656995" y="1130338"/>
          <a:ext cx="137230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0.22769</cdr:x>
      <cdr:y>0.68917</cdr:y>
    </cdr:from>
    <cdr:to>
      <cdr:x>0.22769</cdr:x>
      <cdr:y>0.83314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CFEFDA9-0356-F64F-938A-0BBD474FBB3C}"/>
            </a:ext>
          </a:extLst>
        </cdr:cNvPr>
        <cdr:cNvCxnSpPr/>
      </cdr:nvCxnSpPr>
      <cdr:spPr>
        <a:xfrm xmlns:a="http://schemas.openxmlformats.org/drawingml/2006/main" flipV="1">
          <a:off x="822026" y="2051776"/>
          <a:ext cx="1" cy="428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0.17524</cdr:x>
      <cdr:y>0.682</cdr:y>
    </cdr:from>
    <cdr:to>
      <cdr:x>0.23011</cdr:x>
      <cdr:y>0.6841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785C721-A20C-97F1-DBF1-2B396D0C9946}"/>
            </a:ext>
          </a:extLst>
        </cdr:cNvPr>
        <cdr:cNvCxnSpPr/>
      </cdr:nvCxnSpPr>
      <cdr:spPr>
        <a:xfrm xmlns:a="http://schemas.openxmlformats.org/drawingml/2006/main" flipH="1">
          <a:off x="632652" y="2030442"/>
          <a:ext cx="198096" cy="62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0.15968</cdr:x>
      <cdr:y>0.62086</cdr:y>
    </cdr:from>
    <cdr:to>
      <cdr:x>0.26963</cdr:x>
      <cdr:y>0.72462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576491" y="1848408"/>
          <a:ext cx="396948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0.16182</cdr:x>
      <cdr:y>0.37219</cdr:y>
    </cdr:from>
    <cdr:to>
      <cdr:x>0.27177</cdr:x>
      <cdr:y>0.47595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84200" y="1108075"/>
          <a:ext cx="396947" cy="308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248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0.57444</cdr:x>
      <cdr:y>0.75779</cdr:y>
    </cdr:from>
    <cdr:to>
      <cdr:x>0.6839</cdr:x>
      <cdr:y>0.86079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2073877" y="225608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0.23305</cdr:x>
      <cdr:y>0.75291</cdr:y>
    </cdr:from>
    <cdr:to>
      <cdr:x>0.34251</cdr:x>
      <cdr:y>0.8559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841375" y="2241550"/>
          <a:ext cx="395156" cy="306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0.05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0.18365</cdr:x>
      <cdr:y>0.79304</cdr:y>
    </cdr:from>
    <cdr:to>
      <cdr:x>0.92057</cdr:x>
      <cdr:y>0.85211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5A3CB7-04AF-99E3-B555-37CCA0E802B5}"/>
            </a:ext>
          </a:extLst>
        </cdr:cNvPr>
        <cdr:cNvCxnSpPr/>
      </cdr:nvCxnSpPr>
      <cdr:spPr>
        <a:xfrm xmlns:a="http://schemas.openxmlformats.org/drawingml/2006/main" flipV="1">
          <a:off x="665550" y="2380451"/>
          <a:ext cx="2670601" cy="1772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0.18429</cdr:x>
      <cdr:y>0.18559</cdr:y>
    </cdr:from>
    <cdr:to>
      <cdr:x>0.95061</cdr:x>
      <cdr:y>0.85393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D403025-FD13-991B-0FFE-C079E41CACDF}"/>
            </a:ext>
          </a:extLst>
        </cdr:cNvPr>
        <cdr:cNvCxnSpPr/>
      </cdr:nvCxnSpPr>
      <cdr:spPr>
        <a:xfrm xmlns:a="http://schemas.openxmlformats.org/drawingml/2006/main" flipV="1">
          <a:off x="667870" y="557094"/>
          <a:ext cx="2777139" cy="20061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0.36008</cdr:x>
      <cdr:y>0.27551</cdr:y>
    </cdr:from>
    <cdr:to>
      <cdr:x>0.93414</cdr:x>
      <cdr:y>0.40753</cdr:y>
    </cdr:to>
    <cdr:sp macro="" textlink="">
      <cdr:nvSpPr>
        <cdr:cNvPr id="4" name="TextBox 1"/>
        <cdr:cNvSpPr txBox="1"/>
      </cdr:nvSpPr>
      <cdr:spPr>
        <a:xfrm xmlns:a="http://schemas.openxmlformats.org/drawingml/2006/main" rot="19080000">
          <a:off x="1293890" y="795224"/>
          <a:ext cx="2062760" cy="381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nl-NL" sz="1100"/>
            <a:t>berekende concentratie te hoog</a:t>
          </a:r>
        </a:p>
        <a:p xmlns:a="http://schemas.openxmlformats.org/drawingml/2006/main">
          <a:pPr algn="r"/>
          <a:r>
            <a:rPr lang="nl-NL" sz="1100"/>
            <a:t>te laag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0.39164</cdr:x>
      <cdr:y>0.78424</cdr:y>
    </cdr:from>
    <cdr:to>
      <cdr:x>0.95057</cdr:x>
      <cdr:y>0.83864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CEA7109F-ACEB-CA14-CE2F-A23229E1F779}"/>
            </a:ext>
          </a:extLst>
        </cdr:cNvPr>
        <cdr:cNvCxnSpPr/>
      </cdr:nvCxnSpPr>
      <cdr:spPr>
        <a:xfrm xmlns:a="http://schemas.openxmlformats.org/drawingml/2006/main" flipV="1">
          <a:off x="1401536" y="2354035"/>
          <a:ext cx="2000250" cy="163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0.35361</cdr:x>
      <cdr:y>0.07253</cdr:y>
    </cdr:from>
    <cdr:to>
      <cdr:x>0.87452</cdr:x>
      <cdr:y>0.83411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154C52F-93AC-4325-E891-AF60120F6B0D}"/>
            </a:ext>
          </a:extLst>
        </cdr:cNvPr>
        <cdr:cNvCxnSpPr/>
      </cdr:nvCxnSpPr>
      <cdr:spPr>
        <a:xfrm xmlns:a="http://schemas.openxmlformats.org/drawingml/2006/main" flipV="1">
          <a:off x="1265464" y="217714"/>
          <a:ext cx="1864179" cy="22859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0.55758</cdr:x>
      <cdr:y>0.55962</cdr:y>
    </cdr:from>
    <cdr:to>
      <cdr:x>0.55758</cdr:x>
      <cdr:y>0.83172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F42C3DB-8D4D-C011-C160-1A2662D65BAA}"/>
            </a:ext>
          </a:extLst>
        </cdr:cNvPr>
        <cdr:cNvCxnSpPr/>
      </cdr:nvCxnSpPr>
      <cdr:spPr>
        <a:xfrm xmlns:a="http://schemas.openxmlformats.org/drawingml/2006/main" flipH="1" flipV="1">
          <a:off x="2022455" y="1713463"/>
          <a:ext cx="0" cy="8331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0.17914</cdr:x>
      <cdr:y>0.54584</cdr:y>
    </cdr:from>
    <cdr:to>
      <cdr:x>0.55747</cdr:x>
      <cdr:y>0.54584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BB55A44-7CE8-4CBC-D00A-135FD65F90A8}"/>
            </a:ext>
          </a:extLst>
        </cdr:cNvPr>
        <cdr:cNvCxnSpPr/>
      </cdr:nvCxnSpPr>
      <cdr:spPr>
        <a:xfrm xmlns:a="http://schemas.openxmlformats.org/drawingml/2006/main" flipH="1">
          <a:off x="651126" y="1594312"/>
          <a:ext cx="1375093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0.26216</cdr:x>
      <cdr:y>0.73156</cdr:y>
    </cdr:from>
    <cdr:to>
      <cdr:x>0.26304</cdr:x>
      <cdr:y>0.82796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3CD2A1AD-F2AF-C3AC-8558-16A9AFEB2103}"/>
            </a:ext>
          </a:extLst>
        </cdr:cNvPr>
        <cdr:cNvCxnSpPr/>
      </cdr:nvCxnSpPr>
      <cdr:spPr>
        <a:xfrm xmlns:a="http://schemas.openxmlformats.org/drawingml/2006/main" flipH="1" flipV="1">
          <a:off x="950920" y="2239939"/>
          <a:ext cx="3183" cy="2951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0.18426</cdr:x>
      <cdr:y>0.72574</cdr:y>
    </cdr:from>
    <cdr:to>
      <cdr:x>0.26216</cdr:x>
      <cdr:y>0.73156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A8CC6C2-09F6-F823-4D3A-5C40FB9FAB13}"/>
            </a:ext>
          </a:extLst>
        </cdr:cNvPr>
        <cdr:cNvCxnSpPr/>
      </cdr:nvCxnSpPr>
      <cdr:spPr>
        <a:xfrm xmlns:a="http://schemas.openxmlformats.org/drawingml/2006/main" flipH="1" flipV="1">
          <a:off x="668353" y="2222127"/>
          <a:ext cx="282567" cy="178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0.1729</cdr:x>
      <cdr:y>0.64451</cdr:y>
    </cdr:from>
    <cdr:to>
      <cdr:x>0.28234</cdr:x>
      <cdr:y>0.72437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628426" y="1882515"/>
          <a:ext cx="397774" cy="233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0.4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0.20078</cdr:x>
      <cdr:y>0.4695</cdr:y>
    </cdr:from>
    <cdr:to>
      <cdr:x>0.31021</cdr:x>
      <cdr:y>0.57039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729778" y="1371338"/>
          <a:ext cx="397738" cy="294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2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0.55462</cdr:x>
      <cdr:y>0.76193</cdr:y>
    </cdr:from>
    <cdr:to>
      <cdr:x>0.66381</cdr:x>
      <cdr:y>0.86293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2007202" y="2313236"/>
          <a:ext cx="395156" cy="306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0.5</a:t>
          </a:r>
        </a:p>
      </cdr:txBody>
    </cdr:sp>
  </cdr:relSizeAnchor>
  <cdr:relSizeAnchor xmlns:cdr="http://schemas.openxmlformats.org/drawingml/2006/chartDrawing">
    <cdr:from>
      <cdr:x>0.24741</cdr:x>
      <cdr:y>0.75715</cdr:y>
    </cdr:from>
    <cdr:to>
      <cdr:x>0.3566</cdr:x>
      <cdr:y>0.85814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899258" y="2211512"/>
          <a:ext cx="396866" cy="294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0.1</a:t>
          </a:r>
        </a:p>
      </cdr:txBody>
    </cdr:sp>
  </cdr:relSizeAnchor>
  <cdr:relSizeAnchor xmlns:cdr="http://schemas.openxmlformats.org/drawingml/2006/chartDrawing">
    <cdr:from>
      <cdr:x>0.85848</cdr:x>
      <cdr:y>0.2267</cdr:y>
    </cdr:from>
    <cdr:to>
      <cdr:x>0.86702</cdr:x>
      <cdr:y>0.8324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C018E11-EE32-13F2-FE86-135D3BF3589C}"/>
            </a:ext>
          </a:extLst>
        </cdr:cNvPr>
        <cdr:cNvCxnSpPr/>
      </cdr:nvCxnSpPr>
      <cdr:spPr>
        <a:xfrm xmlns:a="http://schemas.openxmlformats.org/drawingml/2006/main" flipH="1" flipV="1">
          <a:off x="3113896" y="694110"/>
          <a:ext cx="30957" cy="18545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0.18801</cdr:x>
      <cdr:y>0.23245</cdr:y>
    </cdr:from>
    <cdr:to>
      <cdr:x>0.86326</cdr:x>
      <cdr:y>0.23245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18A6DC0D-070F-CD4B-B0B7-924DC4A74982}"/>
            </a:ext>
          </a:extLst>
        </cdr:cNvPr>
        <cdr:cNvCxnSpPr/>
      </cdr:nvCxnSpPr>
      <cdr:spPr>
        <a:xfrm xmlns:a="http://schemas.openxmlformats.org/drawingml/2006/main" flipH="1">
          <a:off x="681960" y="711734"/>
          <a:ext cx="2449286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0.20533</cdr:x>
      <cdr:y>0.21213</cdr:y>
    </cdr:from>
    <cdr:to>
      <cdr:x>0.31476</cdr:x>
      <cdr:y>0.31302</cdr:y>
    </cdr:to>
    <cdr:sp macro="" textlink="">
      <cdr:nvSpPr>
        <cdr:cNvPr id="17" name="TextBox 2"/>
        <cdr:cNvSpPr txBox="1"/>
      </cdr:nvSpPr>
      <cdr:spPr>
        <a:xfrm xmlns:a="http://schemas.openxmlformats.org/drawingml/2006/main">
          <a:off x="744764" y="649515"/>
          <a:ext cx="396926" cy="308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99</a:t>
          </a:r>
          <a:endParaRPr lang="en-GB" sz="1100" baseline="-250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0.84427</cdr:x>
      <cdr:y>0.73121</cdr:y>
    </cdr:from>
    <cdr:to>
      <cdr:x>0.95346</cdr:x>
      <cdr:y>0.83221</cdr:y>
    </cdr:to>
    <cdr:sp macro="" textlink="">
      <cdr:nvSpPr>
        <cdr:cNvPr id="18" name="TextBox 3"/>
        <cdr:cNvSpPr txBox="1"/>
      </cdr:nvSpPr>
      <cdr:spPr>
        <a:xfrm xmlns:a="http://schemas.openxmlformats.org/drawingml/2006/main">
          <a:off x="3062346" y="2238853"/>
          <a:ext cx="396055" cy="309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P</a:t>
          </a:r>
          <a:r>
            <a:rPr lang="en-GB" sz="1100" baseline="-25000">
              <a:solidFill>
                <a:srgbClr val="FF0000"/>
              </a:solidFill>
            </a:rPr>
            <a:t>0.9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meatie%20(VEWIN)\analyse(2015)\evaluatie%20labmetingen\20160529%20Database%20labmeti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malaika1991"/>
      <sheetName val="Aminabavi1999"/>
      <sheetName val="Booij2003"/>
      <sheetName val="Chao 2007"/>
      <sheetName val="LAB"/>
      <sheetName val="PE"/>
      <sheetName val="TEMP"/>
      <sheetName val="CONC"/>
      <sheetName val="Age"/>
      <sheetName val="PermDbase"/>
      <sheetName val="CompDbase"/>
      <sheetName val="Literatuur"/>
      <sheetName val="Sanscrit"/>
      <sheetName val="Choi2013"/>
      <sheetName val="Heijden1985"/>
      <sheetName val="Hinrichs2002"/>
      <sheetName val="Islam 2009"/>
      <sheetName val="Joo2005"/>
      <sheetName val="Lohman2011"/>
      <sheetName val="Mao2006"/>
      <sheetName val="Park1993"/>
      <sheetName val="Park1996"/>
      <sheetName val="Piringer2008"/>
      <sheetName val="Rowe2011"/>
      <sheetName val="Sangam2001"/>
      <sheetName val="Tang2013"/>
      <sheetName val="Vonk1985"/>
      <sheetName val="Welton2009-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>
            <v>1</v>
          </cell>
          <cell r="C7">
            <v>2</v>
          </cell>
          <cell r="D7">
            <v>3</v>
          </cell>
          <cell r="E7">
            <v>4</v>
          </cell>
          <cell r="F7">
            <v>5</v>
          </cell>
          <cell r="G7">
            <v>6</v>
          </cell>
          <cell r="H7">
            <v>7</v>
          </cell>
          <cell r="I7">
            <v>8</v>
          </cell>
          <cell r="J7">
            <v>9</v>
          </cell>
          <cell r="K7">
            <v>10</v>
          </cell>
        </row>
        <row r="8">
          <cell r="B8" t="str">
            <v>ID_NAAM</v>
          </cell>
          <cell r="C8" t="str">
            <v>SNAAM</v>
          </cell>
          <cell r="D8" t="str">
            <v>NAAM (nl)</v>
          </cell>
          <cell r="E8" t="str">
            <v>NAAM (Eng)</v>
          </cell>
          <cell r="F8" t="str">
            <v>NAAM (other)</v>
          </cell>
          <cell r="G8" t="str">
            <v>BETROUWBAAR</v>
          </cell>
          <cell r="H8" t="str">
            <v>cas nr</v>
          </cell>
          <cell r="I8" t="str">
            <v>Molgewicht</v>
          </cell>
          <cell r="J8" t="str">
            <v>Oplosbaarheid in water</v>
          </cell>
          <cell r="K8" t="str">
            <v>Particie coefficient Ocatonol-Water</v>
          </cell>
        </row>
        <row r="9">
          <cell r="I9" t="str">
            <v>M</v>
          </cell>
          <cell r="J9" t="str">
            <v>Cwsat</v>
          </cell>
          <cell r="K9" t="str">
            <v>LOG Kow</v>
          </cell>
        </row>
        <row r="10">
          <cell r="I10" t="str">
            <v>(g/mol)</v>
          </cell>
          <cell r="J10" t="str">
            <v>g/m3</v>
          </cell>
          <cell r="K10" t="str">
            <v>(-)</v>
          </cell>
        </row>
        <row r="11">
          <cell r="I11" t="str">
            <v>diversen</v>
          </cell>
          <cell r="J11" t="str">
            <v>diversen</v>
          </cell>
          <cell r="K11" t="str">
            <v>diversen</v>
          </cell>
        </row>
        <row r="12">
          <cell r="J12" t="str">
            <v>(bij 20- 25 °C)</v>
          </cell>
        </row>
        <row r="14">
          <cell r="B14">
            <v>200</v>
          </cell>
          <cell r="D14" t="str">
            <v>Benzeen</v>
          </cell>
          <cell r="E14" t="str">
            <v>Benzene</v>
          </cell>
          <cell r="H14" t="str">
            <v>71-43-2</v>
          </cell>
          <cell r="I14">
            <v>78.106666524406961</v>
          </cell>
          <cell r="J14">
            <v>1988.89882593368</v>
          </cell>
          <cell r="K14">
            <v>2.13</v>
          </cell>
        </row>
        <row r="15">
          <cell r="B15">
            <v>204</v>
          </cell>
          <cell r="D15" t="str">
            <v>Tolueen</v>
          </cell>
          <cell r="E15" t="str">
            <v>Toluene</v>
          </cell>
          <cell r="H15" t="str">
            <v>108-88-3</v>
          </cell>
          <cell r="I15">
            <v>92.14249284505685</v>
          </cell>
          <cell r="J15">
            <v>610.59105234897152</v>
          </cell>
          <cell r="K15">
            <v>2.73</v>
          </cell>
        </row>
        <row r="16">
          <cell r="B16">
            <v>218</v>
          </cell>
          <cell r="D16" t="str">
            <v>o-Xyleen</v>
          </cell>
          <cell r="E16" t="str">
            <v>o-Xylene</v>
          </cell>
          <cell r="H16" t="str">
            <v xml:space="preserve"> 95-47-6 </v>
          </cell>
          <cell r="I16">
            <v>106.18666499232586</v>
          </cell>
          <cell r="J16">
            <v>218.93359574593291</v>
          </cell>
          <cell r="K16">
            <v>3.12</v>
          </cell>
        </row>
        <row r="17">
          <cell r="B17">
            <v>205</v>
          </cell>
          <cell r="D17" t="str">
            <v>m-Xyleen</v>
          </cell>
          <cell r="E17" t="str">
            <v>m-Xylene</v>
          </cell>
          <cell r="H17" t="str">
            <v xml:space="preserve"> 108-38-3 </v>
          </cell>
          <cell r="I17">
            <v>106.18999905823263</v>
          </cell>
          <cell r="J17">
            <v>197.40652052455141</v>
          </cell>
          <cell r="K17">
            <v>3.2</v>
          </cell>
        </row>
        <row r="18">
          <cell r="B18">
            <v>219</v>
          </cell>
          <cell r="D18" t="str">
            <v>p-Xyleen</v>
          </cell>
          <cell r="E18" t="str">
            <v>p-Xylene</v>
          </cell>
          <cell r="I18">
            <v>106.18666499232586</v>
          </cell>
          <cell r="J18">
            <v>210.93846155625408</v>
          </cell>
          <cell r="K18">
            <v>3.15</v>
          </cell>
        </row>
        <row r="19">
          <cell r="B19">
            <v>-201</v>
          </cell>
          <cell r="D19" t="str">
            <v>1,3,5-Trimethylbenzeen</v>
          </cell>
          <cell r="E19" t="str">
            <v>1,3,5-Trimethylbenzene</v>
          </cell>
          <cell r="F19" t="str">
            <v>Mesitylene</v>
          </cell>
          <cell r="H19" t="str">
            <v>108-67-8</v>
          </cell>
          <cell r="I19">
            <v>120.19</v>
          </cell>
          <cell r="J19">
            <v>20</v>
          </cell>
          <cell r="K19">
            <v>3.51</v>
          </cell>
        </row>
        <row r="20">
          <cell r="B20">
            <v>201</v>
          </cell>
          <cell r="D20" t="str">
            <v>Ethylbenzeen</v>
          </cell>
          <cell r="E20" t="str">
            <v>Ethylbenzene</v>
          </cell>
          <cell r="H20" t="str">
            <v>100-41-4</v>
          </cell>
          <cell r="I20">
            <v>106.18666499232586</v>
          </cell>
          <cell r="J20">
            <v>159.4494296665228</v>
          </cell>
          <cell r="K20">
            <v>3.15</v>
          </cell>
        </row>
        <row r="21">
          <cell r="B21">
            <v>-202</v>
          </cell>
          <cell r="D21" t="str">
            <v>Propylbenzeen</v>
          </cell>
          <cell r="E21" t="str">
            <v>Propylbenzene</v>
          </cell>
          <cell r="H21" t="str">
            <v xml:space="preserve"> 103-65-1</v>
          </cell>
          <cell r="I21">
            <v>120.19</v>
          </cell>
          <cell r="J21">
            <v>54.006333333333338</v>
          </cell>
          <cell r="K21">
            <v>3.71</v>
          </cell>
        </row>
        <row r="22">
          <cell r="B22">
            <v>-203</v>
          </cell>
          <cell r="D22" t="str">
            <v>Pentylbenzeen</v>
          </cell>
          <cell r="E22" t="str">
            <v>Penthylbenzene</v>
          </cell>
          <cell r="I22">
            <v>148.25</v>
          </cell>
          <cell r="J22">
            <v>3.37</v>
          </cell>
          <cell r="K22">
            <v>4.9000000000000004</v>
          </cell>
        </row>
        <row r="23">
          <cell r="B23">
            <v>-200</v>
          </cell>
          <cell r="D23" t="str">
            <v>Xyleen</v>
          </cell>
          <cell r="E23" t="str">
            <v>Xylene</v>
          </cell>
          <cell r="H23" t="str">
            <v>13-30-2-07</v>
          </cell>
          <cell r="I23">
            <v>106.18777634762812</v>
          </cell>
          <cell r="J23">
            <v>209.09285927557949</v>
          </cell>
          <cell r="K23">
            <v>3.1566666666666667</v>
          </cell>
        </row>
        <row r="24">
          <cell r="B24">
            <v>310</v>
          </cell>
          <cell r="D24" t="str">
            <v>Naftaleen</v>
          </cell>
          <cell r="E24" t="str">
            <v>Naphthalene</v>
          </cell>
          <cell r="H24" t="str">
            <v>91-20-3</v>
          </cell>
          <cell r="I24">
            <v>128.19</v>
          </cell>
          <cell r="J24">
            <v>31.8</v>
          </cell>
          <cell r="K24">
            <v>3.3</v>
          </cell>
        </row>
        <row r="25">
          <cell r="B25">
            <v>305</v>
          </cell>
          <cell r="D25" t="str">
            <v>Fenanthreen</v>
          </cell>
          <cell r="E25" t="str">
            <v>Phenanthrene</v>
          </cell>
          <cell r="H25" t="str">
            <v>85-01-8</v>
          </cell>
          <cell r="I25">
            <v>178.21</v>
          </cell>
          <cell r="J25">
            <v>0.85</v>
          </cell>
          <cell r="K25">
            <v>4.47</v>
          </cell>
        </row>
        <row r="27">
          <cell r="B27">
            <v>-1300</v>
          </cell>
          <cell r="D27" t="str">
            <v>n-Pentaan</v>
          </cell>
          <cell r="E27" t="str">
            <v>Pentane</v>
          </cell>
          <cell r="F27" t="str">
            <v>n-Pentane</v>
          </cell>
          <cell r="H27" t="str">
            <v>109-66-0</v>
          </cell>
          <cell r="I27">
            <v>72.150000000000006</v>
          </cell>
          <cell r="J27">
            <v>39.25</v>
          </cell>
          <cell r="K27">
            <v>3.42</v>
          </cell>
        </row>
        <row r="28">
          <cell r="B28">
            <v>-1301</v>
          </cell>
          <cell r="D28" t="str">
            <v>Hexaan</v>
          </cell>
          <cell r="E28" t="str">
            <v>Hexane</v>
          </cell>
          <cell r="H28" t="str">
            <v>110-54-3</v>
          </cell>
          <cell r="I28">
            <v>86.18</v>
          </cell>
          <cell r="J28">
            <v>23</v>
          </cell>
          <cell r="K28">
            <v>3.8879999999999999</v>
          </cell>
        </row>
        <row r="29">
          <cell r="B29">
            <v>-1302</v>
          </cell>
          <cell r="D29" t="str">
            <v>Cyclohexaan</v>
          </cell>
          <cell r="E29" t="str">
            <v>Cyclohexane</v>
          </cell>
          <cell r="H29" t="str">
            <v>110-82-7</v>
          </cell>
          <cell r="I29">
            <v>84.16</v>
          </cell>
          <cell r="J29">
            <v>49</v>
          </cell>
          <cell r="K29">
            <v>3.48</v>
          </cell>
        </row>
        <row r="30">
          <cell r="B30">
            <v>-1303</v>
          </cell>
          <cell r="D30" t="str">
            <v>Heptaan (n-heptaan)</v>
          </cell>
          <cell r="E30" t="str">
            <v>n-Heptane</v>
          </cell>
          <cell r="H30" t="str">
            <v>142-82-5</v>
          </cell>
          <cell r="I30">
            <v>100.2</v>
          </cell>
          <cell r="J30">
            <v>2.6</v>
          </cell>
          <cell r="K30">
            <v>4.58</v>
          </cell>
        </row>
        <row r="31">
          <cell r="B31">
            <v>-1304</v>
          </cell>
          <cell r="D31" t="str">
            <v>Octaan</v>
          </cell>
          <cell r="E31" t="str">
            <v>Octane</v>
          </cell>
          <cell r="H31" t="str">
            <v>111-65-9</v>
          </cell>
          <cell r="I31">
            <v>114.23</v>
          </cell>
          <cell r="J31">
            <v>0.7</v>
          </cell>
          <cell r="K31">
            <v>5.15</v>
          </cell>
        </row>
        <row r="32">
          <cell r="B32">
            <v>-1305</v>
          </cell>
          <cell r="D32" t="str">
            <v>2,2,4-Trimethylpentaan</v>
          </cell>
          <cell r="E32" t="str">
            <v>2,2,4-Trimethylpentane</v>
          </cell>
          <cell r="F32" t="str">
            <v>iso-octane</v>
          </cell>
          <cell r="H32" t="str">
            <v>25167-70-8</v>
          </cell>
          <cell r="I32">
            <v>112.21</v>
          </cell>
          <cell r="J32">
            <v>14.2</v>
          </cell>
          <cell r="K32">
            <v>4.37</v>
          </cell>
        </row>
        <row r="35">
          <cell r="B35">
            <v>-1201</v>
          </cell>
          <cell r="D35" t="str">
            <v>Minerale olie (C10-C12)</v>
          </cell>
          <cell r="E35" t="str">
            <v>Mineral oil (C10-C12)</v>
          </cell>
          <cell r="I35">
            <v>132</v>
          </cell>
          <cell r="J35" t="e">
            <v>#DIV/0!</v>
          </cell>
          <cell r="K35">
            <v>5</v>
          </cell>
        </row>
        <row r="36">
          <cell r="B36">
            <v>-1202</v>
          </cell>
          <cell r="D36" t="str">
            <v>Minerale olie (C12-C16)</v>
          </cell>
          <cell r="E36" t="str">
            <v>Mineral oil (C12-C16)</v>
          </cell>
          <cell r="I36">
            <v>168</v>
          </cell>
          <cell r="J36" t="e">
            <v>#DIV/0!</v>
          </cell>
          <cell r="K36">
            <v>6.7299999999999995</v>
          </cell>
        </row>
        <row r="37">
          <cell r="B37">
            <v>-1203</v>
          </cell>
          <cell r="D37" t="str">
            <v>Minerale olie (C16-C21)</v>
          </cell>
          <cell r="E37" t="str">
            <v>Mineral oil (C16-C21)</v>
          </cell>
          <cell r="I37">
            <v>300</v>
          </cell>
          <cell r="J37" t="e">
            <v>#DIV/0!</v>
          </cell>
          <cell r="K37">
            <v>5</v>
          </cell>
        </row>
        <row r="38">
          <cell r="B38">
            <v>-1204</v>
          </cell>
          <cell r="D38" t="str">
            <v>Minerale olie (C21-C30)</v>
          </cell>
          <cell r="E38" t="str">
            <v>Mineral oil (C21-C30)</v>
          </cell>
          <cell r="I38">
            <v>390</v>
          </cell>
          <cell r="J38" t="e">
            <v>#DIV/0!</v>
          </cell>
          <cell r="K38">
            <v>5</v>
          </cell>
        </row>
        <row r="40">
          <cell r="B40">
            <v>500</v>
          </cell>
          <cell r="D40" t="str">
            <v>Monochloorbenzeen</v>
          </cell>
          <cell r="E40" t="str">
            <v>Chlorobenzene</v>
          </cell>
          <cell r="F40" t="str">
            <v>benzene chloride</v>
          </cell>
          <cell r="H40" t="str">
            <v>108-90-7</v>
          </cell>
          <cell r="I40">
            <v>112.58999866757466</v>
          </cell>
          <cell r="J40">
            <v>507.42586202944472</v>
          </cell>
          <cell r="K40">
            <v>2.89</v>
          </cell>
        </row>
        <row r="41">
          <cell r="B41">
            <v>-500</v>
          </cell>
          <cell r="D41" t="str">
            <v>Benzylchloride</v>
          </cell>
          <cell r="E41" t="str">
            <v>Benzyl chloride</v>
          </cell>
          <cell r="F41" t="str">
            <v>chlorophenylmethane, α-Chlorotoluene</v>
          </cell>
          <cell r="H41" t="str">
            <v>100-44-7</v>
          </cell>
          <cell r="I41">
            <v>126.59</v>
          </cell>
          <cell r="J41">
            <v>476.5</v>
          </cell>
          <cell r="K41">
            <v>2.2999999999999998</v>
          </cell>
        </row>
        <row r="42">
          <cell r="B42">
            <v>-502</v>
          </cell>
          <cell r="D42" t="str">
            <v>o-Chloortolueen</v>
          </cell>
          <cell r="E42" t="str">
            <v>o-Chlorotoluene</v>
          </cell>
          <cell r="F42" t="str">
            <v>1-chloro-2-methylbenzene</v>
          </cell>
          <cell r="H42" t="str">
            <v>95-49-8</v>
          </cell>
          <cell r="I42">
            <v>126.586</v>
          </cell>
          <cell r="J42">
            <v>154</v>
          </cell>
          <cell r="K42">
            <v>3.2</v>
          </cell>
        </row>
        <row r="43">
          <cell r="B43">
            <v>-503</v>
          </cell>
          <cell r="D43" t="str">
            <v>m-Chloortolueen</v>
          </cell>
          <cell r="E43" t="str">
            <v>mo-Chlorotoluene</v>
          </cell>
          <cell r="F43" t="str">
            <v>1-chloro-3-methylbenzene</v>
          </cell>
          <cell r="H43" t="str">
            <v>108-41-8</v>
          </cell>
          <cell r="I43">
            <v>126.586</v>
          </cell>
          <cell r="J43">
            <v>117</v>
          </cell>
          <cell r="K43">
            <v>3.7639999999999998</v>
          </cell>
        </row>
        <row r="44">
          <cell r="B44">
            <v>-504</v>
          </cell>
          <cell r="D44" t="str">
            <v>p-Chloortolueen</v>
          </cell>
          <cell r="E44" t="str">
            <v>p-Chlorotoluene</v>
          </cell>
          <cell r="F44" t="str">
            <v>1-chloro-3-methylbenzene</v>
          </cell>
          <cell r="H44" t="str">
            <v>106-43-4</v>
          </cell>
          <cell r="I44">
            <v>126.586</v>
          </cell>
          <cell r="J44">
            <v>123</v>
          </cell>
          <cell r="K44">
            <v>3.33</v>
          </cell>
        </row>
        <row r="45">
          <cell r="B45">
            <v>528</v>
          </cell>
          <cell r="D45" t="str">
            <v>1,2-Dichloorbenzeen</v>
          </cell>
          <cell r="E45" t="str">
            <v>1,2-Dichlorobenzene</v>
          </cell>
          <cell r="F45" t="str">
            <v>ortho-dichlorobenzene</v>
          </cell>
          <cell r="H45" t="str">
            <v>95-50-1</v>
          </cell>
          <cell r="I45">
            <v>147.002499936227</v>
          </cell>
          <cell r="J45">
            <v>140.21858602054385</v>
          </cell>
          <cell r="K45">
            <v>3.43</v>
          </cell>
        </row>
        <row r="46">
          <cell r="B46">
            <v>-505</v>
          </cell>
          <cell r="D46" t="str">
            <v>1,3-Dichloorbenzeen</v>
          </cell>
          <cell r="E46" t="str">
            <v>1,3-Dichlorobenzene</v>
          </cell>
          <cell r="F46" t="str">
            <v>meta-dichlorobenzene</v>
          </cell>
          <cell r="H46" t="str">
            <v>541-73-1</v>
          </cell>
          <cell r="I46">
            <v>147</v>
          </cell>
          <cell r="J46">
            <v>114.33333333333333</v>
          </cell>
          <cell r="K46">
            <v>3.4</v>
          </cell>
        </row>
        <row r="47">
          <cell r="B47">
            <v>501</v>
          </cell>
          <cell r="D47" t="str">
            <v>1,4-Dichloorbenzeen</v>
          </cell>
          <cell r="E47" t="str">
            <v>1,4-Dichlorobenzene</v>
          </cell>
          <cell r="F47" t="str">
            <v>pera-dichlorobenzene</v>
          </cell>
          <cell r="H47" t="str">
            <v>106-46-7</v>
          </cell>
          <cell r="I47">
            <v>147.00199994558051</v>
          </cell>
          <cell r="J47">
            <v>60.526307160070552</v>
          </cell>
          <cell r="K47">
            <v>3.44</v>
          </cell>
        </row>
        <row r="48">
          <cell r="B48">
            <v>530</v>
          </cell>
          <cell r="D48" t="str">
            <v>1,2,3-Trichloorbenzeen</v>
          </cell>
          <cell r="E48" t="str">
            <v>1,2,3-Trichlorobenzene</v>
          </cell>
          <cell r="F48" t="str">
            <v>TCB</v>
          </cell>
          <cell r="H48" t="str">
            <v>87-61-6</v>
          </cell>
          <cell r="I48">
            <v>181.43999503992538</v>
          </cell>
          <cell r="J48">
            <v>13.623987011866511</v>
          </cell>
          <cell r="K48">
            <v>4.1399999999999997</v>
          </cell>
        </row>
        <row r="49">
          <cell r="B49">
            <v>502</v>
          </cell>
          <cell r="D49" t="str">
            <v>1,2,4-Trichloorbenzeen</v>
          </cell>
          <cell r="E49" t="str">
            <v>1,2,4-Trichlorobenzene</v>
          </cell>
          <cell r="F49" t="str">
            <v>TCB</v>
          </cell>
          <cell r="H49" t="str">
            <v>120-82-1</v>
          </cell>
          <cell r="I49">
            <v>181.43999503992538</v>
          </cell>
          <cell r="J49">
            <v>28.808020153910686</v>
          </cell>
          <cell r="K49">
            <v>4.05</v>
          </cell>
        </row>
        <row r="50">
          <cell r="B50">
            <v>531</v>
          </cell>
          <cell r="D50" t="str">
            <v>1,3,5-Trichloorbenzeen</v>
          </cell>
          <cell r="E50" t="str">
            <v>1,3,5-Trichlorobenzene</v>
          </cell>
          <cell r="F50" t="str">
            <v>TCB</v>
          </cell>
          <cell r="H50" t="str">
            <v>108-70-3</v>
          </cell>
          <cell r="I50">
            <v>181.42499827752513</v>
          </cell>
          <cell r="J50">
            <v>4.7119534067902347</v>
          </cell>
          <cell r="K50">
            <v>4.1900000000000004</v>
          </cell>
        </row>
        <row r="51">
          <cell r="B51">
            <v>-506</v>
          </cell>
          <cell r="D51" t="str">
            <v>α,α,α-Trichloortolueen</v>
          </cell>
          <cell r="E51" t="str">
            <v>Benzotrichloride</v>
          </cell>
          <cell r="F51" t="str">
            <v>α,α,α-Trichloortoluene, (Trichloromethyl)benzene</v>
          </cell>
          <cell r="H51" t="str">
            <v>98-07-7</v>
          </cell>
          <cell r="I51">
            <v>195.47499999999999</v>
          </cell>
          <cell r="J51">
            <v>51.5</v>
          </cell>
          <cell r="K51">
            <v>2.92</v>
          </cell>
        </row>
        <row r="52">
          <cell r="B52">
            <v>-507</v>
          </cell>
          <cell r="D52" t="str">
            <v>Tetrachloorbenzeen</v>
          </cell>
          <cell r="E52" t="str">
            <v>1,2,4,5-tetrachlorobenzene</v>
          </cell>
          <cell r="F52" t="str">
            <v>average of several fractions</v>
          </cell>
          <cell r="G52">
            <v>-1</v>
          </cell>
          <cell r="H52" t="str">
            <v>634-66-2</v>
          </cell>
          <cell r="I52">
            <v>216</v>
          </cell>
          <cell r="J52">
            <v>4.16</v>
          </cell>
          <cell r="K52">
            <v>4.5999999999999996</v>
          </cell>
        </row>
        <row r="53">
          <cell r="B53">
            <v>504</v>
          </cell>
          <cell r="D53" t="str">
            <v>Pentachloorbenzeen</v>
          </cell>
          <cell r="E53" t="str">
            <v>Pentachlorobenzene</v>
          </cell>
          <cell r="H53" t="str">
            <v>608-93-5</v>
          </cell>
          <cell r="I53">
            <v>250.12977852353896</v>
          </cell>
          <cell r="J53">
            <v>0.32281846202218883</v>
          </cell>
          <cell r="K53">
            <v>5.0766666666666671</v>
          </cell>
        </row>
        <row r="56">
          <cell r="B56">
            <v>-402</v>
          </cell>
          <cell r="D56" t="str">
            <v>Dichloormethaan / Methyleenchloride</v>
          </cell>
          <cell r="E56" t="str">
            <v>Dichloromethane</v>
          </cell>
          <cell r="F56" t="str">
            <v>Methylene chloride</v>
          </cell>
          <cell r="H56" t="str">
            <v>75-09-2</v>
          </cell>
          <cell r="I56">
            <v>84.93</v>
          </cell>
          <cell r="J56">
            <v>20000</v>
          </cell>
          <cell r="K56">
            <v>1.25</v>
          </cell>
        </row>
        <row r="57">
          <cell r="B57">
            <v>-403</v>
          </cell>
          <cell r="D57" t="str">
            <v>Tetrachloormethaan</v>
          </cell>
          <cell r="E57" t="str">
            <v>Tetrachloromethane</v>
          </cell>
          <cell r="F57" t="str">
            <v>Carbon tetrachloride</v>
          </cell>
          <cell r="H57" t="str">
            <v>56-23-5</v>
          </cell>
          <cell r="I57">
            <v>153.82</v>
          </cell>
          <cell r="J57">
            <v>800</v>
          </cell>
          <cell r="K57">
            <v>2.83</v>
          </cell>
        </row>
        <row r="58">
          <cell r="B58">
            <v>400</v>
          </cell>
          <cell r="D58" t="str">
            <v>1,2-Dichloorethaan</v>
          </cell>
          <cell r="E58" t="str">
            <v>1,2-Dichloroethane</v>
          </cell>
          <cell r="F58" t="str">
            <v>Ethylene dichloride</v>
          </cell>
          <cell r="H58" t="str">
            <v>107-06-2</v>
          </cell>
          <cell r="I58">
            <v>98.973331537275584</v>
          </cell>
          <cell r="J58">
            <v>10188.832473485421</v>
          </cell>
          <cell r="K58">
            <v>1.47</v>
          </cell>
        </row>
        <row r="59">
          <cell r="B59">
            <v>-401</v>
          </cell>
          <cell r="D59" t="str">
            <v>1,1,2,2-Tetrachloorethaan</v>
          </cell>
          <cell r="E59" t="str">
            <v>1,1,2,2-Tetrachloroethane</v>
          </cell>
          <cell r="H59" t="str">
            <v>79-34-5</v>
          </cell>
          <cell r="I59">
            <v>167.85</v>
          </cell>
          <cell r="J59">
            <v>2900</v>
          </cell>
          <cell r="K59">
            <v>2.39</v>
          </cell>
        </row>
        <row r="60">
          <cell r="B60">
            <v>408</v>
          </cell>
          <cell r="D60" t="str">
            <v>1,1,1-Trichloorethaan</v>
          </cell>
          <cell r="E60" t="str">
            <v>1,1,1-Trichloroethane</v>
          </cell>
          <cell r="F60" t="str">
            <v>methyl chloroform</v>
          </cell>
          <cell r="G60">
            <v>-1</v>
          </cell>
          <cell r="H60" t="str">
            <v>71-55-6</v>
          </cell>
          <cell r="I60">
            <v>133.4</v>
          </cell>
          <cell r="J60">
            <v>2343.3333333333335</v>
          </cell>
          <cell r="K60">
            <v>2.8000000000000003</v>
          </cell>
        </row>
        <row r="61">
          <cell r="B61">
            <v>409</v>
          </cell>
          <cell r="D61" t="str">
            <v>1,1,2-Trichloorethaan</v>
          </cell>
          <cell r="E61" t="str">
            <v>1,1,2-Trichloroethane</v>
          </cell>
          <cell r="F61" t="str">
            <v>vinyl trichloride</v>
          </cell>
          <cell r="H61" t="str">
            <v>79-00-5</v>
          </cell>
          <cell r="I61">
            <v>133.4</v>
          </cell>
          <cell r="J61">
            <v>3055</v>
          </cell>
          <cell r="K61">
            <v>1.8900000000000001</v>
          </cell>
        </row>
        <row r="62">
          <cell r="B62">
            <v>415</v>
          </cell>
          <cell r="D62" t="str">
            <v>1,2-dichloorpropaan</v>
          </cell>
          <cell r="E62" t="str">
            <v>1,2-Dichloropropane</v>
          </cell>
          <cell r="H62" t="str">
            <v>78-87-5</v>
          </cell>
          <cell r="I62">
            <v>113</v>
          </cell>
          <cell r="J62">
            <v>1469</v>
          </cell>
          <cell r="K62">
            <v>1.99</v>
          </cell>
        </row>
        <row r="63">
          <cell r="B63">
            <v>410</v>
          </cell>
          <cell r="D63" t="str">
            <v>1,2-Dichlooretheen(cis)</v>
          </cell>
          <cell r="E63" t="str">
            <v>1,2-dichloro-, (Z)-Ethene</v>
          </cell>
          <cell r="F63" t="str">
            <v>cis-1,2-Dichlorethylene</v>
          </cell>
          <cell r="G63">
            <v>-1</v>
          </cell>
          <cell r="H63" t="str">
            <v>156-59-2</v>
          </cell>
          <cell r="I63">
            <v>96.95</v>
          </cell>
          <cell r="J63">
            <v>775.6</v>
          </cell>
          <cell r="K63">
            <v>1.906666666666667</v>
          </cell>
        </row>
        <row r="64">
          <cell r="B64">
            <v>403</v>
          </cell>
          <cell r="D64" t="str">
            <v>Tetrachlooretheen</v>
          </cell>
          <cell r="E64" t="str">
            <v>Tetrachloroethylene</v>
          </cell>
          <cell r="H64" t="str">
            <v>127-18-4</v>
          </cell>
          <cell r="I64">
            <v>165.80749949115744</v>
          </cell>
          <cell r="J64">
            <v>118.88250367033854</v>
          </cell>
          <cell r="K64">
            <v>3.4</v>
          </cell>
        </row>
        <row r="65">
          <cell r="B65">
            <v>405</v>
          </cell>
          <cell r="D65" t="str">
            <v>Trichlooretheen</v>
          </cell>
          <cell r="E65" t="str">
            <v>Trichloroethylene</v>
          </cell>
          <cell r="F65" t="str">
            <v>TCE</v>
          </cell>
          <cell r="H65" t="str">
            <v>79-01-6</v>
          </cell>
          <cell r="I65">
            <v>131.4</v>
          </cell>
          <cell r="J65">
            <v>1164.8441611748488</v>
          </cell>
          <cell r="K65">
            <v>2.61</v>
          </cell>
        </row>
        <row r="66">
          <cell r="B66">
            <v>411</v>
          </cell>
          <cell r="D66" t="str">
            <v>1,2-dichlooretheen(trans)</v>
          </cell>
          <cell r="E66" t="str">
            <v>1,2-dichloro-, (1E)-Ethene</v>
          </cell>
          <cell r="F66" t="str">
            <v>cis-trans mixture</v>
          </cell>
          <cell r="H66" t="str">
            <v>156-60-5</v>
          </cell>
          <cell r="I66">
            <v>96.95</v>
          </cell>
          <cell r="J66">
            <v>581.70000000000005</v>
          </cell>
          <cell r="K66">
            <v>1.0900000000000001</v>
          </cell>
        </row>
        <row r="67">
          <cell r="B67">
            <v>412</v>
          </cell>
          <cell r="D67" t="str">
            <v>1,2-dichlooretheen(cisentrans)</v>
          </cell>
          <cell r="E67" t="str">
            <v>1,2-dichloroEthene</v>
          </cell>
          <cell r="H67" t="str">
            <v>540-59-0</v>
          </cell>
          <cell r="I67">
            <v>96.95</v>
          </cell>
          <cell r="J67">
            <v>775.6</v>
          </cell>
          <cell r="K67">
            <v>1.27</v>
          </cell>
        </row>
        <row r="68">
          <cell r="B68">
            <v>-400</v>
          </cell>
          <cell r="D68" t="str">
            <v>chloorethaan</v>
          </cell>
          <cell r="E68" t="str">
            <v>Chloroethane</v>
          </cell>
          <cell r="F68" t="str">
            <v>Ethyl chloride</v>
          </cell>
          <cell r="H68" t="str">
            <v>75-00-3</v>
          </cell>
          <cell r="I68">
            <v>64.515000000000001</v>
          </cell>
          <cell r="J68">
            <v>6710</v>
          </cell>
          <cell r="K68">
            <v>1.4849999999999999</v>
          </cell>
        </row>
        <row r="69">
          <cell r="B69">
            <v>406</v>
          </cell>
          <cell r="D69" t="str">
            <v>Vinylchloride</v>
          </cell>
          <cell r="E69" t="str">
            <v>Vinyl chloride</v>
          </cell>
          <cell r="F69" t="str">
            <v>Chloroethene</v>
          </cell>
          <cell r="H69" t="str">
            <v>75-01-4</v>
          </cell>
          <cell r="I69">
            <v>62.5</v>
          </cell>
          <cell r="J69">
            <v>428</v>
          </cell>
          <cell r="K69">
            <v>1.52</v>
          </cell>
        </row>
        <row r="72">
          <cell r="B72">
            <v>-1400</v>
          </cell>
          <cell r="D72" t="str">
            <v>Aniline</v>
          </cell>
          <cell r="E72" t="str">
            <v>Anilin</v>
          </cell>
          <cell r="F72" t="str">
            <v xml:space="preserve"> Benzenamine</v>
          </cell>
          <cell r="H72" t="str">
            <v>62-53-3</v>
          </cell>
          <cell r="I72">
            <v>93.13</v>
          </cell>
          <cell r="J72">
            <v>35333.333333333336</v>
          </cell>
          <cell r="K72">
            <v>0.98799999999999999</v>
          </cell>
        </row>
        <row r="73">
          <cell r="B73">
            <v>-1401</v>
          </cell>
          <cell r="D73" t="str">
            <v>2-Chlooraniline</v>
          </cell>
          <cell r="E73" t="str">
            <v>2-Chloroaniline</v>
          </cell>
          <cell r="F73" t="str">
            <v>o-Chloroaniline</v>
          </cell>
          <cell r="H73" t="str">
            <v>95-51-2</v>
          </cell>
          <cell r="I73">
            <v>127.57</v>
          </cell>
          <cell r="J73">
            <v>8160</v>
          </cell>
          <cell r="K73">
            <v>1.9</v>
          </cell>
        </row>
        <row r="74">
          <cell r="B74">
            <v>-1402</v>
          </cell>
          <cell r="D74" t="str">
            <v>3-Chlooraniline</v>
          </cell>
          <cell r="E74" t="str">
            <v>3-Chloroaniline</v>
          </cell>
          <cell r="F74" t="str">
            <v>3-chloro-Benzenamine</v>
          </cell>
          <cell r="H74" t="str">
            <v>108-42-9</v>
          </cell>
          <cell r="I74">
            <v>127.57</v>
          </cell>
          <cell r="J74">
            <v>5400</v>
          </cell>
          <cell r="K74">
            <v>1.88</v>
          </cell>
        </row>
        <row r="75">
          <cell r="B75">
            <v>-1403</v>
          </cell>
          <cell r="D75" t="str">
            <v>4-Chlooraniline</v>
          </cell>
          <cell r="E75" t="str">
            <v>4-Chloroaniline</v>
          </cell>
          <cell r="H75" t="str">
            <v>106-47-8</v>
          </cell>
          <cell r="I75">
            <v>127.57</v>
          </cell>
          <cell r="J75">
            <v>3900</v>
          </cell>
          <cell r="K75">
            <v>1.83</v>
          </cell>
        </row>
        <row r="76">
          <cell r="B76">
            <v>-1404</v>
          </cell>
          <cell r="D76" t="str">
            <v>n-Methylaniline</v>
          </cell>
          <cell r="E76" t="str">
            <v>N-Methylaniline</v>
          </cell>
          <cell r="F76" t="str">
            <v>N-methyl-Benzenamine</v>
          </cell>
          <cell r="H76" t="str">
            <v>100-61-8</v>
          </cell>
          <cell r="I76">
            <v>107.16</v>
          </cell>
          <cell r="J76">
            <v>5620</v>
          </cell>
          <cell r="K76">
            <v>1.66</v>
          </cell>
        </row>
        <row r="77">
          <cell r="B77">
            <v>-1405</v>
          </cell>
          <cell r="D77" t="str">
            <v>m-Nitroaniline</v>
          </cell>
          <cell r="E77" t="str">
            <v>3-Nitroaniline</v>
          </cell>
          <cell r="F77" t="str">
            <v>m-nitroaniline</v>
          </cell>
          <cell r="H77" t="str">
            <v xml:space="preserve"> 99-09-2</v>
          </cell>
          <cell r="I77">
            <v>138.13</v>
          </cell>
          <cell r="J77">
            <v>1200</v>
          </cell>
          <cell r="K77">
            <v>1.37</v>
          </cell>
        </row>
        <row r="78">
          <cell r="B78">
            <v>202</v>
          </cell>
          <cell r="D78" t="str">
            <v>Fenol</v>
          </cell>
          <cell r="E78" t="str">
            <v>Phenol</v>
          </cell>
          <cell r="H78" t="str">
            <v>108-95-2</v>
          </cell>
          <cell r="I78">
            <v>94.104999867169639</v>
          </cell>
          <cell r="J78">
            <v>65559.556704569273</v>
          </cell>
          <cell r="K78">
            <v>1.48</v>
          </cell>
        </row>
        <row r="79">
          <cell r="B79">
            <v>-1406</v>
          </cell>
          <cell r="D79" t="str">
            <v>p-Chloorfenol</v>
          </cell>
          <cell r="E79" t="str">
            <v>P-chlorophenol</v>
          </cell>
          <cell r="F79" t="str">
            <v>4-Chlorophenol</v>
          </cell>
          <cell r="H79" t="str">
            <v>106-48-9</v>
          </cell>
          <cell r="I79">
            <v>128.56</v>
          </cell>
          <cell r="J79">
            <v>25500</v>
          </cell>
          <cell r="K79">
            <v>2.27</v>
          </cell>
        </row>
        <row r="80">
          <cell r="B80">
            <v>-1407</v>
          </cell>
          <cell r="D80" t="str">
            <v>1,2-Dichloorfenol</v>
          </cell>
          <cell r="E80" t="str">
            <v>X,X-Dichlorphenol</v>
          </cell>
          <cell r="I80">
            <v>163</v>
          </cell>
          <cell r="J80" t="e">
            <v>#DIV/0!</v>
          </cell>
          <cell r="K80" t="e">
            <v>#DIV/0!</v>
          </cell>
        </row>
        <row r="81">
          <cell r="B81">
            <v>508</v>
          </cell>
          <cell r="D81" t="str">
            <v>2,3,4-Trichloorfenol</v>
          </cell>
          <cell r="E81" t="str">
            <v>2,3,4-Trichlorophenol</v>
          </cell>
          <cell r="H81" t="str">
            <v>15950-66-0</v>
          </cell>
          <cell r="I81">
            <v>197.5</v>
          </cell>
          <cell r="J81">
            <v>71.099999999999994</v>
          </cell>
          <cell r="K81">
            <v>3.8</v>
          </cell>
        </row>
        <row r="82">
          <cell r="B82">
            <v>544</v>
          </cell>
          <cell r="D82" t="str">
            <v>2,4,6-Trichloorfenol</v>
          </cell>
          <cell r="E82" t="str">
            <v>2,4,6-Trichlorophenol</v>
          </cell>
          <cell r="H82" t="str">
            <v>88-06-2</v>
          </cell>
          <cell r="I82">
            <v>197.46</v>
          </cell>
          <cell r="J82">
            <v>243</v>
          </cell>
          <cell r="K82">
            <v>3.6950000000000003</v>
          </cell>
        </row>
        <row r="83">
          <cell r="B83">
            <v>543</v>
          </cell>
          <cell r="D83" t="str">
            <v>3,4,5-Trichloorfenol</v>
          </cell>
          <cell r="E83" t="str">
            <v>3,4,5-Trichlorophenol</v>
          </cell>
          <cell r="H83" t="str">
            <v>609-19-8</v>
          </cell>
          <cell r="I83">
            <v>197.45</v>
          </cell>
          <cell r="J83">
            <v>34.6</v>
          </cell>
          <cell r="K83">
            <v>4.01</v>
          </cell>
        </row>
        <row r="84">
          <cell r="B84">
            <v>547</v>
          </cell>
          <cell r="D84" t="str">
            <v>2,3,5,6-Tetrachloorfenol</v>
          </cell>
          <cell r="E84" t="str">
            <v>2,3,5,6-Tetrachlorophenol</v>
          </cell>
          <cell r="H84" t="str">
            <v>935-95-5</v>
          </cell>
          <cell r="I84">
            <v>231.9</v>
          </cell>
          <cell r="J84">
            <v>4.79</v>
          </cell>
          <cell r="K84">
            <v>3.88</v>
          </cell>
        </row>
        <row r="85">
          <cell r="B85">
            <v>510</v>
          </cell>
          <cell r="D85" t="str">
            <v>Pentachloorfenol</v>
          </cell>
          <cell r="E85" t="str">
            <v>Pentachlorophenol</v>
          </cell>
          <cell r="H85" t="str">
            <v>87-86-5</v>
          </cell>
          <cell r="I85">
            <v>266.33</v>
          </cell>
          <cell r="J85">
            <v>4.28</v>
          </cell>
          <cell r="K85">
            <v>5.1050000000000004</v>
          </cell>
        </row>
        <row r="86">
          <cell r="B86">
            <v>-1408</v>
          </cell>
          <cell r="D86" t="str">
            <v>Nitrobenzeen</v>
          </cell>
          <cell r="E86" t="str">
            <v>Nitrobenzene</v>
          </cell>
          <cell r="H86" t="str">
            <v>98-95-3</v>
          </cell>
          <cell r="I86">
            <v>123.11</v>
          </cell>
          <cell r="J86">
            <v>2026.6666666666667</v>
          </cell>
          <cell r="K86">
            <v>1.8450000000000002</v>
          </cell>
        </row>
        <row r="87">
          <cell r="B87">
            <v>-1409</v>
          </cell>
          <cell r="D87" t="str">
            <v>2,3-Dichloor-5-nitrotolueen</v>
          </cell>
          <cell r="E87" t="str">
            <v>2,3-Dichloor-5-nitrotolueen</v>
          </cell>
          <cell r="G87">
            <v>-1</v>
          </cell>
          <cell r="I87" t="e">
            <v>#DIV/0!</v>
          </cell>
          <cell r="J87" t="e">
            <v>#DIV/0!</v>
          </cell>
          <cell r="K87" t="e">
            <v>#DIV/0!</v>
          </cell>
        </row>
        <row r="88">
          <cell r="B88">
            <v>-1410</v>
          </cell>
          <cell r="D88" t="str">
            <v>Ethanol</v>
          </cell>
          <cell r="E88" t="str">
            <v>Ethanol</v>
          </cell>
          <cell r="H88" t="str">
            <v>64-17-5</v>
          </cell>
          <cell r="I88">
            <v>46.07</v>
          </cell>
          <cell r="J88">
            <v>1000000</v>
          </cell>
          <cell r="K88">
            <v>-0.30499999999999999</v>
          </cell>
        </row>
        <row r="89">
          <cell r="B89">
            <v>-1411</v>
          </cell>
          <cell r="D89" t="str">
            <v>1-Hexanol {Hexylalcohol}</v>
          </cell>
          <cell r="E89" t="str">
            <v>1-Hexanol</v>
          </cell>
          <cell r="H89" t="str">
            <v xml:space="preserve"> 111-27-3 </v>
          </cell>
          <cell r="I89">
            <v>102.18</v>
          </cell>
          <cell r="J89">
            <v>5900</v>
          </cell>
          <cell r="K89">
            <v>2.0299999999999998</v>
          </cell>
        </row>
        <row r="90">
          <cell r="B90">
            <v>-1525</v>
          </cell>
          <cell r="D90" t="str">
            <v>2-Hexanol</v>
          </cell>
          <cell r="E90" t="str">
            <v>2-Hexanol</v>
          </cell>
          <cell r="H90" t="str">
            <v xml:space="preserve"> 626-93-7</v>
          </cell>
          <cell r="I90">
            <v>102.18</v>
          </cell>
          <cell r="J90">
            <v>14350</v>
          </cell>
          <cell r="K90">
            <v>1.76</v>
          </cell>
        </row>
        <row r="91">
          <cell r="B91">
            <v>1093</v>
          </cell>
          <cell r="D91" t="str">
            <v>Methylethylketon {Butanone}</v>
          </cell>
          <cell r="E91" t="str">
            <v>2-Butanone</v>
          </cell>
          <cell r="F91" t="str">
            <v>Methyl ethyl ketone (MEK)</v>
          </cell>
          <cell r="H91" t="str">
            <v>78-93-3</v>
          </cell>
          <cell r="I91">
            <v>72</v>
          </cell>
          <cell r="J91">
            <v>352800</v>
          </cell>
          <cell r="K91">
            <v>0.27549999999999997</v>
          </cell>
        </row>
        <row r="92">
          <cell r="B92">
            <v>-1413</v>
          </cell>
          <cell r="D92" t="str">
            <v>Di-isopropylketon</v>
          </cell>
          <cell r="E92" t="str">
            <v>Di-isopropylketon</v>
          </cell>
          <cell r="H92" t="str">
            <v>565-80-0</v>
          </cell>
          <cell r="I92">
            <v>114.18</v>
          </cell>
          <cell r="J92">
            <v>5700</v>
          </cell>
          <cell r="K92">
            <v>1.86</v>
          </cell>
        </row>
        <row r="93">
          <cell r="B93">
            <v>-1414</v>
          </cell>
          <cell r="D93" t="str">
            <v>Methoxybenzeen</v>
          </cell>
          <cell r="E93" t="str">
            <v>methoxybenzene</v>
          </cell>
          <cell r="F93" t="str">
            <v>Anisole</v>
          </cell>
          <cell r="H93" t="str">
            <v>100-66-3</v>
          </cell>
          <cell r="I93">
            <v>108.14</v>
          </cell>
          <cell r="J93">
            <v>1040</v>
          </cell>
          <cell r="K93">
            <v>2.11</v>
          </cell>
        </row>
        <row r="94">
          <cell r="B94">
            <v>-1415</v>
          </cell>
          <cell r="D94" t="str">
            <v>Di-isopropylether</v>
          </cell>
          <cell r="E94" t="str">
            <v>Diisopropyl ether</v>
          </cell>
          <cell r="H94" t="str">
            <v>108-20-3</v>
          </cell>
          <cell r="I94">
            <v>102.18</v>
          </cell>
          <cell r="J94">
            <v>8900</v>
          </cell>
          <cell r="K94">
            <v>1.52</v>
          </cell>
        </row>
        <row r="96">
          <cell r="B96">
            <v>-1416</v>
          </cell>
          <cell r="D96" t="str">
            <v>Bifenyl</v>
          </cell>
          <cell r="E96" t="str">
            <v>Biphenyl</v>
          </cell>
          <cell r="H96" t="str">
            <v xml:space="preserve"> 92-52-4 </v>
          </cell>
          <cell r="I96">
            <v>154.21</v>
          </cell>
          <cell r="J96">
            <v>6.4766666666666666</v>
          </cell>
          <cell r="K96">
            <v>4.0449999999999999</v>
          </cell>
        </row>
        <row r="97">
          <cell r="B97">
            <v>-1417</v>
          </cell>
          <cell r="D97" t="str">
            <v>bifenly ether</v>
          </cell>
          <cell r="E97" t="str">
            <v>diphenyl ether</v>
          </cell>
          <cell r="F97" t="str">
            <v>1,1-Oxydibenzene</v>
          </cell>
          <cell r="G97">
            <v>-1</v>
          </cell>
          <cell r="H97" t="str">
            <v>101-84-8  (= bifenyl oxide ??)</v>
          </cell>
          <cell r="I97">
            <v>170.21</v>
          </cell>
          <cell r="J97">
            <v>20</v>
          </cell>
          <cell r="K97">
            <v>4.21</v>
          </cell>
        </row>
        <row r="99">
          <cell r="B99">
            <v>-1500</v>
          </cell>
          <cell r="D99" t="str">
            <v>Methaan</v>
          </cell>
          <cell r="E99" t="str">
            <v>Methane</v>
          </cell>
          <cell r="H99" t="str">
            <v xml:space="preserve"> 74-82-8 </v>
          </cell>
          <cell r="I99">
            <v>16.05</v>
          </cell>
          <cell r="J99">
            <v>26000</v>
          </cell>
          <cell r="K99">
            <v>1.0900000000000001</v>
          </cell>
        </row>
        <row r="100">
          <cell r="B100">
            <v>-1501</v>
          </cell>
          <cell r="D100" t="str">
            <v>Ethylene</v>
          </cell>
          <cell r="E100" t="str">
            <v>Ethylene</v>
          </cell>
          <cell r="H100" t="str">
            <v>74-85-1</v>
          </cell>
          <cell r="I100">
            <v>28.05</v>
          </cell>
          <cell r="J100">
            <v>130</v>
          </cell>
          <cell r="K100">
            <v>1.1299999999999999</v>
          </cell>
        </row>
        <row r="101">
          <cell r="B101">
            <v>-1526</v>
          </cell>
          <cell r="D101" t="str">
            <v>Ethane</v>
          </cell>
          <cell r="E101" t="str">
            <v>Ethane</v>
          </cell>
          <cell r="H101" t="str">
            <v>74-84-0</v>
          </cell>
          <cell r="I101">
            <v>30.07</v>
          </cell>
          <cell r="J101">
            <v>62</v>
          </cell>
          <cell r="K101">
            <v>1.81</v>
          </cell>
        </row>
        <row r="102">
          <cell r="B102">
            <v>1107</v>
          </cell>
          <cell r="D102" t="str">
            <v>Methanol</v>
          </cell>
          <cell r="E102" t="str">
            <v>Methanol</v>
          </cell>
          <cell r="H102" t="str">
            <v>67-56-1</v>
          </cell>
          <cell r="I102">
            <v>32</v>
          </cell>
          <cell r="J102">
            <v>1056000</v>
          </cell>
          <cell r="K102">
            <v>-0.70000000000000007</v>
          </cell>
        </row>
        <row r="103">
          <cell r="B103">
            <v>-1502</v>
          </cell>
          <cell r="D103" t="str">
            <v>Allene</v>
          </cell>
          <cell r="E103" t="str">
            <v>Allene</v>
          </cell>
          <cell r="F103" t="str">
            <v>Propadiene</v>
          </cell>
          <cell r="G103">
            <v>-1</v>
          </cell>
          <cell r="H103" t="str">
            <v>463-49-0</v>
          </cell>
          <cell r="I103">
            <v>40.064999999999998</v>
          </cell>
          <cell r="K103">
            <v>1.45</v>
          </cell>
        </row>
        <row r="104">
          <cell r="B104">
            <v>-1503</v>
          </cell>
          <cell r="D104" t="str">
            <v>Propylene (Propeen??)</v>
          </cell>
          <cell r="E104" t="str">
            <v>Propylene</v>
          </cell>
          <cell r="F104" t="str">
            <v>1-Propene</v>
          </cell>
          <cell r="H104" t="str">
            <v>115-07-1</v>
          </cell>
          <cell r="I104">
            <v>42.08</v>
          </cell>
          <cell r="J104">
            <v>292</v>
          </cell>
          <cell r="K104">
            <v>1.77</v>
          </cell>
        </row>
        <row r="105">
          <cell r="B105">
            <v>-1504</v>
          </cell>
          <cell r="D105" t="str">
            <v>Propaan</v>
          </cell>
          <cell r="E105" t="str">
            <v>Propane</v>
          </cell>
          <cell r="H105" t="str">
            <v xml:space="preserve"> 74-98-6 </v>
          </cell>
          <cell r="I105">
            <v>44.1</v>
          </cell>
          <cell r="J105">
            <v>75</v>
          </cell>
          <cell r="K105">
            <v>2.36</v>
          </cell>
        </row>
        <row r="106">
          <cell r="B106">
            <v>-1505</v>
          </cell>
          <cell r="D106" t="str">
            <v>Propionitrile</v>
          </cell>
          <cell r="E106" t="str">
            <v>Propionitrile</v>
          </cell>
          <cell r="H106" t="str">
            <v>107-12-0</v>
          </cell>
          <cell r="I106">
            <v>55.08</v>
          </cell>
          <cell r="J106">
            <v>103000</v>
          </cell>
          <cell r="K106">
            <v>0.16</v>
          </cell>
        </row>
        <row r="107">
          <cell r="B107">
            <v>-1506</v>
          </cell>
          <cell r="D107" t="str">
            <v>Isobutyleen</v>
          </cell>
          <cell r="E107" t="str">
            <v>Isobutylene</v>
          </cell>
          <cell r="F107" t="str">
            <v>2-methylpropene</v>
          </cell>
          <cell r="H107" t="str">
            <v>115-11-7</v>
          </cell>
          <cell r="I107">
            <v>56.11</v>
          </cell>
          <cell r="J107">
            <v>388</v>
          </cell>
          <cell r="K107">
            <v>2.35</v>
          </cell>
        </row>
        <row r="108">
          <cell r="B108">
            <v>-1507</v>
          </cell>
          <cell r="D108" t="str">
            <v>Acetone</v>
          </cell>
          <cell r="E108" t="str">
            <v>Acetone</v>
          </cell>
          <cell r="F108" t="str">
            <v>Propanone</v>
          </cell>
          <cell r="H108" t="str">
            <v>67-64-1</v>
          </cell>
          <cell r="I108">
            <v>58.08</v>
          </cell>
          <cell r="J108">
            <v>790000</v>
          </cell>
          <cell r="K108">
            <v>-0.24</v>
          </cell>
        </row>
        <row r="109">
          <cell r="B109">
            <v>-1508</v>
          </cell>
          <cell r="D109" t="str">
            <v>n-Butaan {Butaan}</v>
          </cell>
          <cell r="E109" t="str">
            <v>Butane</v>
          </cell>
          <cell r="H109" t="str">
            <v>106-97-8</v>
          </cell>
          <cell r="I109">
            <v>58.12</v>
          </cell>
          <cell r="J109">
            <v>61</v>
          </cell>
          <cell r="K109">
            <v>2.89</v>
          </cell>
        </row>
        <row r="110">
          <cell r="B110">
            <v>-1509</v>
          </cell>
          <cell r="D110" t="str">
            <v>Neopentaan</v>
          </cell>
          <cell r="E110" t="str">
            <v>Neopentane</v>
          </cell>
          <cell r="F110" t="str">
            <v>2,2-Dimethylpropan</v>
          </cell>
          <cell r="H110" t="str">
            <v>106-97-8</v>
          </cell>
          <cell r="I110">
            <v>72.150000000000006</v>
          </cell>
          <cell r="J110">
            <v>33</v>
          </cell>
          <cell r="K110">
            <v>3.11</v>
          </cell>
        </row>
        <row r="111">
          <cell r="B111">
            <v>-1510</v>
          </cell>
          <cell r="D111" t="str">
            <v>n-Pentane</v>
          </cell>
          <cell r="E111" t="str">
            <v>n-Pentane</v>
          </cell>
          <cell r="H111" t="str">
            <v>109-66-0</v>
          </cell>
          <cell r="I111">
            <v>72.150000000000006</v>
          </cell>
          <cell r="J111">
            <v>40</v>
          </cell>
          <cell r="K111">
            <v>3.39</v>
          </cell>
        </row>
        <row r="112">
          <cell r="B112">
            <v>-1511</v>
          </cell>
          <cell r="D112" t="str">
            <v>Butyraldehyde (butanal)</v>
          </cell>
          <cell r="E112" t="str">
            <v>Butyraldehyde</v>
          </cell>
          <cell r="F112" t="str">
            <v>Butanal</v>
          </cell>
          <cell r="H112" t="str">
            <v>123-72-8</v>
          </cell>
          <cell r="I112">
            <v>72.11</v>
          </cell>
          <cell r="J112">
            <v>37000</v>
          </cell>
          <cell r="K112">
            <v>0.88</v>
          </cell>
        </row>
        <row r="113">
          <cell r="B113">
            <v>-1512</v>
          </cell>
          <cell r="D113" t="str">
            <v>Butylalcohol {Butanol]</v>
          </cell>
          <cell r="E113" t="str">
            <v xml:space="preserve">Butylalcohol </v>
          </cell>
          <cell r="F113" t="str">
            <v>Butanol</v>
          </cell>
          <cell r="H113" t="str">
            <v>71-36-3</v>
          </cell>
          <cell r="I113">
            <v>74.12</v>
          </cell>
          <cell r="J113">
            <v>77000</v>
          </cell>
          <cell r="K113">
            <v>0.84</v>
          </cell>
        </row>
        <row r="114">
          <cell r="B114">
            <v>-1513</v>
          </cell>
          <cell r="D114" t="str">
            <v>Dimethyl sulfoxide</v>
          </cell>
          <cell r="E114" t="str">
            <v>Dimethyl sulfoxide</v>
          </cell>
          <cell r="H114" t="str">
            <v xml:space="preserve"> 67-68-5 </v>
          </cell>
          <cell r="I114">
            <v>78.14</v>
          </cell>
          <cell r="J114">
            <v>1000000</v>
          </cell>
          <cell r="K114">
            <v>-1.35</v>
          </cell>
        </row>
        <row r="115">
          <cell r="B115">
            <v>-1514</v>
          </cell>
          <cell r="D115" t="str">
            <v>Cyclopopane</v>
          </cell>
          <cell r="E115" t="str">
            <v>Cyclopopane</v>
          </cell>
          <cell r="H115" t="str">
            <v xml:space="preserve"> 75-19-4 </v>
          </cell>
          <cell r="I115">
            <v>42.08</v>
          </cell>
          <cell r="J115">
            <v>502000</v>
          </cell>
          <cell r="K115">
            <v>1.72</v>
          </cell>
        </row>
        <row r="116">
          <cell r="B116">
            <v>-1515</v>
          </cell>
          <cell r="D116" t="str">
            <v>Pentanal</v>
          </cell>
          <cell r="E116" t="str">
            <v>Pentanal</v>
          </cell>
          <cell r="H116" t="str">
            <v>110-62-3</v>
          </cell>
          <cell r="I116">
            <v>86.13</v>
          </cell>
          <cell r="J116">
            <v>14000</v>
          </cell>
          <cell r="K116">
            <v>1.31</v>
          </cell>
        </row>
        <row r="117">
          <cell r="B117">
            <v>-1516</v>
          </cell>
          <cell r="D117" t="str">
            <v>3-Methylpentane</v>
          </cell>
          <cell r="E117" t="str">
            <v>3-Methylpentane</v>
          </cell>
          <cell r="H117" t="str">
            <v xml:space="preserve"> 96-14-0 </v>
          </cell>
          <cell r="I117">
            <v>86.18</v>
          </cell>
          <cell r="J117">
            <v>18</v>
          </cell>
          <cell r="K117">
            <v>3.6</v>
          </cell>
        </row>
        <row r="118">
          <cell r="B118">
            <v>-1517</v>
          </cell>
          <cell r="D118" t="str">
            <v>Neohexane</v>
          </cell>
          <cell r="E118" t="str">
            <v>Neohexane</v>
          </cell>
          <cell r="F118" t="str">
            <v>2,2-Dimethylbutane</v>
          </cell>
          <cell r="H118" t="str">
            <v xml:space="preserve"> 75-83-2 </v>
          </cell>
          <cell r="I118">
            <v>86.18</v>
          </cell>
          <cell r="J118" t="e">
            <v>#DIV/0!</v>
          </cell>
          <cell r="K118">
            <v>3.82</v>
          </cell>
        </row>
        <row r="119">
          <cell r="B119">
            <v>-1518</v>
          </cell>
          <cell r="D119" t="str">
            <v>Tetrafluoromethane</v>
          </cell>
          <cell r="E119" t="str">
            <v>Tetrafluoromethane</v>
          </cell>
          <cell r="H119" t="str">
            <v xml:space="preserve"> 75-73-0 </v>
          </cell>
          <cell r="I119">
            <v>88.01</v>
          </cell>
          <cell r="J119">
            <v>20</v>
          </cell>
          <cell r="K119">
            <v>1.18</v>
          </cell>
        </row>
        <row r="120">
          <cell r="B120">
            <v>11143</v>
          </cell>
          <cell r="D120" t="str">
            <v>Ethylacetaat</v>
          </cell>
          <cell r="E120" t="str">
            <v>Ethylacetaat</v>
          </cell>
          <cell r="H120" t="str">
            <v xml:space="preserve">141-78-6 </v>
          </cell>
          <cell r="I120">
            <v>88.100000000000009</v>
          </cell>
          <cell r="J120">
            <v>62100</v>
          </cell>
          <cell r="K120">
            <v>0.73</v>
          </cell>
        </row>
        <row r="121">
          <cell r="B121">
            <v>-1519</v>
          </cell>
          <cell r="D121" t="str">
            <v>1-Pentanol</v>
          </cell>
          <cell r="E121" t="str">
            <v>1-Pentanol</v>
          </cell>
          <cell r="H121" t="str">
            <v>71-41-0</v>
          </cell>
          <cell r="I121">
            <v>88.15</v>
          </cell>
          <cell r="J121">
            <v>22000</v>
          </cell>
          <cell r="K121">
            <v>1.51</v>
          </cell>
        </row>
        <row r="122">
          <cell r="B122">
            <v>-1520</v>
          </cell>
          <cell r="D122" t="str">
            <v>2-Pentanol</v>
          </cell>
          <cell r="E122" t="str">
            <v>2-Pentanol</v>
          </cell>
          <cell r="H122" t="str">
            <v>6032-29-7</v>
          </cell>
          <cell r="I122">
            <v>88.15</v>
          </cell>
          <cell r="J122">
            <v>166000</v>
          </cell>
          <cell r="K122">
            <v>1.25</v>
          </cell>
        </row>
        <row r="123">
          <cell r="B123">
            <v>-1521</v>
          </cell>
          <cell r="D123" t="str">
            <v>cis-Hex-3-en-1-ol</v>
          </cell>
          <cell r="E123" t="str">
            <v>cis-Hex-3-en-1-ol</v>
          </cell>
          <cell r="H123" t="str">
            <v xml:space="preserve"> 928-96-1 </v>
          </cell>
          <cell r="I123">
            <v>100.16</v>
          </cell>
          <cell r="J123">
            <v>19300</v>
          </cell>
          <cell r="K123">
            <v>1.61</v>
          </cell>
        </row>
        <row r="124">
          <cell r="B124">
            <v>-1522</v>
          </cell>
          <cell r="D124" t="str">
            <v>Hexaldehyde</v>
          </cell>
          <cell r="E124" t="str">
            <v>Hexaldehyde</v>
          </cell>
          <cell r="F124" t="str">
            <v>Hexanal</v>
          </cell>
          <cell r="H124" t="str">
            <v xml:space="preserve"> 66-25-1 </v>
          </cell>
          <cell r="I124">
            <v>100.16</v>
          </cell>
          <cell r="J124">
            <v>6000</v>
          </cell>
          <cell r="K124">
            <v>1.78</v>
          </cell>
        </row>
        <row r="125">
          <cell r="B125">
            <v>-1523</v>
          </cell>
          <cell r="D125" t="str">
            <v>Ethylpropionate</v>
          </cell>
          <cell r="E125" t="str">
            <v>Ethylpropionate</v>
          </cell>
          <cell r="H125" t="str">
            <v xml:space="preserve"> 105-37-3 </v>
          </cell>
          <cell r="I125">
            <v>102.13</v>
          </cell>
          <cell r="J125">
            <v>17000</v>
          </cell>
          <cell r="K125">
            <v>1.21</v>
          </cell>
        </row>
        <row r="126">
          <cell r="B126">
            <v>-1527</v>
          </cell>
          <cell r="D126" t="str">
            <v xml:space="preserve"> Hexaldehyde</v>
          </cell>
          <cell r="E126" t="str">
            <v xml:space="preserve"> Hexaldehyde</v>
          </cell>
          <cell r="F126" t="str">
            <v>n-Hexaldehyde</v>
          </cell>
          <cell r="H126" t="str">
            <v>66-25-1</v>
          </cell>
          <cell r="I126">
            <v>100.16</v>
          </cell>
          <cell r="J126">
            <v>6000</v>
          </cell>
          <cell r="K126">
            <v>1.78</v>
          </cell>
        </row>
        <row r="127">
          <cell r="B127">
            <v>-1528</v>
          </cell>
          <cell r="D127" t="str">
            <v>1,2,3-Trimethylbenzene</v>
          </cell>
          <cell r="E127" t="str">
            <v>1,2,3-Trimethylbenzene</v>
          </cell>
          <cell r="I127">
            <v>120.19</v>
          </cell>
          <cell r="J127">
            <v>75</v>
          </cell>
          <cell r="K127">
            <v>3.6</v>
          </cell>
        </row>
        <row r="128">
          <cell r="B128">
            <v>-1529</v>
          </cell>
          <cell r="D128" t="str">
            <v>Methoxybenzene</v>
          </cell>
          <cell r="E128" t="str">
            <v>Methoxybenzene</v>
          </cell>
          <cell r="I128">
            <v>108.14</v>
          </cell>
          <cell r="J128">
            <v>1741</v>
          </cell>
          <cell r="K128">
            <v>2.11</v>
          </cell>
        </row>
        <row r="129">
          <cell r="B129">
            <v>-1530</v>
          </cell>
          <cell r="D129" t="str">
            <v>Chlorobenzene</v>
          </cell>
          <cell r="E129" t="str">
            <v>Chlorobenzene</v>
          </cell>
          <cell r="I129">
            <v>112.56</v>
          </cell>
          <cell r="J129">
            <v>498</v>
          </cell>
          <cell r="K129">
            <v>2.84</v>
          </cell>
        </row>
        <row r="130">
          <cell r="B130">
            <v>-1531</v>
          </cell>
          <cell r="D130" t="str">
            <v>1-Chloronaphthalene</v>
          </cell>
          <cell r="E130" t="str">
            <v>1-Chloronaphthalene</v>
          </cell>
          <cell r="I130">
            <v>162.62</v>
          </cell>
          <cell r="J130">
            <v>17.399999999999999</v>
          </cell>
          <cell r="K130">
            <v>4</v>
          </cell>
        </row>
        <row r="131">
          <cell r="B131">
            <v>-1532</v>
          </cell>
          <cell r="D131" t="str">
            <v>Methyl iso-Buthyl Ketone</v>
          </cell>
          <cell r="E131" t="str">
            <v>Methyl isobutyl ketone (MIBK)</v>
          </cell>
          <cell r="F131" t="str">
            <v>4-Methylpentan-2-one</v>
          </cell>
          <cell r="H131" t="str">
            <v>000108-10-1</v>
          </cell>
          <cell r="I131">
            <v>100.16</v>
          </cell>
          <cell r="J131">
            <v>19000</v>
          </cell>
          <cell r="K131">
            <v>1.31</v>
          </cell>
        </row>
        <row r="132">
          <cell r="B132">
            <v>-1533</v>
          </cell>
          <cell r="D132" t="str">
            <v>Butyraldehyde</v>
          </cell>
          <cell r="E132" t="str">
            <v>Butyraldehyde</v>
          </cell>
          <cell r="F132" t="str">
            <v>Butanal</v>
          </cell>
          <cell r="I132">
            <v>72.11</v>
          </cell>
          <cell r="J132">
            <v>71000</v>
          </cell>
          <cell r="K132">
            <v>0.88</v>
          </cell>
        </row>
        <row r="133">
          <cell r="B133">
            <v>-1534</v>
          </cell>
          <cell r="D133" t="str">
            <v>Chloroform</v>
          </cell>
          <cell r="E133" t="str">
            <v>Chloroform</v>
          </cell>
          <cell r="F133" t="str">
            <v>Trichloromethane</v>
          </cell>
          <cell r="I133">
            <v>119.38</v>
          </cell>
          <cell r="J133">
            <v>7950</v>
          </cell>
          <cell r="K133">
            <v>1.97</v>
          </cell>
        </row>
        <row r="134">
          <cell r="B134">
            <v>704</v>
          </cell>
          <cell r="D134" t="str">
            <v>Styrene</v>
          </cell>
          <cell r="E134" t="str">
            <v>Styrene</v>
          </cell>
          <cell r="H134" t="str">
            <v>100-42-5</v>
          </cell>
          <cell r="I134">
            <v>104.14856451163628</v>
          </cell>
          <cell r="J134">
            <v>320.05735053194411</v>
          </cell>
          <cell r="K134">
            <v>2.95</v>
          </cell>
        </row>
        <row r="135">
          <cell r="B135">
            <v>-1535</v>
          </cell>
          <cell r="D135" t="str">
            <v>naphthalene</v>
          </cell>
          <cell r="E135" t="str">
            <v>naphthalene</v>
          </cell>
          <cell r="I135">
            <v>128</v>
          </cell>
          <cell r="J135" t="e">
            <v>#DIV/0!</v>
          </cell>
          <cell r="K135">
            <v>3.3</v>
          </cell>
        </row>
        <row r="136">
          <cell r="B136">
            <v>-1536</v>
          </cell>
          <cell r="C136" t="e">
            <v>#N/A</v>
          </cell>
          <cell r="D136" t="str">
            <v>acenaphthene</v>
          </cell>
          <cell r="E136" t="str">
            <v>acenaphthene</v>
          </cell>
          <cell r="I136">
            <v>154.1</v>
          </cell>
          <cell r="J136">
            <v>22.064006344594798</v>
          </cell>
          <cell r="K136">
            <v>3.96</v>
          </cell>
        </row>
        <row r="137">
          <cell r="B137">
            <v>-1537</v>
          </cell>
          <cell r="C137" t="e">
            <v>#N/A</v>
          </cell>
          <cell r="D137" t="str">
            <v>fluorene</v>
          </cell>
          <cell r="E137" t="str">
            <v>fluorene</v>
          </cell>
          <cell r="I137">
            <v>166.1</v>
          </cell>
          <cell r="J137">
            <v>9.8227031484622565</v>
          </cell>
          <cell r="K137">
            <v>4.1399999999999997</v>
          </cell>
        </row>
        <row r="138">
          <cell r="B138">
            <v>-1538</v>
          </cell>
          <cell r="C138" t="e">
            <v>#N/A</v>
          </cell>
          <cell r="D138" t="str">
            <v>phenanthrene</v>
          </cell>
          <cell r="E138" t="str">
            <v>phenanthrene</v>
          </cell>
          <cell r="I138">
            <v>178.1</v>
          </cell>
          <cell r="J138">
            <v>4.3501847309898105</v>
          </cell>
          <cell r="K138">
            <v>4.4800000000000004</v>
          </cell>
        </row>
        <row r="139">
          <cell r="B139">
            <v>-1539</v>
          </cell>
          <cell r="C139" t="e">
            <v>#N/A</v>
          </cell>
          <cell r="D139" t="str">
            <v>anthracene</v>
          </cell>
          <cell r="E139" t="str">
            <v>anthracene</v>
          </cell>
          <cell r="I139">
            <v>178.1</v>
          </cell>
          <cell r="J139">
            <v>4.3501847309898105</v>
          </cell>
          <cell r="K139">
            <v>4.5250000000000004</v>
          </cell>
        </row>
        <row r="140">
          <cell r="B140">
            <v>-1540</v>
          </cell>
          <cell r="C140" t="e">
            <v>#N/A</v>
          </cell>
          <cell r="D140" t="str">
            <v>fluoranthene</v>
          </cell>
          <cell r="E140" t="str">
            <v>fluoranthene</v>
          </cell>
          <cell r="I140">
            <v>202.15</v>
          </cell>
          <cell r="J140">
            <v>0.83636506257935239</v>
          </cell>
          <cell r="K140">
            <v>5.08</v>
          </cell>
        </row>
        <row r="141">
          <cell r="B141">
            <v>-1541</v>
          </cell>
          <cell r="C141" t="e">
            <v>#N/A</v>
          </cell>
          <cell r="D141" t="str">
            <v>pyrene</v>
          </cell>
          <cell r="E141" t="str">
            <v>pyrene</v>
          </cell>
          <cell r="I141">
            <v>202.15</v>
          </cell>
          <cell r="J141">
            <v>0.83636506257935239</v>
          </cell>
          <cell r="K141">
            <v>4.9399999999999995</v>
          </cell>
        </row>
        <row r="142">
          <cell r="B142">
            <v>-1542</v>
          </cell>
          <cell r="C142" t="e">
            <v>#N/A</v>
          </cell>
          <cell r="D142" t="str">
            <v>benz[a]anthracene</v>
          </cell>
          <cell r="E142" t="str">
            <v>benz[a]anthracene</v>
          </cell>
          <cell r="I142">
            <v>228.15</v>
          </cell>
          <cell r="J142">
            <v>0.13896515350405772</v>
          </cell>
          <cell r="K142">
            <v>5.7799999999999994</v>
          </cell>
        </row>
        <row r="143">
          <cell r="B143">
            <v>-1812</v>
          </cell>
          <cell r="C143" t="e">
            <v>#N/A</v>
          </cell>
          <cell r="D143" t="str">
            <v>d12-benz[a]anthracene</v>
          </cell>
          <cell r="E143" t="str">
            <v>d12-benz[a]anthracene</v>
          </cell>
          <cell r="I143">
            <v>228.15</v>
          </cell>
          <cell r="J143">
            <v>1.3896515350405773E-4</v>
          </cell>
          <cell r="K143">
            <v>5.7799999999999994</v>
          </cell>
        </row>
        <row r="144">
          <cell r="B144">
            <v>-1543</v>
          </cell>
          <cell r="C144" t="e">
            <v>#N/A</v>
          </cell>
          <cell r="D144" t="str">
            <v>chrysene</v>
          </cell>
          <cell r="E144" t="str">
            <v>chrysene</v>
          </cell>
          <cell r="I144">
            <v>228.15</v>
          </cell>
          <cell r="J144">
            <v>0.13896515350405772</v>
          </cell>
          <cell r="K144">
            <v>5.7549999999999999</v>
          </cell>
        </row>
        <row r="145">
          <cell r="B145">
            <v>-1544</v>
          </cell>
          <cell r="C145" t="e">
            <v>#N/A</v>
          </cell>
          <cell r="D145" t="str">
            <v>benzo[b]fluoranthene</v>
          </cell>
          <cell r="E145" t="str">
            <v>benzo[b]fluoranthene</v>
          </cell>
          <cell r="I145">
            <v>252.15</v>
          </cell>
          <cell r="J145">
            <v>2.620096279985866E-2</v>
          </cell>
          <cell r="K145">
            <v>5.84</v>
          </cell>
        </row>
        <row r="146">
          <cell r="B146">
            <v>-1545</v>
          </cell>
          <cell r="C146" t="e">
            <v>#N/A</v>
          </cell>
          <cell r="D146" t="str">
            <v>benzo[k]fluoranthene</v>
          </cell>
          <cell r="E146" t="str">
            <v>benzo[k]fluoranthene</v>
          </cell>
          <cell r="I146">
            <v>252.15</v>
          </cell>
          <cell r="J146">
            <v>2.620096279985866E-2</v>
          </cell>
          <cell r="K146">
            <v>6.0050000000000008</v>
          </cell>
        </row>
        <row r="147">
          <cell r="B147">
            <v>-1546</v>
          </cell>
          <cell r="C147" t="e">
            <v>#N/A</v>
          </cell>
          <cell r="D147" t="str">
            <v>benzo[e]pyrene</v>
          </cell>
          <cell r="E147" t="str">
            <v>benzo[e]pyrene</v>
          </cell>
          <cell r="I147">
            <v>252.15</v>
          </cell>
          <cell r="J147">
            <v>2.620096279985866E-2</v>
          </cell>
          <cell r="K147">
            <v>6.27</v>
          </cell>
        </row>
        <row r="148">
          <cell r="B148">
            <v>-1547</v>
          </cell>
          <cell r="C148" t="e">
            <v>#N/A</v>
          </cell>
          <cell r="D148" t="str">
            <v>benzo[a]pyrene</v>
          </cell>
          <cell r="E148" t="str">
            <v>benzo[a]pyrene</v>
          </cell>
          <cell r="I148">
            <v>252.15</v>
          </cell>
          <cell r="J148">
            <v>2.620096279985866E-2</v>
          </cell>
          <cell r="K148">
            <v>6.1150000000000002</v>
          </cell>
        </row>
        <row r="149">
          <cell r="B149">
            <v>-1548</v>
          </cell>
          <cell r="C149" t="e">
            <v>#N/A</v>
          </cell>
          <cell r="D149" t="str">
            <v>perylene</v>
          </cell>
          <cell r="E149" t="str">
            <v>perylene</v>
          </cell>
          <cell r="I149">
            <v>252.15</v>
          </cell>
          <cell r="J149">
            <v>2.620096279985866E-2</v>
          </cell>
          <cell r="K149">
            <v>6.1749999999999998</v>
          </cell>
        </row>
        <row r="150">
          <cell r="B150">
            <v>-1549</v>
          </cell>
          <cell r="C150" t="e">
            <v>#N/A</v>
          </cell>
          <cell r="D150" t="str">
            <v>indeno[1,2,3-cd]pyrene</v>
          </cell>
          <cell r="E150" t="str">
            <v>indeno[1,2,3-cd]pyrene</v>
          </cell>
          <cell r="I150">
            <v>276</v>
          </cell>
          <cell r="J150" t="e">
            <v>#DIV/0!</v>
          </cell>
          <cell r="K150">
            <v>6.7</v>
          </cell>
        </row>
        <row r="151">
          <cell r="B151">
            <v>-1550</v>
          </cell>
          <cell r="C151" t="e">
            <v>#N/A</v>
          </cell>
          <cell r="D151" t="str">
            <v>benzo[ghi]perylene</v>
          </cell>
          <cell r="E151" t="str">
            <v>benzo[ghi]perylene</v>
          </cell>
          <cell r="I151">
            <v>276</v>
          </cell>
          <cell r="J151" t="e">
            <v>#DIV/0!</v>
          </cell>
          <cell r="K151">
            <v>6.7</v>
          </cell>
        </row>
        <row r="152">
          <cell r="B152">
            <v>-1551</v>
          </cell>
          <cell r="C152" t="e">
            <v>#N/A</v>
          </cell>
          <cell r="D152" t="str">
            <v>dibenz[ah]anthracene</v>
          </cell>
          <cell r="E152" t="str">
            <v>dibenz[ah]anthracene</v>
          </cell>
          <cell r="I152">
            <v>278</v>
          </cell>
          <cell r="J152" t="e">
            <v>#DIV/0!</v>
          </cell>
          <cell r="K152">
            <v>6.8</v>
          </cell>
        </row>
        <row r="153">
          <cell r="B153">
            <v>-1552</v>
          </cell>
          <cell r="C153" t="e">
            <v>#N/A</v>
          </cell>
          <cell r="D153" t="str">
            <v>2-methylnaphthalene</v>
          </cell>
          <cell r="E153" t="str">
            <v>2-methylnaphthalene</v>
          </cell>
          <cell r="I153">
            <v>167.15</v>
          </cell>
          <cell r="J153">
            <v>1.6610369145756172</v>
          </cell>
          <cell r="K153">
            <v>4.28</v>
          </cell>
        </row>
        <row r="154">
          <cell r="B154">
            <v>-1553</v>
          </cell>
          <cell r="C154" t="e">
            <v>#N/A</v>
          </cell>
          <cell r="D154" t="str">
            <v>1-methylnaphthalene</v>
          </cell>
          <cell r="E154" t="str">
            <v>1-methylnaphthalene</v>
          </cell>
          <cell r="I154">
            <v>142</v>
          </cell>
          <cell r="J154" t="e">
            <v>#DIV/0!</v>
          </cell>
          <cell r="K154">
            <v>3.87</v>
          </cell>
        </row>
        <row r="155">
          <cell r="B155">
            <v>-1554</v>
          </cell>
          <cell r="C155" t="e">
            <v>#N/A</v>
          </cell>
          <cell r="D155" t="str">
            <v>2,6-dimethylnaphthalene</v>
          </cell>
          <cell r="E155" t="str">
            <v>2,6-dimethylnaphthalene</v>
          </cell>
          <cell r="I155">
            <v>156</v>
          </cell>
          <cell r="J155" t="e">
            <v>#DIV/0!</v>
          </cell>
          <cell r="K155">
            <v>4.3099999999999996</v>
          </cell>
        </row>
        <row r="156">
          <cell r="B156">
            <v>-1555</v>
          </cell>
          <cell r="C156" t="e">
            <v>#N/A</v>
          </cell>
          <cell r="D156" t="str">
            <v>1,3-dimethylnaphthalene</v>
          </cell>
          <cell r="E156" t="str">
            <v>1,3-dimethylnaphthalene</v>
          </cell>
          <cell r="I156">
            <v>156</v>
          </cell>
          <cell r="J156" t="e">
            <v>#DIV/0!</v>
          </cell>
          <cell r="K156">
            <v>4.42</v>
          </cell>
        </row>
        <row r="157">
          <cell r="B157">
            <v>-1556</v>
          </cell>
          <cell r="C157" t="e">
            <v>#N/A</v>
          </cell>
          <cell r="D157" t="str">
            <v>1,4-dimethylnaphthalene</v>
          </cell>
          <cell r="E157" t="str">
            <v>1,4-dimethylnaphthalene</v>
          </cell>
          <cell r="I157">
            <v>156</v>
          </cell>
          <cell r="J157" t="e">
            <v>#DIV/0!</v>
          </cell>
          <cell r="K157">
            <v>4.37</v>
          </cell>
        </row>
        <row r="158">
          <cell r="B158">
            <v>-1557</v>
          </cell>
          <cell r="C158" t="e">
            <v>#N/A</v>
          </cell>
          <cell r="D158" t="str">
            <v>1,2-dimethylnaphthalene</v>
          </cell>
          <cell r="E158" t="str">
            <v>1,2-dimethylnaphthalene</v>
          </cell>
          <cell r="I158">
            <v>156</v>
          </cell>
          <cell r="J158" t="e">
            <v>#DIV/0!</v>
          </cell>
          <cell r="K158">
            <v>4.3099999999999996</v>
          </cell>
        </row>
        <row r="159">
          <cell r="B159">
            <v>-1558</v>
          </cell>
          <cell r="C159" t="e">
            <v>#N/A</v>
          </cell>
          <cell r="D159" t="str">
            <v>1,8-dimethylnaphthalene</v>
          </cell>
          <cell r="E159" t="str">
            <v>1,8-dimethylnaphthalene</v>
          </cell>
          <cell r="I159">
            <v>156</v>
          </cell>
          <cell r="J159" t="e">
            <v>#DIV/0!</v>
          </cell>
          <cell r="K159">
            <v>4.32</v>
          </cell>
        </row>
        <row r="160">
          <cell r="B160">
            <v>-1559</v>
          </cell>
          <cell r="C160" t="e">
            <v>#N/A</v>
          </cell>
          <cell r="D160" t="str">
            <v>2,3,6-trimethylnaphthalene</v>
          </cell>
          <cell r="E160" t="str">
            <v>2,3,6-trimethylnaphthalene</v>
          </cell>
          <cell r="I160">
            <v>170</v>
          </cell>
          <cell r="J160" t="e">
            <v>#DIV/0!</v>
          </cell>
          <cell r="K160">
            <v>4.7300000000000004</v>
          </cell>
        </row>
        <row r="161">
          <cell r="B161">
            <v>-1560</v>
          </cell>
          <cell r="C161" t="e">
            <v>#N/A</v>
          </cell>
          <cell r="D161" t="str">
            <v>2,3,5-trimethylnaphthalene</v>
          </cell>
          <cell r="E161" t="str">
            <v>2,3,5-trimethylnaphthalene</v>
          </cell>
          <cell r="I161">
            <v>170</v>
          </cell>
          <cell r="J161" t="e">
            <v>#DIV/0!</v>
          </cell>
          <cell r="K161">
            <v>4.8099999999999996</v>
          </cell>
        </row>
        <row r="162">
          <cell r="B162">
            <v>-1561</v>
          </cell>
          <cell r="C162" t="e">
            <v>#N/A</v>
          </cell>
          <cell r="D162" t="str">
            <v>1,4,6,7-tetramethylnaphthalene</v>
          </cell>
          <cell r="E162" t="str">
            <v>1,4,6,7-tetramethylnaphthalene</v>
          </cell>
          <cell r="I162">
            <v>184</v>
          </cell>
          <cell r="J162" t="e">
            <v>#DIV/0!</v>
          </cell>
          <cell r="K162">
            <v>5.36</v>
          </cell>
        </row>
        <row r="163">
          <cell r="B163">
            <v>-1562</v>
          </cell>
          <cell r="C163" t="e">
            <v>#N/A</v>
          </cell>
          <cell r="D163" t="str">
            <v>1-methylfluorene</v>
          </cell>
          <cell r="E163" t="str">
            <v>1-methylfluorene</v>
          </cell>
          <cell r="I163">
            <v>180</v>
          </cell>
          <cell r="J163" t="e">
            <v>#DIV/0!</v>
          </cell>
          <cell r="K163">
            <v>4.97</v>
          </cell>
        </row>
        <row r="164">
          <cell r="B164">
            <v>-1563</v>
          </cell>
          <cell r="C164" t="e">
            <v>#N/A</v>
          </cell>
          <cell r="D164" t="str">
            <v>2-methylphenanthrene</v>
          </cell>
          <cell r="E164" t="str">
            <v>2-methylphenanthrene</v>
          </cell>
          <cell r="I164">
            <v>192</v>
          </cell>
          <cell r="J164" t="e">
            <v>#DIV/0!</v>
          </cell>
          <cell r="K164">
            <v>5.01</v>
          </cell>
        </row>
        <row r="165">
          <cell r="B165">
            <v>-1564</v>
          </cell>
          <cell r="C165" t="e">
            <v>#N/A</v>
          </cell>
          <cell r="D165" t="str">
            <v>2-methylanthracene</v>
          </cell>
          <cell r="E165" t="str">
            <v>2-methylanthracene</v>
          </cell>
          <cell r="I165">
            <v>192.15</v>
          </cell>
          <cell r="J165">
            <v>1.6610369145756172</v>
          </cell>
          <cell r="K165">
            <v>4.8499999999999996</v>
          </cell>
        </row>
        <row r="166">
          <cell r="B166">
            <v>-1565</v>
          </cell>
          <cell r="C166" t="e">
            <v>#N/A</v>
          </cell>
          <cell r="D166" t="str">
            <v>1-methylphenanthrene</v>
          </cell>
          <cell r="E166" t="str">
            <v>1-methylphenanthrene</v>
          </cell>
          <cell r="I166">
            <v>192</v>
          </cell>
          <cell r="J166" t="e">
            <v>#DIV/0!</v>
          </cell>
          <cell r="K166">
            <v>5.08</v>
          </cell>
        </row>
        <row r="167">
          <cell r="B167">
            <v>-1566</v>
          </cell>
          <cell r="C167" t="e">
            <v>#N/A</v>
          </cell>
          <cell r="D167" t="str">
            <v>9-methylanthracene</v>
          </cell>
          <cell r="E167" t="str">
            <v>9-methylanthracene</v>
          </cell>
          <cell r="I167">
            <v>192</v>
          </cell>
          <cell r="J167" t="e">
            <v>#DIV/0!</v>
          </cell>
          <cell r="K167">
            <v>5.07</v>
          </cell>
        </row>
        <row r="168">
          <cell r="B168">
            <v>-1567</v>
          </cell>
          <cell r="C168" t="e">
            <v>#N/A</v>
          </cell>
          <cell r="D168" t="str">
            <v>3,6-dimethylphenanthrene</v>
          </cell>
          <cell r="E168" t="str">
            <v>3,6-dimethylphenanthrene</v>
          </cell>
          <cell r="I168">
            <v>206.15</v>
          </cell>
          <cell r="J168">
            <v>0.6351835291996929</v>
          </cell>
          <cell r="K168">
            <v>5.17</v>
          </cell>
        </row>
        <row r="169">
          <cell r="B169">
            <v>-1568</v>
          </cell>
          <cell r="C169" t="e">
            <v>#N/A</v>
          </cell>
          <cell r="D169" t="str">
            <v>2-ethylanthracene</v>
          </cell>
          <cell r="E169" t="str">
            <v>2-ethylanthracene</v>
          </cell>
          <cell r="I169">
            <v>206</v>
          </cell>
          <cell r="J169" t="e">
            <v>#DIV/0!</v>
          </cell>
          <cell r="K169">
            <v>5.85</v>
          </cell>
        </row>
        <row r="170">
          <cell r="B170">
            <v>-1569</v>
          </cell>
          <cell r="C170" t="e">
            <v>#N/A</v>
          </cell>
          <cell r="D170" t="str">
            <v>9,10-dimethylanthracene</v>
          </cell>
          <cell r="E170" t="str">
            <v>9,10-dimethylanthracene</v>
          </cell>
          <cell r="I170">
            <v>206.15</v>
          </cell>
          <cell r="J170">
            <v>0.6351835291996929</v>
          </cell>
          <cell r="K170">
            <v>5.2949999999999999</v>
          </cell>
        </row>
        <row r="171">
          <cell r="B171">
            <v>-1570</v>
          </cell>
          <cell r="C171" t="e">
            <v>#N/A</v>
          </cell>
          <cell r="D171" t="str">
            <v>1-methylpyrene</v>
          </cell>
          <cell r="E171" t="str">
            <v>1-methylpyrene</v>
          </cell>
          <cell r="I171">
            <v>216</v>
          </cell>
          <cell r="J171" t="e">
            <v>#DIV/0!</v>
          </cell>
          <cell r="K171">
            <v>5.48</v>
          </cell>
        </row>
        <row r="172">
          <cell r="B172">
            <v>-1571</v>
          </cell>
          <cell r="C172" t="e">
            <v>#N/A</v>
          </cell>
          <cell r="D172" t="str">
            <v>7-methylbenz[a]anthracene</v>
          </cell>
          <cell r="E172" t="str">
            <v>7-methylbenz[a]anthracene</v>
          </cell>
          <cell r="I172">
            <v>242</v>
          </cell>
          <cell r="J172" t="e">
            <v>#DIV/0!</v>
          </cell>
          <cell r="K172">
            <v>6.07</v>
          </cell>
        </row>
        <row r="173">
          <cell r="B173">
            <v>-1572</v>
          </cell>
          <cell r="C173" t="e">
            <v>#N/A</v>
          </cell>
          <cell r="D173" t="str">
            <v>6-methylchrysene</v>
          </cell>
          <cell r="E173" t="str">
            <v>6-methylchrysene</v>
          </cell>
          <cell r="I173">
            <v>242</v>
          </cell>
          <cell r="J173" t="e">
            <v>#DIV/0!</v>
          </cell>
          <cell r="K173">
            <v>6.07</v>
          </cell>
        </row>
        <row r="174">
          <cell r="B174">
            <v>-1573</v>
          </cell>
          <cell r="C174" t="e">
            <v>#N/A</v>
          </cell>
          <cell r="D174" t="str">
            <v>7,12-dimethylbenz[a]anthracene</v>
          </cell>
          <cell r="E174" t="str">
            <v>7,12-dimethylbenz[a]anthracene</v>
          </cell>
          <cell r="I174">
            <v>256</v>
          </cell>
          <cell r="J174" t="e">
            <v>#DIV/0!</v>
          </cell>
          <cell r="K174">
            <v>6.62</v>
          </cell>
        </row>
        <row r="175">
          <cell r="B175">
            <v>-1574</v>
          </cell>
          <cell r="C175" t="e">
            <v>#N/A</v>
          </cell>
          <cell r="D175" t="str">
            <v>d10-fluorene</v>
          </cell>
          <cell r="E175" t="str">
            <v>d10-fluorene</v>
          </cell>
          <cell r="I175">
            <v>176</v>
          </cell>
          <cell r="J175" t="e">
            <v>#DIV/0!</v>
          </cell>
          <cell r="K175" t="e">
            <v>#DIV/0!</v>
          </cell>
        </row>
        <row r="176">
          <cell r="B176">
            <v>-1575</v>
          </cell>
          <cell r="C176" t="e">
            <v>#N/A</v>
          </cell>
          <cell r="D176" t="str">
            <v>d10-fluoranthene</v>
          </cell>
          <cell r="E176" t="str">
            <v>d10-fluoranthene</v>
          </cell>
          <cell r="I176">
            <v>212</v>
          </cell>
          <cell r="J176" t="e">
            <v>#DIV/0!</v>
          </cell>
          <cell r="K176" t="e">
            <v>#DIV/0!</v>
          </cell>
        </row>
        <row r="177">
          <cell r="B177">
            <v>-1576</v>
          </cell>
          <cell r="C177" t="e">
            <v>#N/A</v>
          </cell>
          <cell r="D177" t="str">
            <v>d12-perylene</v>
          </cell>
          <cell r="E177" t="str">
            <v>d12-perylene</v>
          </cell>
          <cell r="I177">
            <v>264</v>
          </cell>
          <cell r="J177" t="e">
            <v>#DIV/0!</v>
          </cell>
          <cell r="K177" t="e">
            <v>#DIV/0!</v>
          </cell>
        </row>
        <row r="178">
          <cell r="B178">
            <v>-1577</v>
          </cell>
          <cell r="D178" t="str">
            <v>PCB #1</v>
          </cell>
          <cell r="E178" t="str">
            <v>PCB #1</v>
          </cell>
          <cell r="I178" t="e">
            <v>#DIV/0!</v>
          </cell>
          <cell r="J178" t="e">
            <v>#DIV/0!</v>
          </cell>
          <cell r="K178">
            <v>4.46</v>
          </cell>
        </row>
        <row r="179">
          <cell r="B179">
            <v>-1578</v>
          </cell>
          <cell r="D179" t="str">
            <v>PCB #3</v>
          </cell>
          <cell r="E179" t="str">
            <v>PCB #3</v>
          </cell>
          <cell r="I179" t="e">
            <v>#DIV/0!</v>
          </cell>
          <cell r="J179" t="e">
            <v>#DIV/0!</v>
          </cell>
          <cell r="K179">
            <v>4.6900000000000004</v>
          </cell>
        </row>
        <row r="180">
          <cell r="B180">
            <v>-1579</v>
          </cell>
          <cell r="D180" t="str">
            <v>PCB #6</v>
          </cell>
          <cell r="E180" t="str">
            <v>PCB #6</v>
          </cell>
          <cell r="I180" t="e">
            <v>#DIV/0!</v>
          </cell>
          <cell r="J180" t="e">
            <v>#DIV/0!</v>
          </cell>
          <cell r="K180">
            <v>5.0599999999999996</v>
          </cell>
        </row>
        <row r="181">
          <cell r="B181">
            <v>-1580</v>
          </cell>
          <cell r="D181" t="str">
            <v>PCB #16</v>
          </cell>
          <cell r="E181" t="str">
            <v>PCB #16</v>
          </cell>
          <cell r="I181" t="e">
            <v>#DIV/0!</v>
          </cell>
          <cell r="J181" t="e">
            <v>#DIV/0!</v>
          </cell>
          <cell r="K181">
            <v>5.16</v>
          </cell>
        </row>
        <row r="182">
          <cell r="B182">
            <v>-1581</v>
          </cell>
          <cell r="D182" t="str">
            <v>PCB #18</v>
          </cell>
          <cell r="E182" t="str">
            <v>PCB #18</v>
          </cell>
          <cell r="I182">
            <v>257.5</v>
          </cell>
          <cell r="J182">
            <v>0.81428649749335691</v>
          </cell>
          <cell r="K182">
            <v>5.246666666666667</v>
          </cell>
        </row>
        <row r="183">
          <cell r="B183">
            <v>-1582</v>
          </cell>
          <cell r="D183" t="str">
            <v>PCB #22</v>
          </cell>
          <cell r="E183" t="str">
            <v>PCB #22</v>
          </cell>
          <cell r="I183" t="e">
            <v>#DIV/0!</v>
          </cell>
          <cell r="J183" t="e">
            <v>#DIV/0!</v>
          </cell>
          <cell r="K183">
            <v>5.58</v>
          </cell>
        </row>
        <row r="184">
          <cell r="B184">
            <v>-1583</v>
          </cell>
          <cell r="D184" t="str">
            <v>PCB #24</v>
          </cell>
          <cell r="E184" t="str">
            <v>PCB #24</v>
          </cell>
          <cell r="I184" t="e">
            <v>#DIV/0!</v>
          </cell>
          <cell r="J184" t="e">
            <v>#DIV/0!</v>
          </cell>
          <cell r="K184">
            <v>5.35</v>
          </cell>
        </row>
        <row r="185">
          <cell r="B185">
            <v>-1584</v>
          </cell>
          <cell r="D185" t="str">
            <v>PCB #25</v>
          </cell>
          <cell r="E185" t="str">
            <v>PCB #25</v>
          </cell>
          <cell r="I185" t="e">
            <v>#DIV/0!</v>
          </cell>
          <cell r="J185" t="e">
            <v>#DIV/0!</v>
          </cell>
          <cell r="K185">
            <v>5.67</v>
          </cell>
        </row>
        <row r="186">
          <cell r="B186">
            <v>-1585</v>
          </cell>
          <cell r="D186" t="str">
            <v>PCB #26</v>
          </cell>
          <cell r="E186" t="str">
            <v>PCB #26</v>
          </cell>
          <cell r="I186" t="e">
            <v>#DIV/0!</v>
          </cell>
          <cell r="J186" t="e">
            <v>#DIV/0!</v>
          </cell>
          <cell r="K186">
            <v>5.66</v>
          </cell>
        </row>
        <row r="187">
          <cell r="B187">
            <v>-1586</v>
          </cell>
          <cell r="D187" t="str">
            <v>PCB #27</v>
          </cell>
          <cell r="E187" t="str">
            <v>PCB #27</v>
          </cell>
          <cell r="I187" t="e">
            <v>#DIV/0!</v>
          </cell>
          <cell r="J187" t="e">
            <v>#DIV/0!</v>
          </cell>
          <cell r="K187">
            <v>5.44</v>
          </cell>
        </row>
        <row r="188">
          <cell r="B188">
            <v>-1587</v>
          </cell>
          <cell r="D188" t="str">
            <v>PCB #29</v>
          </cell>
          <cell r="E188" t="str">
            <v>PCB #29</v>
          </cell>
          <cell r="I188">
            <v>257.5</v>
          </cell>
          <cell r="J188">
            <v>0.32417329353699781</v>
          </cell>
          <cell r="K188">
            <v>5.6333333333333329</v>
          </cell>
        </row>
        <row r="189">
          <cell r="B189">
            <v>-1588</v>
          </cell>
          <cell r="D189" t="str">
            <v>PCB #32</v>
          </cell>
          <cell r="E189" t="str">
            <v>PCB #32</v>
          </cell>
          <cell r="I189" t="e">
            <v>#DIV/0!</v>
          </cell>
          <cell r="J189" t="e">
            <v>#DIV/0!</v>
          </cell>
          <cell r="K189">
            <v>5.44</v>
          </cell>
        </row>
        <row r="190">
          <cell r="B190">
            <v>-1589</v>
          </cell>
          <cell r="D190" t="str">
            <v>PCB #37</v>
          </cell>
          <cell r="E190" t="str">
            <v>PCB #37</v>
          </cell>
          <cell r="I190" t="e">
            <v>#DIV/0!</v>
          </cell>
          <cell r="J190" t="e">
            <v>#DIV/0!</v>
          </cell>
          <cell r="K190">
            <v>5.83</v>
          </cell>
        </row>
        <row r="191">
          <cell r="B191">
            <v>-1590</v>
          </cell>
          <cell r="D191" t="str">
            <v>PCB #40</v>
          </cell>
          <cell r="E191" t="str">
            <v>PCB #40</v>
          </cell>
          <cell r="I191" t="e">
            <v>#DIV/0!</v>
          </cell>
          <cell r="J191" t="e">
            <v>#DIV/0!</v>
          </cell>
          <cell r="K191">
            <v>5.66</v>
          </cell>
        </row>
        <row r="192">
          <cell r="B192">
            <v>-1591</v>
          </cell>
          <cell r="D192" t="str">
            <v>PCB #41</v>
          </cell>
          <cell r="E192" t="str">
            <v>PCB #41</v>
          </cell>
          <cell r="I192" t="e">
            <v>#DIV/0!</v>
          </cell>
          <cell r="J192" t="e">
            <v>#DIV/0!</v>
          </cell>
          <cell r="K192">
            <v>5.69</v>
          </cell>
        </row>
        <row r="193">
          <cell r="B193">
            <v>-1592</v>
          </cell>
          <cell r="D193" t="str">
            <v>PCB #42</v>
          </cell>
          <cell r="E193" t="str">
            <v>PCB #42</v>
          </cell>
          <cell r="I193" t="e">
            <v>#DIV/0!</v>
          </cell>
          <cell r="J193" t="e">
            <v>#DIV/0!</v>
          </cell>
          <cell r="K193">
            <v>5.76</v>
          </cell>
        </row>
        <row r="194">
          <cell r="B194">
            <v>-1593</v>
          </cell>
          <cell r="D194" t="str">
            <v>PCB #43</v>
          </cell>
          <cell r="E194" t="str">
            <v>PCB #43</v>
          </cell>
          <cell r="I194" t="e">
            <v>#DIV/0!</v>
          </cell>
          <cell r="J194" t="e">
            <v>#DIV/0!</v>
          </cell>
          <cell r="K194">
            <v>5.75</v>
          </cell>
        </row>
        <row r="195">
          <cell r="B195">
            <v>-1594</v>
          </cell>
          <cell r="D195" t="str">
            <v>PCB #44</v>
          </cell>
          <cell r="E195" t="str">
            <v>PCB #44</v>
          </cell>
          <cell r="I195">
            <v>292</v>
          </cell>
          <cell r="J195">
            <v>0.23194384453949005</v>
          </cell>
          <cell r="K195">
            <v>5.7833333333333341</v>
          </cell>
        </row>
        <row r="196">
          <cell r="B196">
            <v>-1595</v>
          </cell>
          <cell r="D196" t="str">
            <v>PCB #45</v>
          </cell>
          <cell r="E196" t="str">
            <v>PCB #45</v>
          </cell>
          <cell r="I196" t="e">
            <v>#DIV/0!</v>
          </cell>
          <cell r="J196" t="e">
            <v>#DIV/0!</v>
          </cell>
          <cell r="K196">
            <v>5.53</v>
          </cell>
        </row>
        <row r="197">
          <cell r="B197">
            <v>-1596</v>
          </cell>
          <cell r="D197" t="str">
            <v>PCB #46</v>
          </cell>
          <cell r="E197" t="str">
            <v>PCB #46</v>
          </cell>
          <cell r="I197" t="e">
            <v>#DIV/0!</v>
          </cell>
          <cell r="J197" t="e">
            <v>#DIV/0!</v>
          </cell>
          <cell r="K197">
            <v>5.53</v>
          </cell>
        </row>
        <row r="198">
          <cell r="B198">
            <v>-1597</v>
          </cell>
          <cell r="D198" t="str">
            <v>PCB #51</v>
          </cell>
          <cell r="E198" t="str">
            <v>PCB #51</v>
          </cell>
          <cell r="I198" t="e">
            <v>#DIV/0!</v>
          </cell>
          <cell r="J198" t="e">
            <v>#DIV/0!</v>
          </cell>
          <cell r="K198">
            <v>5.63</v>
          </cell>
        </row>
        <row r="199">
          <cell r="B199">
            <v>-1598</v>
          </cell>
          <cell r="D199" t="str">
            <v>PCB #56</v>
          </cell>
          <cell r="E199" t="str">
            <v>PCB #56</v>
          </cell>
          <cell r="I199">
            <v>292</v>
          </cell>
          <cell r="J199">
            <v>7.3347083800079663E-2</v>
          </cell>
          <cell r="K199">
            <v>6.1366666666666667</v>
          </cell>
        </row>
        <row r="200">
          <cell r="B200">
            <v>-1599</v>
          </cell>
          <cell r="D200" t="str">
            <v>PCB #60</v>
          </cell>
          <cell r="E200" t="str">
            <v>PCB #60</v>
          </cell>
          <cell r="I200" t="e">
            <v>#DIV/0!</v>
          </cell>
          <cell r="J200" t="e">
            <v>#DIV/0!</v>
          </cell>
          <cell r="K200">
            <v>6.11</v>
          </cell>
        </row>
        <row r="201">
          <cell r="B201">
            <v>-1600</v>
          </cell>
          <cell r="D201" t="str">
            <v>PCB #63</v>
          </cell>
          <cell r="E201" t="str">
            <v>PCB #63</v>
          </cell>
          <cell r="I201" t="e">
            <v>#DIV/0!</v>
          </cell>
          <cell r="J201" t="e">
            <v>#DIV/0!</v>
          </cell>
          <cell r="K201">
            <v>6.17</v>
          </cell>
        </row>
        <row r="202">
          <cell r="B202">
            <v>-1601</v>
          </cell>
          <cell r="D202" t="str">
            <v>PCB #64</v>
          </cell>
          <cell r="E202" t="str">
            <v>PCB #64</v>
          </cell>
          <cell r="I202" t="e">
            <v>#DIV/0!</v>
          </cell>
          <cell r="J202" t="e">
            <v>#DIV/0!</v>
          </cell>
          <cell r="K202">
            <v>5.95</v>
          </cell>
        </row>
        <row r="203">
          <cell r="B203">
            <v>-1602</v>
          </cell>
          <cell r="D203" t="str">
            <v>PCB #69</v>
          </cell>
          <cell r="E203" t="str">
            <v>PCB #69</v>
          </cell>
          <cell r="I203">
            <v>292</v>
          </cell>
          <cell r="J203">
            <v>9.2338507676916648E-2</v>
          </cell>
          <cell r="K203">
            <v>6.0466666666666669</v>
          </cell>
        </row>
        <row r="204">
          <cell r="B204">
            <v>-1603</v>
          </cell>
          <cell r="D204" t="str">
            <v>PCB #71</v>
          </cell>
          <cell r="E204" t="str">
            <v>PCB #71</v>
          </cell>
          <cell r="I204" t="e">
            <v>#DIV/0!</v>
          </cell>
          <cell r="J204" t="e">
            <v>#DIV/0!</v>
          </cell>
          <cell r="K204">
            <v>5.98</v>
          </cell>
        </row>
        <row r="205">
          <cell r="B205">
            <v>-1604</v>
          </cell>
          <cell r="D205" t="str">
            <v>PCB #74</v>
          </cell>
          <cell r="E205" t="str">
            <v>PCB #74</v>
          </cell>
          <cell r="I205">
            <v>292</v>
          </cell>
          <cell r="J205" t="e">
            <v>#DIV/0!</v>
          </cell>
          <cell r="K205">
            <v>6.2</v>
          </cell>
        </row>
        <row r="206">
          <cell r="B206">
            <v>-1605</v>
          </cell>
          <cell r="D206" t="str">
            <v>PCB #77</v>
          </cell>
          <cell r="E206" t="str">
            <v>PCB #77</v>
          </cell>
          <cell r="I206" t="e">
            <v>#DIV/0!</v>
          </cell>
          <cell r="J206" t="e">
            <v>#DIV/0!</v>
          </cell>
          <cell r="K206">
            <v>6.36</v>
          </cell>
        </row>
        <row r="207">
          <cell r="B207">
            <v>-1606</v>
          </cell>
          <cell r="D207" t="str">
            <v>PCB #81</v>
          </cell>
          <cell r="E207" t="str">
            <v>PCB #81</v>
          </cell>
          <cell r="I207" t="e">
            <v>#DIV/0!</v>
          </cell>
          <cell r="J207" t="e">
            <v>#DIV/0!</v>
          </cell>
          <cell r="K207">
            <v>6.36</v>
          </cell>
        </row>
        <row r="208">
          <cell r="B208">
            <v>-1607</v>
          </cell>
          <cell r="D208" t="str">
            <v>PCB #82</v>
          </cell>
          <cell r="E208" t="str">
            <v>PCB #82</v>
          </cell>
          <cell r="I208" t="e">
            <v>#DIV/0!</v>
          </cell>
          <cell r="J208" t="e">
            <v>#DIV/0!</v>
          </cell>
          <cell r="K208">
            <v>6.2</v>
          </cell>
        </row>
        <row r="209">
          <cell r="B209">
            <v>-1608</v>
          </cell>
          <cell r="D209" t="str">
            <v>PCB #83</v>
          </cell>
          <cell r="E209" t="str">
            <v>PCB #83</v>
          </cell>
          <cell r="I209" t="e">
            <v>#DIV/0!</v>
          </cell>
          <cell r="J209" t="e">
            <v>#DIV/0!</v>
          </cell>
          <cell r="K209">
            <v>6.26</v>
          </cell>
        </row>
        <row r="210">
          <cell r="B210">
            <v>-1609</v>
          </cell>
          <cell r="D210" t="str">
            <v>PCB #85</v>
          </cell>
          <cell r="E210" t="str">
            <v>PCB #85</v>
          </cell>
          <cell r="I210">
            <v>326.39999999999998</v>
          </cell>
          <cell r="J210">
            <v>5.1730913801930692E-2</v>
          </cell>
          <cell r="K210">
            <v>6.333333333333333</v>
          </cell>
        </row>
        <row r="211">
          <cell r="B211">
            <v>-1610</v>
          </cell>
          <cell r="D211" t="str">
            <v>PCB #87</v>
          </cell>
          <cell r="E211" t="str">
            <v>PCB #87</v>
          </cell>
          <cell r="I211">
            <v>326.39999999999998</v>
          </cell>
          <cell r="J211">
            <v>5.1730913801930692E-2</v>
          </cell>
          <cell r="K211">
            <v>6.3299999999999992</v>
          </cell>
        </row>
        <row r="212">
          <cell r="B212">
            <v>-1611</v>
          </cell>
          <cell r="D212" t="str">
            <v>PCB #89</v>
          </cell>
          <cell r="E212" t="str">
            <v>PCB #89</v>
          </cell>
          <cell r="I212" t="e">
            <v>#DIV/0!</v>
          </cell>
          <cell r="J212" t="e">
            <v>#DIV/0!</v>
          </cell>
          <cell r="K212">
            <v>6.07</v>
          </cell>
        </row>
        <row r="213">
          <cell r="B213">
            <v>-1612</v>
          </cell>
          <cell r="D213" t="str">
            <v>PCB #91</v>
          </cell>
          <cell r="E213" t="str">
            <v>PCB #91</v>
          </cell>
          <cell r="I213" t="e">
            <v>#DIV/0!</v>
          </cell>
          <cell r="J213" t="e">
            <v>#DIV/0!</v>
          </cell>
          <cell r="K213">
            <v>6.13</v>
          </cell>
        </row>
        <row r="214">
          <cell r="B214">
            <v>-1613</v>
          </cell>
          <cell r="D214" t="str">
            <v>PCB #97</v>
          </cell>
          <cell r="E214" t="str">
            <v>PCB #97</v>
          </cell>
          <cell r="I214">
            <v>326.39999999999998</v>
          </cell>
          <cell r="J214">
            <v>5.1730913801930692E-2</v>
          </cell>
          <cell r="K214">
            <v>6.3299999999999992</v>
          </cell>
        </row>
        <row r="215">
          <cell r="B215">
            <v>-1614</v>
          </cell>
          <cell r="D215" t="str">
            <v>PCB #99</v>
          </cell>
          <cell r="E215" t="str">
            <v>PCB #99</v>
          </cell>
          <cell r="I215" t="e">
            <v>#DIV/0!</v>
          </cell>
          <cell r="J215" t="e">
            <v>#DIV/0!</v>
          </cell>
          <cell r="K215">
            <v>6.39</v>
          </cell>
        </row>
        <row r="216">
          <cell r="B216">
            <v>-1615</v>
          </cell>
          <cell r="D216" t="str">
            <v>PCB #100</v>
          </cell>
          <cell r="E216" t="str">
            <v>PCB #100</v>
          </cell>
          <cell r="I216" t="e">
            <v>#DIV/0!</v>
          </cell>
          <cell r="J216" t="e">
            <v>#DIV/0!</v>
          </cell>
          <cell r="K216">
            <v>6.23</v>
          </cell>
        </row>
        <row r="217">
          <cell r="B217">
            <v>-1616</v>
          </cell>
          <cell r="D217" t="str">
            <v>PCB #101</v>
          </cell>
          <cell r="E217" t="str">
            <v>PCB #101</v>
          </cell>
          <cell r="I217">
            <v>326.39999999999998</v>
          </cell>
          <cell r="J217">
            <v>3.2640000000000002E-2</v>
          </cell>
          <cell r="K217">
            <v>6.3933333333333335</v>
          </cell>
        </row>
        <row r="218">
          <cell r="B218">
            <v>-1617</v>
          </cell>
          <cell r="D218" t="str">
            <v>PCB #103</v>
          </cell>
          <cell r="E218" t="str">
            <v>PCB #103</v>
          </cell>
          <cell r="I218" t="e">
            <v>#DIV/0!</v>
          </cell>
          <cell r="J218" t="e">
            <v>#DIV/0!</v>
          </cell>
          <cell r="K218">
            <v>6.22</v>
          </cell>
        </row>
        <row r="219">
          <cell r="B219">
            <v>-1618</v>
          </cell>
          <cell r="D219" t="str">
            <v>PCB #105</v>
          </cell>
          <cell r="E219" t="str">
            <v>PCB #105</v>
          </cell>
          <cell r="I219">
            <v>326.39999999999998</v>
          </cell>
          <cell r="J219">
            <v>2.5926873581400549E-2</v>
          </cell>
          <cell r="K219">
            <v>6.7166666666666659</v>
          </cell>
        </row>
        <row r="220">
          <cell r="B220">
            <v>-1619</v>
          </cell>
          <cell r="D220" t="str">
            <v>PCB #107</v>
          </cell>
          <cell r="E220" t="str">
            <v>PCB #107</v>
          </cell>
          <cell r="I220" t="e">
            <v>#DIV/0!</v>
          </cell>
          <cell r="J220" t="e">
            <v>#DIV/0!</v>
          </cell>
          <cell r="K220">
            <v>6.71</v>
          </cell>
        </row>
        <row r="221">
          <cell r="B221">
            <v>-1620</v>
          </cell>
          <cell r="D221" t="str">
            <v>PCB #110</v>
          </cell>
          <cell r="E221" t="str">
            <v>PCB #110</v>
          </cell>
          <cell r="I221">
            <v>326.39999999999998</v>
          </cell>
          <cell r="J221">
            <v>3.2640000000000002E-2</v>
          </cell>
          <cell r="K221">
            <v>6.5266666666666664</v>
          </cell>
        </row>
        <row r="222">
          <cell r="B222">
            <v>-1621</v>
          </cell>
          <cell r="D222" t="str">
            <v>PCB #118</v>
          </cell>
          <cell r="E222" t="str">
            <v>PCB #118</v>
          </cell>
          <cell r="I222">
            <v>326.39999999999998</v>
          </cell>
          <cell r="J222">
            <v>2.5926873581400549E-2</v>
          </cell>
          <cell r="K222">
            <v>6.7133333333333338</v>
          </cell>
        </row>
        <row r="223">
          <cell r="B223">
            <v>-1622</v>
          </cell>
          <cell r="D223" t="str">
            <v>PCB #119</v>
          </cell>
          <cell r="E223" t="str">
            <v>PCB #119</v>
          </cell>
          <cell r="I223" t="e">
            <v>#DIV/0!</v>
          </cell>
          <cell r="J223" t="e">
            <v>#DIV/0!</v>
          </cell>
          <cell r="K223">
            <v>6.58</v>
          </cell>
        </row>
        <row r="224">
          <cell r="B224">
            <v>-1623</v>
          </cell>
          <cell r="D224" t="str">
            <v>PCB #128</v>
          </cell>
          <cell r="E224" t="str">
            <v>PCB #128</v>
          </cell>
          <cell r="I224">
            <v>360.9</v>
          </cell>
          <cell r="J224">
            <v>1.808784726160826E-2</v>
          </cell>
          <cell r="K224">
            <v>6.746666666666667</v>
          </cell>
        </row>
        <row r="225">
          <cell r="B225">
            <v>-1624</v>
          </cell>
          <cell r="D225" t="str">
            <v>PCB #132</v>
          </cell>
          <cell r="E225" t="str">
            <v>PCB #132</v>
          </cell>
          <cell r="I225" t="e">
            <v>#DIV/0!</v>
          </cell>
          <cell r="J225" t="e">
            <v>#DIV/0!</v>
          </cell>
          <cell r="K225">
            <v>6.58</v>
          </cell>
        </row>
        <row r="226">
          <cell r="B226">
            <v>-1625</v>
          </cell>
          <cell r="D226" t="str">
            <v>PCB #134</v>
          </cell>
          <cell r="E226" t="str">
            <v>PCB #134</v>
          </cell>
          <cell r="I226" t="e">
            <v>#DIV/0!</v>
          </cell>
          <cell r="J226" t="e">
            <v>#DIV/0!</v>
          </cell>
          <cell r="K226">
            <v>6.55</v>
          </cell>
        </row>
        <row r="227">
          <cell r="B227">
            <v>-1626</v>
          </cell>
          <cell r="D227" t="str">
            <v>PCB #135</v>
          </cell>
          <cell r="E227" t="str">
            <v>PCB #135</v>
          </cell>
          <cell r="I227" t="e">
            <v>#DIV/0!</v>
          </cell>
          <cell r="J227" t="e">
            <v>#DIV/0!</v>
          </cell>
          <cell r="K227">
            <v>6.64</v>
          </cell>
        </row>
        <row r="228">
          <cell r="B228">
            <v>-1627</v>
          </cell>
          <cell r="D228" t="str">
            <v>PCB #136</v>
          </cell>
          <cell r="E228" t="str">
            <v>PCB #136</v>
          </cell>
          <cell r="I228" t="e">
            <v>#DIV/0!</v>
          </cell>
          <cell r="J228" t="e">
            <v>#DIV/0!</v>
          </cell>
          <cell r="K228">
            <v>6.22</v>
          </cell>
        </row>
        <row r="229">
          <cell r="B229">
            <v>-1628</v>
          </cell>
          <cell r="D229" t="str">
            <v>PCB #138</v>
          </cell>
          <cell r="E229" t="str">
            <v>PCB #138</v>
          </cell>
          <cell r="I229">
            <v>360.9</v>
          </cell>
          <cell r="J229">
            <v>7.2009016947226761E-3</v>
          </cell>
          <cell r="K229">
            <v>6.9433333333333325</v>
          </cell>
        </row>
        <row r="230">
          <cell r="B230">
            <v>-1629</v>
          </cell>
          <cell r="D230" t="str">
            <v>PCB #141</v>
          </cell>
          <cell r="E230" t="str">
            <v>PCB #141</v>
          </cell>
          <cell r="I230">
            <v>360.9</v>
          </cell>
          <cell r="J230">
            <v>1.4367687785275682E-2</v>
          </cell>
          <cell r="K230">
            <v>6.84</v>
          </cell>
        </row>
        <row r="231">
          <cell r="B231">
            <v>-1630</v>
          </cell>
          <cell r="D231" t="str">
            <v>PCB #146</v>
          </cell>
          <cell r="E231" t="str">
            <v>PCB #146</v>
          </cell>
          <cell r="I231" t="e">
            <v>#DIV/0!</v>
          </cell>
          <cell r="J231" t="e">
            <v>#DIV/0!</v>
          </cell>
          <cell r="K231">
            <v>6.89</v>
          </cell>
        </row>
        <row r="232">
          <cell r="B232">
            <v>-1631</v>
          </cell>
          <cell r="D232" t="str">
            <v>PCB #151</v>
          </cell>
          <cell r="E232" t="str">
            <v>PCB #151</v>
          </cell>
          <cell r="I232">
            <v>360.9</v>
          </cell>
          <cell r="J232">
            <v>2.2771250562290155E-2</v>
          </cell>
          <cell r="K232">
            <v>6.6466666666666674</v>
          </cell>
        </row>
        <row r="233">
          <cell r="B233">
            <v>-1632</v>
          </cell>
          <cell r="D233" t="str">
            <v>PCB #153</v>
          </cell>
          <cell r="E233" t="str">
            <v>PCB #153</v>
          </cell>
          <cell r="I233">
            <v>360.9</v>
          </cell>
          <cell r="J233">
            <v>1.1412660075547663E-2</v>
          </cell>
          <cell r="K233">
            <v>6.9066666666666663</v>
          </cell>
        </row>
        <row r="234">
          <cell r="B234">
            <v>-1633</v>
          </cell>
          <cell r="D234" t="str">
            <v>PCB #155</v>
          </cell>
          <cell r="E234" t="str">
            <v>PCB #155</v>
          </cell>
          <cell r="I234">
            <v>360.9</v>
          </cell>
          <cell r="J234">
            <v>1.1412660075547663E-2</v>
          </cell>
          <cell r="K234">
            <v>6.6700000000000008</v>
          </cell>
        </row>
        <row r="235">
          <cell r="B235">
            <v>-1634</v>
          </cell>
          <cell r="D235" t="str">
            <v>PCB #156</v>
          </cell>
          <cell r="E235" t="str">
            <v>PCB #156</v>
          </cell>
          <cell r="I235">
            <v>360.9</v>
          </cell>
          <cell r="J235">
            <v>5.7198795315921572E-3</v>
          </cell>
          <cell r="K235">
            <v>7.2266666666666666</v>
          </cell>
        </row>
        <row r="236">
          <cell r="B236">
            <v>-1635</v>
          </cell>
          <cell r="D236" t="str">
            <v>PCB #158</v>
          </cell>
          <cell r="E236" t="str">
            <v>PCB #158</v>
          </cell>
          <cell r="I236" t="e">
            <v>#DIV/0!</v>
          </cell>
          <cell r="J236" t="e">
            <v>#DIV/0!</v>
          </cell>
          <cell r="K236">
            <v>7.02</v>
          </cell>
        </row>
        <row r="237">
          <cell r="B237">
            <v>-1636</v>
          </cell>
          <cell r="D237" t="str">
            <v>PCB #163</v>
          </cell>
          <cell r="E237" t="str">
            <v>PCB #163</v>
          </cell>
          <cell r="I237" t="e">
            <v>#DIV/0!</v>
          </cell>
          <cell r="J237" t="e">
            <v>#DIV/0!</v>
          </cell>
          <cell r="K237">
            <v>6.99</v>
          </cell>
        </row>
        <row r="238">
          <cell r="B238">
            <v>-1637</v>
          </cell>
          <cell r="D238" t="str">
            <v>PCB #171</v>
          </cell>
          <cell r="E238" t="str">
            <v>PCB #171</v>
          </cell>
          <cell r="I238" t="e">
            <v>#DIV/0!</v>
          </cell>
          <cell r="J238" t="e">
            <v>#DIV/0!</v>
          </cell>
          <cell r="K238">
            <v>7.11</v>
          </cell>
        </row>
        <row r="239">
          <cell r="B239">
            <v>-1638</v>
          </cell>
          <cell r="D239" t="str">
            <v>PCB #172</v>
          </cell>
          <cell r="E239" t="str">
            <v>PCB #172</v>
          </cell>
          <cell r="I239" t="e">
            <v>#DIV/0!</v>
          </cell>
          <cell r="J239" t="e">
            <v>#DIV/0!</v>
          </cell>
          <cell r="K239">
            <v>7.33</v>
          </cell>
        </row>
        <row r="240">
          <cell r="B240">
            <v>-1639</v>
          </cell>
          <cell r="D240" t="str">
            <v>PCB #174</v>
          </cell>
          <cell r="E240" t="str">
            <v>PCB #174</v>
          </cell>
          <cell r="I240" t="e">
            <v>#DIV/0!</v>
          </cell>
          <cell r="J240" t="e">
            <v>#DIV/0!</v>
          </cell>
          <cell r="K240">
            <v>7.11</v>
          </cell>
        </row>
        <row r="241">
          <cell r="B241">
            <v>-1640</v>
          </cell>
          <cell r="D241" t="str">
            <v>PCB #177</v>
          </cell>
          <cell r="E241" t="str">
            <v>PCB #177</v>
          </cell>
          <cell r="I241" t="e">
            <v>#DIV/0!</v>
          </cell>
          <cell r="J241" t="e">
            <v>#DIV/0!</v>
          </cell>
          <cell r="K241">
            <v>7.08</v>
          </cell>
        </row>
        <row r="242">
          <cell r="B242">
            <v>-1641</v>
          </cell>
          <cell r="D242" t="str">
            <v>PCB #178</v>
          </cell>
          <cell r="E242" t="str">
            <v>PCB #178</v>
          </cell>
          <cell r="I242" t="e">
            <v>#DIV/0!</v>
          </cell>
          <cell r="J242" t="e">
            <v>#DIV/0!</v>
          </cell>
          <cell r="K242">
            <v>7.14</v>
          </cell>
        </row>
        <row r="243">
          <cell r="B243">
            <v>-1642</v>
          </cell>
          <cell r="D243" t="str">
            <v>PCB #180</v>
          </cell>
          <cell r="E243" t="str">
            <v>PCB #180</v>
          </cell>
          <cell r="I243" t="e">
            <v>#DIV/0!</v>
          </cell>
          <cell r="J243" t="e">
            <v>#DIV/0!</v>
          </cell>
          <cell r="K243">
            <v>7.36</v>
          </cell>
        </row>
        <row r="244">
          <cell r="B244">
            <v>-1643</v>
          </cell>
          <cell r="D244" t="str">
            <v>PCB #183</v>
          </cell>
          <cell r="E244" t="str">
            <v>PCB #183</v>
          </cell>
          <cell r="I244" t="e">
            <v>#DIV/0!</v>
          </cell>
          <cell r="J244" t="e">
            <v>#DIV/0!</v>
          </cell>
          <cell r="K244">
            <v>7.2</v>
          </cell>
        </row>
        <row r="245">
          <cell r="B245">
            <v>-1644</v>
          </cell>
          <cell r="D245" t="str">
            <v>PCB #185</v>
          </cell>
          <cell r="E245" t="str">
            <v>PCB #185</v>
          </cell>
          <cell r="I245" t="e">
            <v>#DIV/0!</v>
          </cell>
          <cell r="J245" t="e">
            <v>#DIV/0!</v>
          </cell>
          <cell r="K245">
            <v>7.11</v>
          </cell>
        </row>
        <row r="246">
          <cell r="B246">
            <v>-1645</v>
          </cell>
          <cell r="D246" t="str">
            <v>PCB #192</v>
          </cell>
          <cell r="E246" t="str">
            <v>PCB #192</v>
          </cell>
          <cell r="I246" t="e">
            <v>#DIV/0!</v>
          </cell>
          <cell r="J246" t="e">
            <v>#DIV/0!</v>
          </cell>
          <cell r="K246">
            <v>7.52</v>
          </cell>
        </row>
        <row r="247">
          <cell r="B247">
            <v>-1646</v>
          </cell>
          <cell r="D247" t="str">
            <v>PCB #194</v>
          </cell>
          <cell r="E247" t="str">
            <v>PCB #194</v>
          </cell>
          <cell r="I247">
            <v>429.8</v>
          </cell>
          <cell r="J247" t="e">
            <v>#DIV/0!</v>
          </cell>
          <cell r="K247">
            <v>7.8</v>
          </cell>
        </row>
        <row r="248">
          <cell r="B248">
            <v>-1647</v>
          </cell>
          <cell r="D248" t="str">
            <v>PCB #195</v>
          </cell>
          <cell r="E248" t="str">
            <v>PCB #195</v>
          </cell>
          <cell r="I248" t="e">
            <v>#DIV/0!</v>
          </cell>
          <cell r="J248" t="e">
            <v>#DIV/0!</v>
          </cell>
          <cell r="K248">
            <v>7.56</v>
          </cell>
        </row>
        <row r="249">
          <cell r="B249">
            <v>-1648</v>
          </cell>
          <cell r="D249" t="str">
            <v>PCB #197</v>
          </cell>
          <cell r="E249" t="str">
            <v>PCB #197</v>
          </cell>
          <cell r="I249" t="e">
            <v>#DIV/0!</v>
          </cell>
          <cell r="J249" t="e">
            <v>#DIV/0!</v>
          </cell>
          <cell r="K249">
            <v>7.3</v>
          </cell>
        </row>
        <row r="250">
          <cell r="B250">
            <v>-1649</v>
          </cell>
          <cell r="D250" t="str">
            <v>PCB #199</v>
          </cell>
          <cell r="E250" t="str">
            <v>PCB #199</v>
          </cell>
          <cell r="I250" t="e">
            <v>#DIV/0!</v>
          </cell>
          <cell r="J250" t="e">
            <v>#DIV/0!</v>
          </cell>
          <cell r="K250">
            <v>7.2</v>
          </cell>
        </row>
        <row r="251">
          <cell r="B251">
            <v>-1650</v>
          </cell>
          <cell r="D251" t="str">
            <v>PCB #201</v>
          </cell>
          <cell r="E251" t="str">
            <v>PCB #201</v>
          </cell>
          <cell r="I251" t="e">
            <v>#DIV/0!</v>
          </cell>
          <cell r="J251" t="e">
            <v>#DIV/0!</v>
          </cell>
          <cell r="K251">
            <v>7.62</v>
          </cell>
        </row>
        <row r="252">
          <cell r="B252">
            <v>-1651</v>
          </cell>
          <cell r="D252" t="str">
            <v>PCB #202</v>
          </cell>
          <cell r="E252" t="str">
            <v>PCB #202</v>
          </cell>
          <cell r="I252" t="e">
            <v>#DIV/0!</v>
          </cell>
          <cell r="J252" t="e">
            <v>#DIV/0!</v>
          </cell>
          <cell r="K252">
            <v>7.24</v>
          </cell>
        </row>
        <row r="253">
          <cell r="B253">
            <v>-1652</v>
          </cell>
          <cell r="D253" t="str">
            <v>PCB #205</v>
          </cell>
          <cell r="E253" t="str">
            <v>PCB #205</v>
          </cell>
          <cell r="I253" t="e">
            <v>#DIV/0!</v>
          </cell>
          <cell r="J253" t="e">
            <v>#DIV/0!</v>
          </cell>
          <cell r="K253">
            <v>8</v>
          </cell>
        </row>
        <row r="254">
          <cell r="B254">
            <v>-1653</v>
          </cell>
          <cell r="D254" t="str">
            <v>PCB #206</v>
          </cell>
          <cell r="E254" t="str">
            <v>PCB #206</v>
          </cell>
          <cell r="I254" t="e">
            <v>#DIV/0!</v>
          </cell>
          <cell r="J254" t="e">
            <v>#DIV/0!</v>
          </cell>
          <cell r="K254">
            <v>8.09</v>
          </cell>
        </row>
        <row r="255">
          <cell r="B255">
            <v>-1654</v>
          </cell>
          <cell r="D255" t="str">
            <v>PCB #207</v>
          </cell>
          <cell r="E255" t="str">
            <v>PCB #207</v>
          </cell>
          <cell r="I255" t="e">
            <v>#DIV/0!</v>
          </cell>
          <cell r="J255" t="e">
            <v>#DIV/0!</v>
          </cell>
          <cell r="K255">
            <v>7.74</v>
          </cell>
        </row>
        <row r="256">
          <cell r="B256">
            <v>-1655</v>
          </cell>
          <cell r="D256" t="str">
            <v>PCB #208</v>
          </cell>
          <cell r="E256" t="str">
            <v>PCB #208</v>
          </cell>
          <cell r="I256" t="e">
            <v>#DIV/0!</v>
          </cell>
          <cell r="J256" t="e">
            <v>#DIV/0!</v>
          </cell>
          <cell r="K256">
            <v>7.71</v>
          </cell>
        </row>
        <row r="257">
          <cell r="B257">
            <v>-1656</v>
          </cell>
          <cell r="D257" t="str">
            <v>Propionitrile</v>
          </cell>
          <cell r="E257" t="str">
            <v>Propionitrile</v>
          </cell>
          <cell r="H257" t="str">
            <v>107-12-0</v>
          </cell>
          <cell r="I257">
            <v>55.08</v>
          </cell>
          <cell r="J257">
            <v>103000</v>
          </cell>
          <cell r="K257">
            <v>0.16</v>
          </cell>
        </row>
        <row r="258">
          <cell r="B258">
            <v>-1657</v>
          </cell>
          <cell r="D258" t="str">
            <v xml:space="preserve">1,4-Dioxane {p-dioxane} </v>
          </cell>
          <cell r="E258" t="str">
            <v xml:space="preserve">1,4-Dioxane </v>
          </cell>
          <cell r="F258" t="str">
            <v>p-dioxane</v>
          </cell>
          <cell r="H258" t="str">
            <v>123-91-1</v>
          </cell>
          <cell r="I258">
            <v>88.11</v>
          </cell>
          <cell r="J258">
            <v>1000000</v>
          </cell>
          <cell r="K258">
            <v>-0.27</v>
          </cell>
        </row>
        <row r="259">
          <cell r="B259">
            <v>-1658</v>
          </cell>
          <cell r="D259" t="str">
            <v>Hexene</v>
          </cell>
          <cell r="E259" t="str">
            <v>Hexene</v>
          </cell>
          <cell r="H259" t="str">
            <v>25264-93-1</v>
          </cell>
          <cell r="I259">
            <v>84.16</v>
          </cell>
          <cell r="J259">
            <v>50</v>
          </cell>
          <cell r="K259">
            <v>3.07</v>
          </cell>
        </row>
        <row r="260">
          <cell r="B260">
            <v>-1659</v>
          </cell>
          <cell r="D260" t="str">
            <v>Heptanol</v>
          </cell>
          <cell r="E260" t="str">
            <v>Heptanol</v>
          </cell>
          <cell r="H260" t="str">
            <v>53535-33-4</v>
          </cell>
          <cell r="I260">
            <v>116.21</v>
          </cell>
          <cell r="J260">
            <v>1940</v>
          </cell>
          <cell r="K260">
            <v>2.62</v>
          </cell>
        </row>
        <row r="261">
          <cell r="B261">
            <v>-1660</v>
          </cell>
          <cell r="D261" t="str">
            <v>2,3-Benzopyrole (Indole)</v>
          </cell>
          <cell r="E261" t="str">
            <v>2,3-Benzopyrole</v>
          </cell>
          <cell r="F261" t="str">
            <v>Indole</v>
          </cell>
          <cell r="I261">
            <v>117</v>
          </cell>
          <cell r="J261" t="e">
            <v>#DIV/0!</v>
          </cell>
          <cell r="K261" t="e">
            <v>#DIV/0!</v>
          </cell>
        </row>
        <row r="262">
          <cell r="B262">
            <v>-1661</v>
          </cell>
          <cell r="D262" t="str">
            <v>2-Phenly-ehtyl-alcohol</v>
          </cell>
          <cell r="E262" t="str">
            <v>2-Phenly-ehtyl-alcohol</v>
          </cell>
          <cell r="I262">
            <v>122</v>
          </cell>
          <cell r="J262" t="e">
            <v>#DIV/0!</v>
          </cell>
          <cell r="K262" t="e">
            <v>#DIV/0!</v>
          </cell>
        </row>
        <row r="263">
          <cell r="B263">
            <v>-1662</v>
          </cell>
          <cell r="D263" t="str">
            <v>3-Octene-2-one</v>
          </cell>
          <cell r="E263" t="str">
            <v>3-Octene-2-one</v>
          </cell>
          <cell r="I263">
            <v>126</v>
          </cell>
          <cell r="J263" t="e">
            <v>#DIV/0!</v>
          </cell>
          <cell r="K263" t="e">
            <v>#DIV/0!</v>
          </cell>
        </row>
        <row r="264">
          <cell r="B264">
            <v>-1663</v>
          </cell>
          <cell r="D264" t="str">
            <v>n-Octanal</v>
          </cell>
          <cell r="E264" t="str">
            <v>n-Octanal</v>
          </cell>
          <cell r="I264">
            <v>128</v>
          </cell>
          <cell r="J264" t="e">
            <v>#DIV/0!</v>
          </cell>
          <cell r="K264" t="e">
            <v>#DIV/0!</v>
          </cell>
        </row>
        <row r="265">
          <cell r="B265">
            <v>-1664</v>
          </cell>
          <cell r="D265" t="str">
            <v>4-Isopropyl-tuluene</v>
          </cell>
          <cell r="E265" t="str">
            <v>4-Isopropyl-tuluene</v>
          </cell>
          <cell r="I265">
            <v>134</v>
          </cell>
          <cell r="J265" t="e">
            <v>#DIV/0!</v>
          </cell>
          <cell r="K265" t="e">
            <v>#DIV/0!</v>
          </cell>
        </row>
        <row r="266">
          <cell r="B266">
            <v>-1665</v>
          </cell>
          <cell r="D266" t="str">
            <v>4-Isopropenyl-1-methyl-1-cyclohexene (Limonene)</v>
          </cell>
          <cell r="E266" t="str">
            <v>4-Isopropenyl-1-methyl-1-cyclohexene</v>
          </cell>
          <cell r="F266" t="str">
            <v>Limonene</v>
          </cell>
          <cell r="I266">
            <v>136</v>
          </cell>
          <cell r="J266" t="e">
            <v>#DIV/0!</v>
          </cell>
          <cell r="K266" t="e">
            <v>#DIV/0!</v>
          </cell>
        </row>
        <row r="267">
          <cell r="B267">
            <v>-1666</v>
          </cell>
          <cell r="D267" t="str">
            <v>3-Phenyl-1-propanol</v>
          </cell>
          <cell r="E267" t="str">
            <v>3-Phenyl-1-propanol</v>
          </cell>
          <cell r="I267">
            <v>136</v>
          </cell>
          <cell r="J267" t="e">
            <v>#DIV/0!</v>
          </cell>
          <cell r="K267" t="e">
            <v>#DIV/0!</v>
          </cell>
        </row>
        <row r="268">
          <cell r="B268">
            <v>-1667</v>
          </cell>
          <cell r="D268" t="str">
            <v>n-Nonanal</v>
          </cell>
          <cell r="E268" t="str">
            <v>n-Nonanal</v>
          </cell>
          <cell r="I268">
            <v>142</v>
          </cell>
          <cell r="J268" t="e">
            <v>#DIV/0!</v>
          </cell>
          <cell r="K268" t="e">
            <v>#DIV/0!</v>
          </cell>
        </row>
        <row r="269">
          <cell r="B269">
            <v>-1668</v>
          </cell>
          <cell r="D269" t="str">
            <v>7-Methyl-chinoline</v>
          </cell>
          <cell r="E269" t="str">
            <v>7-Methyl-chinoline</v>
          </cell>
          <cell r="I269">
            <v>143</v>
          </cell>
          <cell r="J269" t="e">
            <v>#DIV/0!</v>
          </cell>
          <cell r="K269" t="e">
            <v>#DIV/0!</v>
          </cell>
        </row>
        <row r="270">
          <cell r="B270">
            <v>-1669</v>
          </cell>
          <cell r="D270" t="str">
            <v>2,3,5,6,-Tetramethyl-phenol</v>
          </cell>
          <cell r="E270" t="str">
            <v>2,3,5,6,-Tetramethyl-phenol</v>
          </cell>
          <cell r="I270">
            <v>150</v>
          </cell>
          <cell r="J270" t="e">
            <v>#DIV/0!</v>
          </cell>
          <cell r="K270" t="e">
            <v>#DIV/0!</v>
          </cell>
        </row>
        <row r="271">
          <cell r="B271">
            <v>-1670</v>
          </cell>
          <cell r="D271" t="str">
            <v>Dimethyl-benzyl-carbinol</v>
          </cell>
          <cell r="E271" t="str">
            <v>Dimethyl-benzyl-carbinol</v>
          </cell>
          <cell r="I271">
            <v>150</v>
          </cell>
          <cell r="J271" t="e">
            <v>#DIV/0!</v>
          </cell>
          <cell r="K271" t="e">
            <v>#DIV/0!</v>
          </cell>
        </row>
        <row r="272">
          <cell r="B272">
            <v>-1671</v>
          </cell>
          <cell r="D272" t="str">
            <v>3,7-Dimethyl-6-octene-al</v>
          </cell>
          <cell r="E272" t="str">
            <v>3,7-Dimethyl-6-octene-al</v>
          </cell>
          <cell r="I272">
            <v>154</v>
          </cell>
          <cell r="J272" t="e">
            <v>#DIV/0!</v>
          </cell>
          <cell r="K272" t="e">
            <v>#DIV/0!</v>
          </cell>
        </row>
        <row r="273">
          <cell r="B273">
            <v>-1672</v>
          </cell>
          <cell r="D273" t="str">
            <v>n-Decanal</v>
          </cell>
          <cell r="E273" t="str">
            <v>n-Decanal</v>
          </cell>
          <cell r="I273">
            <v>156</v>
          </cell>
          <cell r="J273" t="e">
            <v>#DIV/0!</v>
          </cell>
          <cell r="K273" t="e">
            <v>#DIV/0!</v>
          </cell>
        </row>
        <row r="274">
          <cell r="B274">
            <v>-1673</v>
          </cell>
          <cell r="D274" t="str">
            <v>3,7-Dimehtyl-octane-3-ol</v>
          </cell>
          <cell r="E274" t="str">
            <v>3,7-Dimehtyl-octane-3-ol</v>
          </cell>
          <cell r="I274">
            <v>158</v>
          </cell>
          <cell r="J274" t="e">
            <v>#DIV/0!</v>
          </cell>
          <cell r="K274" t="e">
            <v>#DIV/0!</v>
          </cell>
        </row>
        <row r="275">
          <cell r="B275">
            <v>-1674</v>
          </cell>
          <cell r="D275" t="str">
            <v>2-Methoxy-4-propenyl-phenol</v>
          </cell>
          <cell r="E275" t="str">
            <v>2-Methoxy-4-propenyl-phenol</v>
          </cell>
          <cell r="I275">
            <v>164</v>
          </cell>
          <cell r="J275" t="e">
            <v>#DIV/0!</v>
          </cell>
          <cell r="K275" t="e">
            <v>#DIV/0!</v>
          </cell>
        </row>
        <row r="276">
          <cell r="B276">
            <v>-1675</v>
          </cell>
          <cell r="D276" t="str">
            <v>Diphenyl-oxide</v>
          </cell>
          <cell r="E276" t="str">
            <v>Diphenyl-oxide</v>
          </cell>
          <cell r="I276">
            <v>170</v>
          </cell>
          <cell r="J276" t="e">
            <v>#DIV/0!</v>
          </cell>
          <cell r="K276" t="e">
            <v>#DIV/0!</v>
          </cell>
        </row>
        <row r="277">
          <cell r="B277">
            <v>-1676</v>
          </cell>
          <cell r="D277" t="str">
            <v>n-Dodecane</v>
          </cell>
          <cell r="E277" t="str">
            <v>n-Dodecane</v>
          </cell>
          <cell r="I277">
            <v>170</v>
          </cell>
          <cell r="J277" t="e">
            <v>#DIV/0!</v>
          </cell>
          <cell r="K277" t="e">
            <v>#DIV/0!</v>
          </cell>
        </row>
        <row r="278">
          <cell r="B278">
            <v>-1677</v>
          </cell>
          <cell r="D278" t="str">
            <v>Dimehtyl-phthalate</v>
          </cell>
          <cell r="E278" t="str">
            <v>Dimehtyl-phthalate</v>
          </cell>
          <cell r="I278">
            <v>194</v>
          </cell>
          <cell r="J278" t="e">
            <v>#DIV/0!</v>
          </cell>
          <cell r="K278" t="e">
            <v>#DIV/0!</v>
          </cell>
        </row>
        <row r="279">
          <cell r="B279">
            <v>-1678</v>
          </cell>
          <cell r="D279" t="str">
            <v>n-Tetradecane</v>
          </cell>
          <cell r="E279" t="str">
            <v>n-Tetradecane</v>
          </cell>
          <cell r="I279">
            <v>198</v>
          </cell>
          <cell r="J279" t="e">
            <v>#DIV/0!</v>
          </cell>
          <cell r="K279" t="e">
            <v>#DIV/0!</v>
          </cell>
        </row>
        <row r="280">
          <cell r="B280">
            <v>-1679</v>
          </cell>
          <cell r="D280" t="str">
            <v>Tetradecanol</v>
          </cell>
          <cell r="E280" t="str">
            <v>Tetradecanol</v>
          </cell>
          <cell r="I280">
            <v>214</v>
          </cell>
          <cell r="J280" t="e">
            <v>#DIV/0!</v>
          </cell>
          <cell r="K280" t="e">
            <v>#DIV/0!</v>
          </cell>
        </row>
        <row r="281">
          <cell r="B281">
            <v>-1680</v>
          </cell>
          <cell r="D281" t="str">
            <v>2,6-Di-tert-butyl-4-methyl-phenol (BHT)</v>
          </cell>
          <cell r="E281" t="str">
            <v>2,6-Di-tert-butyl-4-methyl-phenol</v>
          </cell>
          <cell r="F281" t="str">
            <v>BHT</v>
          </cell>
          <cell r="I281">
            <v>220</v>
          </cell>
          <cell r="J281" t="e">
            <v>#DIV/0!</v>
          </cell>
          <cell r="K281" t="e">
            <v>#DIV/0!</v>
          </cell>
        </row>
        <row r="282">
          <cell r="B282">
            <v>-1681</v>
          </cell>
          <cell r="D282" t="str">
            <v>Cedrylacetate</v>
          </cell>
          <cell r="E282" t="str">
            <v>Cedrylacetate</v>
          </cell>
          <cell r="I282">
            <v>264</v>
          </cell>
          <cell r="J282" t="e">
            <v>#DIV/0!</v>
          </cell>
          <cell r="K282" t="e">
            <v>#DIV/0!</v>
          </cell>
        </row>
        <row r="283">
          <cell r="B283">
            <v>-1682</v>
          </cell>
          <cell r="D283" t="str">
            <v>Eicosane</v>
          </cell>
          <cell r="E283" t="str">
            <v>Eicosane</v>
          </cell>
          <cell r="I283">
            <v>282</v>
          </cell>
          <cell r="J283" t="e">
            <v>#DIV/0!</v>
          </cell>
          <cell r="K283" t="e">
            <v>#DIV/0!</v>
          </cell>
        </row>
        <row r="284">
          <cell r="B284">
            <v>-1683</v>
          </cell>
          <cell r="D284" t="str">
            <v>Docosane</v>
          </cell>
          <cell r="E284" t="str">
            <v>Docosane</v>
          </cell>
          <cell r="I284">
            <v>310</v>
          </cell>
          <cell r="J284" t="e">
            <v>#DIV/0!</v>
          </cell>
          <cell r="K284" t="e">
            <v>#DIV/0!</v>
          </cell>
        </row>
        <row r="285">
          <cell r="B285">
            <v>-1684</v>
          </cell>
          <cell r="D285" t="str">
            <v>2-(2-Hydroxy-3.t-butyl-5-methylphenyl-5-Chloro-benztriazol (Tinuvin 326)</v>
          </cell>
          <cell r="E285" t="str">
            <v>2-(2-Hydroxy-3.t-butyl-5-methylphenyl-5-Chloro-benztriazol</v>
          </cell>
          <cell r="F285" t="str">
            <v>Tinuvin 326</v>
          </cell>
          <cell r="I285">
            <v>315.8</v>
          </cell>
          <cell r="J285" t="e">
            <v>#DIV/0!</v>
          </cell>
          <cell r="K285" t="e">
            <v>#DIV/0!</v>
          </cell>
        </row>
        <row r="286">
          <cell r="B286">
            <v>-1685</v>
          </cell>
          <cell r="D286" t="str">
            <v>2-Hydroxy-4-ethandiol methyl-thioacetic acid ester</v>
          </cell>
          <cell r="E286" t="str">
            <v>2-Hydroxy-4-ethandiol methyl-thioacetic acid ester</v>
          </cell>
          <cell r="I286">
            <v>346</v>
          </cell>
          <cell r="J286" t="e">
            <v>#DIV/0!</v>
          </cell>
          <cell r="K286" t="e">
            <v>#DIV/0!</v>
          </cell>
        </row>
        <row r="287">
          <cell r="B287">
            <v>-1686</v>
          </cell>
          <cell r="D287" t="str">
            <v>Methyl-tricosanante</v>
          </cell>
          <cell r="E287" t="str">
            <v>Methyl-tricosanante</v>
          </cell>
          <cell r="I287">
            <v>368</v>
          </cell>
          <cell r="J287" t="e">
            <v>#DIV/0!</v>
          </cell>
          <cell r="K287" t="e">
            <v>#DIV/0!</v>
          </cell>
        </row>
        <row r="288">
          <cell r="B288">
            <v>-1687</v>
          </cell>
          <cell r="D288" t="str">
            <v>Methyl-octacosanate</v>
          </cell>
          <cell r="E288" t="str">
            <v>Methyl-octacosanate</v>
          </cell>
          <cell r="I288">
            <v>438</v>
          </cell>
          <cell r="J288" t="e">
            <v>#DIV/0!</v>
          </cell>
          <cell r="K288" t="e">
            <v>#DIV/0!</v>
          </cell>
        </row>
        <row r="289">
          <cell r="B289">
            <v>-1688</v>
          </cell>
          <cell r="D289" t="str">
            <v>Didodecyl-3,3-thio-dipropionate</v>
          </cell>
          <cell r="E289" t="str">
            <v>Didodecyl-3,3-thio-dipropionate</v>
          </cell>
          <cell r="I289">
            <v>514</v>
          </cell>
          <cell r="J289" t="e">
            <v>#DIV/0!</v>
          </cell>
          <cell r="K289" t="e">
            <v>#DIV/0!</v>
          </cell>
        </row>
        <row r="290">
          <cell r="B290">
            <v>-1689</v>
          </cell>
          <cell r="D290" t="str">
            <v>3-(3,5-di-tert-butyl-4-hydroxy phenyl)-propionate (Irganox 1076)</v>
          </cell>
          <cell r="E290" t="str">
            <v>3-(3,5-di-tert-butyl-4-hydroxy phenyl)-propionate</v>
          </cell>
          <cell r="F290" t="str">
            <v>Irganox 1076</v>
          </cell>
          <cell r="I290">
            <v>531</v>
          </cell>
          <cell r="J290" t="e">
            <v>#DIV/0!</v>
          </cell>
          <cell r="K290" t="e">
            <v>#DIV/0!</v>
          </cell>
        </row>
        <row r="291">
          <cell r="B291">
            <v>-1690</v>
          </cell>
          <cell r="D291" t="str">
            <v>Acetonitrile</v>
          </cell>
          <cell r="E291" t="str">
            <v>Acetonitrile</v>
          </cell>
          <cell r="H291" t="str">
            <v>75-05-8</v>
          </cell>
          <cell r="I291">
            <v>41.05</v>
          </cell>
          <cell r="J291">
            <v>1000000</v>
          </cell>
          <cell r="K291">
            <v>-0.34</v>
          </cell>
        </row>
        <row r="292">
          <cell r="B292">
            <v>-1691</v>
          </cell>
          <cell r="D292" t="str">
            <v>Benzaldehyde</v>
          </cell>
          <cell r="E292" t="str">
            <v>Benzaldehyde</v>
          </cell>
          <cell r="H292" t="str">
            <v>00-52-7</v>
          </cell>
          <cell r="I292">
            <v>106.13</v>
          </cell>
          <cell r="J292">
            <v>6950</v>
          </cell>
          <cell r="K292">
            <v>1.48</v>
          </cell>
        </row>
        <row r="293">
          <cell r="B293">
            <v>-1692</v>
          </cell>
          <cell r="D293" t="str">
            <v>Benzyl alcohol</v>
          </cell>
          <cell r="E293" t="str">
            <v>Benzyl alcohol</v>
          </cell>
          <cell r="H293" t="str">
            <v>100-51-6</v>
          </cell>
          <cell r="I293">
            <v>108.14</v>
          </cell>
          <cell r="J293">
            <v>42900</v>
          </cell>
          <cell r="K293">
            <v>1.1000000000000001</v>
          </cell>
        </row>
        <row r="294">
          <cell r="B294">
            <v>-1693</v>
          </cell>
          <cell r="D294" t="str">
            <v>1-Butanol</v>
          </cell>
          <cell r="E294" t="str">
            <v>1-Butanol</v>
          </cell>
          <cell r="H294" t="str">
            <v>71-36-3</v>
          </cell>
          <cell r="I294">
            <v>74.12</v>
          </cell>
          <cell r="J294">
            <v>63200</v>
          </cell>
          <cell r="K294">
            <v>0.88</v>
          </cell>
        </row>
        <row r="295">
          <cell r="B295">
            <v>-1694</v>
          </cell>
          <cell r="D295" t="str">
            <v>2-Propanol {isopropyl alcohol}</v>
          </cell>
          <cell r="E295" t="str">
            <v>2-Propanol</v>
          </cell>
          <cell r="F295" t="str">
            <v>isopropyl alcohol</v>
          </cell>
          <cell r="H295" t="str">
            <v>67-63-0</v>
          </cell>
          <cell r="I295">
            <v>60.1</v>
          </cell>
          <cell r="J295">
            <v>1000000</v>
          </cell>
          <cell r="K295">
            <v>0.05</v>
          </cell>
        </row>
        <row r="296">
          <cell r="B296">
            <v>-1695</v>
          </cell>
          <cell r="D296" t="str">
            <v>Methyl tert-butyl ether {MTBE}</v>
          </cell>
          <cell r="E296" t="str">
            <v>Methyl tert-butyl ether</v>
          </cell>
          <cell r="F296" t="str">
            <v>MTBE</v>
          </cell>
          <cell r="H296" t="str">
            <v>1634-04-4</v>
          </cell>
          <cell r="I296">
            <v>88.15</v>
          </cell>
          <cell r="J296">
            <v>51000</v>
          </cell>
          <cell r="K296">
            <v>0.94</v>
          </cell>
        </row>
        <row r="297">
          <cell r="B297">
            <v>-1696</v>
          </cell>
          <cell r="D297" t="str">
            <v>acenaphthylene</v>
          </cell>
          <cell r="E297" t="str">
            <v>acenaphthylene</v>
          </cell>
          <cell r="I297">
            <v>152.19999999999999</v>
          </cell>
          <cell r="J297" t="e">
            <v>#DIV/0!</v>
          </cell>
          <cell r="K297">
            <v>3.9</v>
          </cell>
        </row>
        <row r="298">
          <cell r="B298">
            <v>-1700</v>
          </cell>
          <cell r="D298" t="str">
            <v>PCB 4</v>
          </cell>
          <cell r="E298" t="str">
            <v>PCB 4</v>
          </cell>
          <cell r="I298">
            <v>223.1</v>
          </cell>
          <cell r="J298">
            <v>2.8086625937127851</v>
          </cell>
          <cell r="K298">
            <v>4.7</v>
          </cell>
        </row>
        <row r="299">
          <cell r="B299">
            <v>-1701</v>
          </cell>
          <cell r="D299" t="str">
            <v>PCB 8</v>
          </cell>
          <cell r="E299" t="str">
            <v>PCB 8</v>
          </cell>
          <cell r="I299">
            <v>223.1</v>
          </cell>
          <cell r="J299">
            <v>1.4076658355353096</v>
          </cell>
          <cell r="K299">
            <v>5.0999999999999996</v>
          </cell>
        </row>
        <row r="300">
          <cell r="B300">
            <v>-1702</v>
          </cell>
          <cell r="D300" t="str">
            <v>PCB 10</v>
          </cell>
          <cell r="E300" t="str">
            <v>PCB 10</v>
          </cell>
          <cell r="I300">
            <v>223.1</v>
          </cell>
          <cell r="J300">
            <v>1.7721462916698714</v>
          </cell>
          <cell r="K300">
            <v>4.8499999999999996</v>
          </cell>
        </row>
        <row r="301">
          <cell r="B301">
            <v>-1703</v>
          </cell>
          <cell r="D301" t="str">
            <v>PCB 14</v>
          </cell>
          <cell r="E301" t="str">
            <v>PCB 14</v>
          </cell>
          <cell r="I301">
            <v>223.1</v>
          </cell>
          <cell r="J301">
            <v>0.56040186286978677</v>
          </cell>
          <cell r="K301">
            <v>5.3</v>
          </cell>
        </row>
        <row r="302">
          <cell r="B302">
            <v>-1705</v>
          </cell>
          <cell r="D302" t="str">
            <v>PCB 21</v>
          </cell>
          <cell r="E302" t="str">
            <v>PCB 21</v>
          </cell>
          <cell r="I302">
            <v>257.5</v>
          </cell>
          <cell r="J302">
            <v>0.32417329353699781</v>
          </cell>
          <cell r="K302">
            <v>5.55</v>
          </cell>
        </row>
        <row r="303">
          <cell r="B303">
            <v>-1706</v>
          </cell>
          <cell r="D303" t="str">
            <v>PCB 28</v>
          </cell>
          <cell r="E303" t="str">
            <v>PCB 28</v>
          </cell>
          <cell r="I303">
            <v>257.5</v>
          </cell>
          <cell r="J303">
            <v>0.20453952044150236</v>
          </cell>
          <cell r="K303">
            <v>5.65</v>
          </cell>
        </row>
        <row r="304">
          <cell r="B304">
            <v>-1708</v>
          </cell>
          <cell r="D304" t="str">
            <v>PCB 30</v>
          </cell>
          <cell r="E304" t="str">
            <v>PCB 30</v>
          </cell>
          <cell r="I304">
            <v>257.5</v>
          </cell>
          <cell r="J304">
            <v>0.40810999705873668</v>
          </cell>
          <cell r="K304">
            <v>5.45</v>
          </cell>
        </row>
        <row r="305">
          <cell r="B305">
            <v>-1709</v>
          </cell>
          <cell r="D305" t="str">
            <v>PCB 31</v>
          </cell>
          <cell r="E305" t="str">
            <v>PCB 31</v>
          </cell>
          <cell r="I305">
            <v>257.5</v>
          </cell>
          <cell r="J305">
            <v>0.20453952044150236</v>
          </cell>
          <cell r="K305">
            <v>5.75</v>
          </cell>
        </row>
        <row r="306">
          <cell r="B306">
            <v>-1711</v>
          </cell>
          <cell r="D306" t="str">
            <v>PCB 47</v>
          </cell>
          <cell r="E306" t="str">
            <v>PCB 47</v>
          </cell>
          <cell r="I306">
            <v>292</v>
          </cell>
          <cell r="J306">
            <v>0.14634667221916345</v>
          </cell>
          <cell r="K306">
            <v>5.9</v>
          </cell>
        </row>
        <row r="307">
          <cell r="B307">
            <v>-1712</v>
          </cell>
          <cell r="D307" t="str">
            <v>PCB 49</v>
          </cell>
          <cell r="E307" t="str">
            <v>PCB 49</v>
          </cell>
          <cell r="I307">
            <v>292</v>
          </cell>
          <cell r="J307">
            <v>0.14634667221916345</v>
          </cell>
          <cell r="K307">
            <v>5.9</v>
          </cell>
        </row>
        <row r="308">
          <cell r="B308">
            <v>-1713</v>
          </cell>
          <cell r="D308" t="str">
            <v>PCB 50</v>
          </cell>
          <cell r="E308" t="str">
            <v>PCB 50</v>
          </cell>
          <cell r="I308">
            <v>292</v>
          </cell>
          <cell r="J308">
            <v>0.29199999999999998</v>
          </cell>
          <cell r="K308">
            <v>5.65</v>
          </cell>
        </row>
        <row r="309">
          <cell r="B309">
            <v>-1714</v>
          </cell>
          <cell r="D309" t="str">
            <v>PCB 52</v>
          </cell>
          <cell r="E309" t="str">
            <v>PCB 52</v>
          </cell>
          <cell r="I309">
            <v>292</v>
          </cell>
          <cell r="J309">
            <v>0.11624729380162115</v>
          </cell>
          <cell r="K309">
            <v>5.85</v>
          </cell>
        </row>
        <row r="310">
          <cell r="B310">
            <v>-1715</v>
          </cell>
          <cell r="D310" t="str">
            <v>PCB 55</v>
          </cell>
          <cell r="E310" t="str">
            <v>PCB 55</v>
          </cell>
          <cell r="I310">
            <v>292</v>
          </cell>
          <cell r="J310">
            <v>7.3347083800079663E-2</v>
          </cell>
          <cell r="K310">
            <v>6.15</v>
          </cell>
        </row>
        <row r="311">
          <cell r="B311">
            <v>-1717</v>
          </cell>
          <cell r="D311" t="str">
            <v>PCB 66</v>
          </cell>
          <cell r="E311" t="str">
            <v>PCB 66</v>
          </cell>
          <cell r="I311">
            <v>292</v>
          </cell>
          <cell r="J311">
            <v>5.8261659597091175E-2</v>
          </cell>
          <cell r="K311">
            <v>6.25</v>
          </cell>
        </row>
        <row r="312">
          <cell r="B312">
            <v>-1719</v>
          </cell>
          <cell r="D312" t="str">
            <v>PCB 78</v>
          </cell>
          <cell r="E312" t="str">
            <v>PCB 78</v>
          </cell>
          <cell r="I312">
            <v>292</v>
          </cell>
          <cell r="J312">
            <v>3.6760622024389684E-2</v>
          </cell>
          <cell r="K312">
            <v>6.4</v>
          </cell>
        </row>
        <row r="313">
          <cell r="B313">
            <v>-1723</v>
          </cell>
          <cell r="D313" t="str">
            <v>PCB 99</v>
          </cell>
          <cell r="E313" t="str">
            <v>PCB 99</v>
          </cell>
          <cell r="I313">
            <v>326.39999999999998</v>
          </cell>
          <cell r="J313">
            <v>4.1091325440961612E-2</v>
          </cell>
          <cell r="K313">
            <v>6.45</v>
          </cell>
        </row>
        <row r="314">
          <cell r="B314">
            <v>-1725</v>
          </cell>
          <cell r="D314" t="str">
            <v>PCB 104</v>
          </cell>
          <cell r="E314" t="str">
            <v>PCB 104</v>
          </cell>
          <cell r="I314">
            <v>326.39999999999998</v>
          </cell>
          <cell r="J314">
            <v>0.20594447723833481</v>
          </cell>
          <cell r="K314">
            <v>5.85</v>
          </cell>
        </row>
        <row r="315">
          <cell r="B315">
            <v>-1730</v>
          </cell>
          <cell r="D315" t="str">
            <v>PCB 129</v>
          </cell>
          <cell r="E315" t="str">
            <v>PCB 129</v>
          </cell>
          <cell r="I315">
            <v>360.9</v>
          </cell>
          <cell r="J315">
            <v>1.808784726160826E-2</v>
          </cell>
          <cell r="K315">
            <v>6.75</v>
          </cell>
        </row>
        <row r="316">
          <cell r="B316">
            <v>-1731</v>
          </cell>
          <cell r="D316" t="str">
            <v>PCB 137</v>
          </cell>
          <cell r="E316" t="str">
            <v>PCB 137</v>
          </cell>
          <cell r="I316">
            <v>360.9</v>
          </cell>
          <cell r="J316">
            <v>1.4367687785275682E-2</v>
          </cell>
          <cell r="K316">
            <v>6.85</v>
          </cell>
        </row>
        <row r="317">
          <cell r="B317">
            <v>-1734</v>
          </cell>
          <cell r="D317" t="str">
            <v>PCB 143</v>
          </cell>
          <cell r="E317" t="str">
            <v>PCB 143</v>
          </cell>
          <cell r="I317">
            <v>360.9</v>
          </cell>
          <cell r="J317">
            <v>2.2771250562290155E-2</v>
          </cell>
          <cell r="K317">
            <v>6.65</v>
          </cell>
        </row>
        <row r="318">
          <cell r="B318">
            <v>-1735</v>
          </cell>
          <cell r="D318" t="str">
            <v>PCB 145</v>
          </cell>
          <cell r="E318" t="str">
            <v>PCB 145</v>
          </cell>
          <cell r="I318">
            <v>360.9</v>
          </cell>
          <cell r="J318">
            <v>7.2009016947226723E-2</v>
          </cell>
          <cell r="K318">
            <v>6.3</v>
          </cell>
        </row>
        <row r="319">
          <cell r="B319">
            <v>-1736</v>
          </cell>
          <cell r="D319" t="str">
            <v>PCB 149</v>
          </cell>
          <cell r="E319" t="str">
            <v>PCB 149</v>
          </cell>
          <cell r="I319">
            <v>360.9</v>
          </cell>
          <cell r="J319">
            <v>2.2771250562290155E-2</v>
          </cell>
          <cell r="K319">
            <v>6.75</v>
          </cell>
        </row>
        <row r="320">
          <cell r="B320">
            <v>-1741</v>
          </cell>
          <cell r="D320" t="str">
            <v>PCB 170</v>
          </cell>
          <cell r="E320" t="str">
            <v>PCB 170</v>
          </cell>
          <cell r="I320">
            <v>395.3</v>
          </cell>
          <cell r="J320">
            <v>4.9765321528223378E-3</v>
          </cell>
          <cell r="K320">
            <v>7.35</v>
          </cell>
        </row>
        <row r="321">
          <cell r="B321">
            <v>-1742</v>
          </cell>
          <cell r="D321" t="str">
            <v>PCB 180</v>
          </cell>
          <cell r="E321" t="str">
            <v>PCB 180</v>
          </cell>
          <cell r="I321">
            <v>395.3</v>
          </cell>
          <cell r="J321">
            <v>6.2650827897987801E-3</v>
          </cell>
          <cell r="K321">
            <v>7.3000000000000007</v>
          </cell>
        </row>
        <row r="322">
          <cell r="B322">
            <v>-1743</v>
          </cell>
          <cell r="D322" t="str">
            <v>PCB 187</v>
          </cell>
          <cell r="E322" t="str">
            <v>PCB 187</v>
          </cell>
          <cell r="I322">
            <v>395.3</v>
          </cell>
          <cell r="J322">
            <v>6.2650827897987801E-3</v>
          </cell>
          <cell r="K322">
            <v>7.25</v>
          </cell>
        </row>
        <row r="323">
          <cell r="B323">
            <v>-1744</v>
          </cell>
          <cell r="D323" t="str">
            <v>PCB 204</v>
          </cell>
          <cell r="E323" t="str">
            <v>PCB 204</v>
          </cell>
          <cell r="I323">
            <v>429.8</v>
          </cell>
          <cell r="J323">
            <v>4.2980000000000006E-3</v>
          </cell>
          <cell r="K323">
            <v>7.35</v>
          </cell>
        </row>
        <row r="324">
          <cell r="B324">
            <v>-1746</v>
          </cell>
          <cell r="D324" t="str">
            <v>BDE-1</v>
          </cell>
          <cell r="E324" t="str">
            <v>BDE-1</v>
          </cell>
          <cell r="I324">
            <v>249.1</v>
          </cell>
          <cell r="J324">
            <v>2.4910000000000001</v>
          </cell>
          <cell r="K324">
            <v>4.5999999999999996</v>
          </cell>
        </row>
        <row r="325">
          <cell r="B325">
            <v>-1747</v>
          </cell>
          <cell r="D325" t="str">
            <v>BDE-2</v>
          </cell>
          <cell r="E325" t="str">
            <v>BDE-2</v>
          </cell>
          <cell r="I325">
            <v>249.1</v>
          </cell>
          <cell r="J325">
            <v>1.9786716326981841</v>
          </cell>
          <cell r="K325">
            <v>4.5</v>
          </cell>
        </row>
        <row r="326">
          <cell r="B326">
            <v>-1748</v>
          </cell>
          <cell r="D326" t="str">
            <v>BDE-15</v>
          </cell>
          <cell r="E326" t="str">
            <v>BDE-15</v>
          </cell>
          <cell r="I326">
            <v>328</v>
          </cell>
          <cell r="J326">
            <v>0.51984496712724515</v>
          </cell>
          <cell r="K326">
            <v>5.2</v>
          </cell>
        </row>
        <row r="327">
          <cell r="B327">
            <v>-1749</v>
          </cell>
          <cell r="D327" t="str">
            <v>BDE-17</v>
          </cell>
          <cell r="E327" t="str">
            <v>BDE-17</v>
          </cell>
          <cell r="I327">
            <v>406.9</v>
          </cell>
          <cell r="J327">
            <v>0.203933085362937</v>
          </cell>
          <cell r="K327">
            <v>5.8</v>
          </cell>
        </row>
        <row r="328">
          <cell r="B328">
            <v>-1750</v>
          </cell>
          <cell r="D328" t="str">
            <v>BDE-28</v>
          </cell>
          <cell r="E328" t="str">
            <v>BDE-28</v>
          </cell>
          <cell r="I328">
            <v>406.9</v>
          </cell>
          <cell r="J328">
            <v>0.16198980769821794</v>
          </cell>
          <cell r="K328">
            <v>5.8</v>
          </cell>
        </row>
        <row r="329">
          <cell r="B329">
            <v>-1751</v>
          </cell>
          <cell r="D329" t="str">
            <v>BDE-47</v>
          </cell>
          <cell r="E329" t="str">
            <v>BDE-47</v>
          </cell>
          <cell r="I329">
            <v>485.8</v>
          </cell>
          <cell r="J329">
            <v>4.8580000000000005E-2</v>
          </cell>
          <cell r="K329">
            <v>6.5</v>
          </cell>
        </row>
        <row r="330">
          <cell r="B330">
            <v>-1752</v>
          </cell>
          <cell r="D330" t="str">
            <v>BDE-66</v>
          </cell>
          <cell r="E330" t="str">
            <v>BDE-66</v>
          </cell>
          <cell r="I330">
            <v>485.8</v>
          </cell>
          <cell r="J330">
            <v>4.8580000000000005E-2</v>
          </cell>
          <cell r="K330">
            <v>6.5</v>
          </cell>
        </row>
        <row r="331">
          <cell r="B331">
            <v>-1753</v>
          </cell>
          <cell r="D331" t="str">
            <v>BDE-71</v>
          </cell>
          <cell r="E331" t="str">
            <v>BDE-71</v>
          </cell>
          <cell r="I331">
            <v>485.8</v>
          </cell>
          <cell r="J331">
            <v>4.8580000000000005E-2</v>
          </cell>
          <cell r="K331">
            <v>6.6</v>
          </cell>
        </row>
        <row r="332">
          <cell r="B332">
            <v>-1754</v>
          </cell>
          <cell r="D332" t="str">
            <v>BDE-85</v>
          </cell>
          <cell r="E332" t="str">
            <v>BDE-85</v>
          </cell>
          <cell r="I332">
            <v>564.70000000000005</v>
          </cell>
          <cell r="J332">
            <v>1.4184622678734594E-2</v>
          </cell>
          <cell r="K332">
            <v>7.2</v>
          </cell>
        </row>
        <row r="333">
          <cell r="B333">
            <v>-1755</v>
          </cell>
          <cell r="D333" t="str">
            <v>BDE-99</v>
          </cell>
          <cell r="E333" t="str">
            <v>BDE-99</v>
          </cell>
          <cell r="I333">
            <v>564.70000000000005</v>
          </cell>
          <cell r="J333">
            <v>1.4184622678734594E-2</v>
          </cell>
          <cell r="K333">
            <v>7.2</v>
          </cell>
        </row>
        <row r="334">
          <cell r="B334">
            <v>-1756</v>
          </cell>
          <cell r="D334" t="str">
            <v>BDE-100</v>
          </cell>
          <cell r="E334" t="str">
            <v>BDE-100</v>
          </cell>
          <cell r="I334">
            <v>564.70000000000005</v>
          </cell>
          <cell r="J334">
            <v>1.4184622678734594E-2</v>
          </cell>
          <cell r="K334">
            <v>7.3</v>
          </cell>
        </row>
        <row r="335">
          <cell r="B335">
            <v>-1757</v>
          </cell>
          <cell r="D335" t="str">
            <v>BDE-126</v>
          </cell>
          <cell r="E335" t="str">
            <v>BDE-126</v>
          </cell>
          <cell r="I335">
            <v>564.70000000000005</v>
          </cell>
          <cell r="J335">
            <v>1.1267246292629249E-2</v>
          </cell>
          <cell r="K335">
            <v>7.4</v>
          </cell>
        </row>
        <row r="336">
          <cell r="B336">
            <v>-1758</v>
          </cell>
          <cell r="D336" t="str">
            <v>BDE-153</v>
          </cell>
          <cell r="E336" t="str">
            <v>BDE-153</v>
          </cell>
          <cell r="I336">
            <v>643.6</v>
          </cell>
          <cell r="J336">
            <v>4.060841469074517E-3</v>
          </cell>
          <cell r="K336">
            <v>8</v>
          </cell>
        </row>
        <row r="337">
          <cell r="B337">
            <v>-1759</v>
          </cell>
          <cell r="D337" t="str">
            <v>BDE-154</v>
          </cell>
          <cell r="E337" t="str">
            <v>BDE-154</v>
          </cell>
          <cell r="I337">
            <v>643.6</v>
          </cell>
          <cell r="J337">
            <v>4.060841469074517E-3</v>
          </cell>
          <cell r="K337">
            <v>8</v>
          </cell>
        </row>
        <row r="338">
          <cell r="B338">
            <v>-1760</v>
          </cell>
          <cell r="D338" t="str">
            <v>2-CDD</v>
          </cell>
          <cell r="E338" t="str">
            <v>2-CDD</v>
          </cell>
          <cell r="I338">
            <v>218.6</v>
          </cell>
          <cell r="J338">
            <v>1.7364015211072787</v>
          </cell>
          <cell r="K338">
            <v>5.2</v>
          </cell>
        </row>
        <row r="339">
          <cell r="B339">
            <v>-1761</v>
          </cell>
          <cell r="D339" t="str">
            <v>2,7/8-DiCDD</v>
          </cell>
          <cell r="E339" t="str">
            <v>2,7/8-DiCDD</v>
          </cell>
          <cell r="I339">
            <v>253.1</v>
          </cell>
          <cell r="J339">
            <v>0.20104447620871552</v>
          </cell>
          <cell r="K339">
            <v>5.6</v>
          </cell>
        </row>
        <row r="340">
          <cell r="B340">
            <v>-1762</v>
          </cell>
          <cell r="D340" t="str">
            <v>2,3,7-TriCDD</v>
          </cell>
          <cell r="E340" t="str">
            <v>2,3,7-TriCDD</v>
          </cell>
          <cell r="I340">
            <v>287.5</v>
          </cell>
          <cell r="J340">
            <v>0.14409132966784072</v>
          </cell>
          <cell r="K340">
            <v>6.1</v>
          </cell>
        </row>
        <row r="341">
          <cell r="B341">
            <v>-1763</v>
          </cell>
          <cell r="D341" t="str">
            <v>p,p’-DDT</v>
          </cell>
          <cell r="E341" t="str">
            <v>p,p’-DDT</v>
          </cell>
          <cell r="I341">
            <v>354.5</v>
          </cell>
          <cell r="J341">
            <v>0.14112899196121473</v>
          </cell>
          <cell r="K341">
            <v>6.4</v>
          </cell>
        </row>
        <row r="342">
          <cell r="B342">
            <v>-1764</v>
          </cell>
          <cell r="D342" t="str">
            <v>o,p’-DDT</v>
          </cell>
          <cell r="E342" t="str">
            <v>o,p’-DDT</v>
          </cell>
          <cell r="I342">
            <v>354.5</v>
          </cell>
          <cell r="J342">
            <v>0.17767087432086795</v>
          </cell>
          <cell r="K342">
            <v>6.4</v>
          </cell>
        </row>
        <row r="343">
          <cell r="B343">
            <v>-1765</v>
          </cell>
          <cell r="D343" t="str">
            <v>p,p’-DDD</v>
          </cell>
          <cell r="E343" t="str">
            <v>p,p’-DDD</v>
          </cell>
          <cell r="I343">
            <v>320.10000000000002</v>
          </cell>
          <cell r="J343">
            <v>0.80405484672621585</v>
          </cell>
          <cell r="K343">
            <v>6.3</v>
          </cell>
        </row>
        <row r="344">
          <cell r="B344">
            <v>-1766</v>
          </cell>
          <cell r="D344" t="str">
            <v>o,p’-DDD</v>
          </cell>
          <cell r="E344" t="str">
            <v>o,p’-DDD</v>
          </cell>
          <cell r="I344">
            <v>320.10000000000002</v>
          </cell>
          <cell r="J344">
            <v>0.32010000000000005</v>
          </cell>
          <cell r="K344">
            <v>6.8</v>
          </cell>
        </row>
        <row r="345">
          <cell r="B345">
            <v>-1767</v>
          </cell>
          <cell r="D345" t="str">
            <v>p,p’-DDE</v>
          </cell>
          <cell r="E345" t="str">
            <v>p,p’-DDE</v>
          </cell>
          <cell r="I345">
            <v>318</v>
          </cell>
          <cell r="J345">
            <v>0.25259637864232137</v>
          </cell>
          <cell r="K345">
            <v>6.9</v>
          </cell>
        </row>
        <row r="346">
          <cell r="B346">
            <v>-1768</v>
          </cell>
          <cell r="D346" t="str">
            <v>o,p’-DDE</v>
          </cell>
          <cell r="E346" t="str">
            <v>o,p’-DDE</v>
          </cell>
          <cell r="I346">
            <v>318</v>
          </cell>
          <cell r="J346">
            <v>0.40033828095054486</v>
          </cell>
          <cell r="K346">
            <v>7.1</v>
          </cell>
        </row>
        <row r="347">
          <cell r="B347">
            <v>-1769</v>
          </cell>
          <cell r="D347" t="str">
            <v>p,p’-DDMU</v>
          </cell>
          <cell r="E347" t="str">
            <v>p,p’-DDMU</v>
          </cell>
          <cell r="I347">
            <v>283.60000000000002</v>
          </cell>
          <cell r="J347" t="e">
            <v>#DIV/0!</v>
          </cell>
          <cell r="K347">
            <v>6.2</v>
          </cell>
        </row>
        <row r="348">
          <cell r="B348">
            <v>-1770</v>
          </cell>
          <cell r="D348" t="str">
            <v>HCB</v>
          </cell>
          <cell r="E348" t="str">
            <v>HCB</v>
          </cell>
          <cell r="I348">
            <v>284.8</v>
          </cell>
          <cell r="J348">
            <v>0.35854195727897853</v>
          </cell>
          <cell r="K348">
            <v>5.6</v>
          </cell>
        </row>
        <row r="349">
          <cell r="B349">
            <v>-1771</v>
          </cell>
          <cell r="D349" t="str">
            <v>α-HCH</v>
          </cell>
          <cell r="E349" t="str">
            <v>α-HCH</v>
          </cell>
          <cell r="I349">
            <v>290.8</v>
          </cell>
          <cell r="J349">
            <v>91.959034357696481</v>
          </cell>
          <cell r="K349">
            <v>3.9</v>
          </cell>
        </row>
        <row r="350">
          <cell r="B350">
            <v>-1772</v>
          </cell>
          <cell r="D350" t="str">
            <v>β-HCH</v>
          </cell>
          <cell r="E350" t="str">
            <v>β-HCH</v>
          </cell>
          <cell r="I350">
            <v>290.8</v>
          </cell>
          <cell r="J350">
            <v>460.88694036769186</v>
          </cell>
          <cell r="K350">
            <v>3.9</v>
          </cell>
        </row>
        <row r="351">
          <cell r="B351">
            <v>-1773</v>
          </cell>
          <cell r="D351" t="str">
            <v>γ-HCH</v>
          </cell>
          <cell r="E351" t="str">
            <v>γ-HCH</v>
          </cell>
          <cell r="I351">
            <v>290.8</v>
          </cell>
          <cell r="J351">
            <v>73.045657428298597</v>
          </cell>
          <cell r="K351">
            <v>3.8</v>
          </cell>
        </row>
        <row r="352">
          <cell r="B352">
            <v>-1774</v>
          </cell>
          <cell r="D352" t="str">
            <v>δ-HCH</v>
          </cell>
          <cell r="E352" t="str">
            <v>δ-HCH</v>
          </cell>
          <cell r="I352">
            <v>290.8</v>
          </cell>
          <cell r="J352">
            <v>115.76956519695699</v>
          </cell>
          <cell r="K352">
            <v>3.9</v>
          </cell>
        </row>
        <row r="353">
          <cell r="B353">
            <v>-1775</v>
          </cell>
          <cell r="D353" t="str">
            <v>aldrin</v>
          </cell>
          <cell r="E353" t="str">
            <v>aldrin</v>
          </cell>
          <cell r="I353">
            <v>364.9</v>
          </cell>
          <cell r="J353">
            <v>0.91658735885784481</v>
          </cell>
          <cell r="K353">
            <v>6.3</v>
          </cell>
        </row>
        <row r="354">
          <cell r="B354">
            <v>-1776</v>
          </cell>
          <cell r="D354" t="str">
            <v>dieldrin</v>
          </cell>
          <cell r="E354" t="str">
            <v>dieldrin</v>
          </cell>
          <cell r="I354">
            <v>380.9</v>
          </cell>
          <cell r="J354">
            <v>4.7952468935239798</v>
          </cell>
          <cell r="K354">
            <v>5.5</v>
          </cell>
        </row>
        <row r="355">
          <cell r="B355">
            <v>-1777</v>
          </cell>
          <cell r="D355" t="str">
            <v>α-endosulfan</v>
          </cell>
          <cell r="E355" t="str">
            <v>α-endosulfan</v>
          </cell>
          <cell r="I355">
            <v>406.9</v>
          </cell>
          <cell r="J355">
            <v>2.5673654346899033</v>
          </cell>
          <cell r="K355">
            <v>4.9000000000000004</v>
          </cell>
        </row>
        <row r="356">
          <cell r="B356">
            <v>-1778</v>
          </cell>
          <cell r="D356" t="str">
            <v>endosulfan sulphate</v>
          </cell>
          <cell r="E356" t="str">
            <v>endosulfan sulphate</v>
          </cell>
          <cell r="I356">
            <v>422.9</v>
          </cell>
          <cell r="J356" t="e">
            <v>#DIV/0!</v>
          </cell>
          <cell r="K356">
            <v>5.0999999999999996</v>
          </cell>
        </row>
        <row r="357">
          <cell r="B357">
            <v>-1779</v>
          </cell>
          <cell r="D357" t="str">
            <v>endrin</v>
          </cell>
          <cell r="E357" t="str">
            <v>endrin</v>
          </cell>
          <cell r="I357">
            <v>380.9</v>
          </cell>
          <cell r="J357">
            <v>1.2045115607581345</v>
          </cell>
          <cell r="K357">
            <v>5</v>
          </cell>
        </row>
        <row r="358">
          <cell r="B358">
            <v>-1780</v>
          </cell>
          <cell r="D358" t="str">
            <v>endrin aldehyde</v>
          </cell>
          <cell r="E358" t="str">
            <v>endrin aldehyde</v>
          </cell>
          <cell r="I358">
            <v>380.9</v>
          </cell>
          <cell r="J358" t="e">
            <v>#DIV/0!</v>
          </cell>
          <cell r="K358">
            <v>5.5</v>
          </cell>
        </row>
        <row r="359">
          <cell r="B359">
            <v>-1781</v>
          </cell>
          <cell r="D359" t="str">
            <v>endrin ketone</v>
          </cell>
          <cell r="E359" t="str">
            <v>endrin ketone</v>
          </cell>
          <cell r="I359">
            <v>364.5</v>
          </cell>
          <cell r="J359" t="e">
            <v>#DIV/0!</v>
          </cell>
          <cell r="K359">
            <v>6.8</v>
          </cell>
        </row>
        <row r="360">
          <cell r="B360">
            <v>-1782</v>
          </cell>
          <cell r="D360" t="str">
            <v>heptachlor</v>
          </cell>
          <cell r="E360" t="str">
            <v>heptachlor</v>
          </cell>
          <cell r="I360">
            <v>373.3</v>
          </cell>
          <cell r="J360">
            <v>1.1804782505408549</v>
          </cell>
          <cell r="K360">
            <v>6</v>
          </cell>
        </row>
        <row r="361">
          <cell r="B361">
            <v>-1783</v>
          </cell>
          <cell r="D361" t="str">
            <v>heptachlor epoxide</v>
          </cell>
          <cell r="E361" t="str">
            <v>heptachlor epoxide</v>
          </cell>
          <cell r="I361">
            <v>389.3</v>
          </cell>
          <cell r="J361">
            <v>4.9009966281146902</v>
          </cell>
          <cell r="K361">
            <v>5.4</v>
          </cell>
        </row>
        <row r="362">
          <cell r="B362">
            <v>-1784</v>
          </cell>
          <cell r="D362" t="str">
            <v>methoxychlor</v>
          </cell>
          <cell r="E362" t="str">
            <v>methoxychlor</v>
          </cell>
          <cell r="I362">
            <v>345.7</v>
          </cell>
          <cell r="J362">
            <v>0.17326042666494795</v>
          </cell>
          <cell r="K362">
            <v>5.0999999999999996</v>
          </cell>
        </row>
        <row r="363">
          <cell r="B363">
            <v>-1785</v>
          </cell>
          <cell r="D363" t="str">
            <v>triclosan</v>
          </cell>
          <cell r="E363" t="str">
            <v>triclosan</v>
          </cell>
          <cell r="I363">
            <v>289.5</v>
          </cell>
          <cell r="J363">
            <v>11.525202587523745</v>
          </cell>
          <cell r="K363">
            <v>4.8</v>
          </cell>
        </row>
        <row r="364">
          <cell r="B364">
            <v>-1786</v>
          </cell>
          <cell r="D364" t="str">
            <v>me-triclosan</v>
          </cell>
          <cell r="E364" t="str">
            <v>me-triclosan</v>
          </cell>
          <cell r="I364">
            <v>303.60000000000002</v>
          </cell>
          <cell r="J364">
            <v>2.4115805206229179</v>
          </cell>
          <cell r="K364">
            <v>5.4</v>
          </cell>
        </row>
        <row r="365">
          <cell r="B365">
            <v>-1787</v>
          </cell>
          <cell r="D365" t="str">
            <v>n-nonylphenol</v>
          </cell>
          <cell r="E365" t="str">
            <v>n-nonylphenol</v>
          </cell>
          <cell r="I365">
            <v>220.4</v>
          </cell>
          <cell r="J365">
            <v>1.1046166629145078</v>
          </cell>
          <cell r="K365">
            <v>4.5</v>
          </cell>
        </row>
        <row r="366">
          <cell r="B366">
            <v>-1788</v>
          </cell>
          <cell r="D366" t="str">
            <v>n-octylphenol</v>
          </cell>
          <cell r="E366" t="str">
            <v>n-octylphenol</v>
          </cell>
          <cell r="I366">
            <v>206.3</v>
          </cell>
          <cell r="J366">
            <v>5.1820217082042594</v>
          </cell>
          <cell r="K366">
            <v>4</v>
          </cell>
        </row>
        <row r="367">
          <cell r="B367">
            <v>-1789</v>
          </cell>
          <cell r="D367" t="str">
            <v>t-octylphenol</v>
          </cell>
          <cell r="E367" t="str">
            <v>t-octylphenol</v>
          </cell>
          <cell r="I367">
            <v>206.3</v>
          </cell>
          <cell r="J367">
            <v>25.97163124531366</v>
          </cell>
          <cell r="K367">
            <v>4.0999999999999996</v>
          </cell>
        </row>
        <row r="368">
          <cell r="B368">
            <v>-1790</v>
          </cell>
          <cell r="D368" t="str">
            <v>benzo(a)perylene</v>
          </cell>
          <cell r="E368" t="str">
            <v>benzo(a)perylene</v>
          </cell>
          <cell r="I368">
            <v>252.3</v>
          </cell>
          <cell r="J368" t="e">
            <v>#DIV/0!</v>
          </cell>
          <cell r="K368" t="e">
            <v>#DIV/0!</v>
          </cell>
        </row>
        <row r="369">
          <cell r="B369">
            <v>-1791</v>
          </cell>
          <cell r="D369" t="str">
            <v>benzo(g,h,i)perylene</v>
          </cell>
          <cell r="E369" t="str">
            <v>benzo(g,h,i)perylene</v>
          </cell>
          <cell r="I369">
            <v>276.3</v>
          </cell>
          <cell r="J369" t="e">
            <v>#DIV/0!</v>
          </cell>
          <cell r="K369" t="e">
            <v>#DIV/0!</v>
          </cell>
        </row>
        <row r="370">
          <cell r="B370">
            <v>-1792</v>
          </cell>
          <cell r="D370" t="str">
            <v>dibenzo(a,h)anthracene</v>
          </cell>
          <cell r="E370" t="str">
            <v>dibenzo(a,h)anthracene</v>
          </cell>
          <cell r="I370">
            <v>278.3</v>
          </cell>
          <cell r="J370" t="e">
            <v>#DIV/0!</v>
          </cell>
          <cell r="K370" t="e">
            <v>#DIV/0!</v>
          </cell>
        </row>
        <row r="371">
          <cell r="B371">
            <v>-1793</v>
          </cell>
          <cell r="D371" t="str">
            <v>butylated hydroxyanisol</v>
          </cell>
          <cell r="E371" t="str">
            <v>butylated hydroxyanisol</v>
          </cell>
          <cell r="I371">
            <v>180.2</v>
          </cell>
          <cell r="J371" t="e">
            <v>#DIV/0!</v>
          </cell>
          <cell r="K371" t="e">
            <v>#DIV/0!</v>
          </cell>
        </row>
        <row r="372">
          <cell r="B372">
            <v>-1794</v>
          </cell>
          <cell r="D372" t="str">
            <v>butylated hydroxytoluene</v>
          </cell>
          <cell r="E372" t="str">
            <v>butylated hydroxytoluene</v>
          </cell>
          <cell r="I372">
            <v>220.4</v>
          </cell>
          <cell r="J372" t="e">
            <v>#DIV/0!</v>
          </cell>
          <cell r="K372" t="e">
            <v>#DIV/0!</v>
          </cell>
        </row>
        <row r="373">
          <cell r="B373">
            <v>-1795</v>
          </cell>
          <cell r="D373" t="str">
            <v>UV1</v>
          </cell>
          <cell r="E373" t="str">
            <v>UV1</v>
          </cell>
          <cell r="F373" t="str">
            <v xml:space="preserve">4-substituted 2-Hydroxy Benzophenone </v>
          </cell>
          <cell r="I373">
            <v>214</v>
          </cell>
          <cell r="J373" t="e">
            <v>#DIV/0!</v>
          </cell>
          <cell r="K373" t="e">
            <v>#DIV/0!</v>
          </cell>
        </row>
        <row r="374">
          <cell r="B374">
            <v>-1796</v>
          </cell>
          <cell r="D374" t="str">
            <v>UV2</v>
          </cell>
          <cell r="E374" t="str">
            <v>UV2</v>
          </cell>
          <cell r="F374" t="str">
            <v xml:space="preserve">4-substituted 2-Hydroxy Benzophenone </v>
          </cell>
          <cell r="I374">
            <v>258</v>
          </cell>
          <cell r="J374" t="e">
            <v>#DIV/0!</v>
          </cell>
          <cell r="K374" t="e">
            <v>#DIV/0!</v>
          </cell>
        </row>
        <row r="375">
          <cell r="B375">
            <v>-1797</v>
          </cell>
          <cell r="D375" t="str">
            <v>UV3</v>
          </cell>
          <cell r="E375" t="str">
            <v>UV3</v>
          </cell>
          <cell r="F375" t="str">
            <v xml:space="preserve">4-substituted 2-Hydroxy Benzophenone </v>
          </cell>
          <cell r="I375">
            <v>326</v>
          </cell>
          <cell r="J375" t="e">
            <v>#DIV/0!</v>
          </cell>
          <cell r="K375" t="e">
            <v>#DIV/0!</v>
          </cell>
        </row>
        <row r="376">
          <cell r="B376">
            <v>-1798</v>
          </cell>
          <cell r="D376" t="str">
            <v>UV4</v>
          </cell>
          <cell r="E376" t="str">
            <v>UV4</v>
          </cell>
          <cell r="F376" t="str">
            <v xml:space="preserve">4-substituted 2-Hydroxy Benzophenone </v>
          </cell>
          <cell r="I376">
            <v>332</v>
          </cell>
          <cell r="J376" t="e">
            <v>#DIV/0!</v>
          </cell>
          <cell r="K376" t="e">
            <v>#DIV/0!</v>
          </cell>
        </row>
        <row r="377">
          <cell r="B377">
            <v>-1799</v>
          </cell>
          <cell r="D377" t="str">
            <v>UV5</v>
          </cell>
          <cell r="E377" t="str">
            <v>UV5</v>
          </cell>
          <cell r="F377" t="str">
            <v xml:space="preserve">4-substituted 2-Hydroxy Benzophenone </v>
          </cell>
          <cell r="I377">
            <v>346</v>
          </cell>
          <cell r="J377" t="e">
            <v>#DIV/0!</v>
          </cell>
          <cell r="K377" t="e">
            <v>#DIV/0!</v>
          </cell>
        </row>
        <row r="378">
          <cell r="B378">
            <v>-1800</v>
          </cell>
          <cell r="D378" t="str">
            <v>UV6</v>
          </cell>
          <cell r="E378" t="str">
            <v>UV6</v>
          </cell>
          <cell r="F378" t="str">
            <v xml:space="preserve">4-substituted 2-Hydroxy Benzophenone </v>
          </cell>
          <cell r="I378">
            <v>388</v>
          </cell>
          <cell r="J378" t="e">
            <v>#DIV/0!</v>
          </cell>
          <cell r="K378" t="e">
            <v>#DIV/0!</v>
          </cell>
        </row>
        <row r="379">
          <cell r="B379">
            <v>-1801</v>
          </cell>
          <cell r="D379" t="str">
            <v>UV7</v>
          </cell>
          <cell r="E379" t="str">
            <v>UV7</v>
          </cell>
          <cell r="F379" t="str">
            <v xml:space="preserve">4-substituted 2-Hydroxy Benzophenone </v>
          </cell>
          <cell r="I379">
            <v>388</v>
          </cell>
          <cell r="J379" t="e">
            <v>#DIV/0!</v>
          </cell>
          <cell r="K379" t="e">
            <v>#DIV/0!</v>
          </cell>
        </row>
        <row r="380">
          <cell r="B380">
            <v>-1802</v>
          </cell>
          <cell r="D380" t="str">
            <v>UV8</v>
          </cell>
          <cell r="E380" t="str">
            <v>UV8</v>
          </cell>
          <cell r="F380" t="str">
            <v xml:space="preserve">4-substituted 2-Hydroxy Benzophenone </v>
          </cell>
          <cell r="I380">
            <v>445</v>
          </cell>
          <cell r="J380" t="e">
            <v>#DIV/0!</v>
          </cell>
          <cell r="K380" t="e">
            <v>#DIV/0!</v>
          </cell>
        </row>
        <row r="381">
          <cell r="B381">
            <v>-1803</v>
          </cell>
          <cell r="D381" t="str">
            <v>UV9</v>
          </cell>
          <cell r="E381" t="str">
            <v>UV9</v>
          </cell>
          <cell r="F381" t="str">
            <v xml:space="preserve">4-substituted 2-Hydroxy Benzophenone </v>
          </cell>
          <cell r="I381">
            <v>551</v>
          </cell>
          <cell r="J381" t="e">
            <v>#DIV/0!</v>
          </cell>
          <cell r="K381" t="e">
            <v>#DIV/0!</v>
          </cell>
        </row>
        <row r="382">
          <cell r="B382">
            <v>-1804</v>
          </cell>
          <cell r="D382" t="str">
            <v>UV10</v>
          </cell>
          <cell r="E382" t="str">
            <v>UV10</v>
          </cell>
          <cell r="F382" t="str">
            <v xml:space="preserve">4-substituted 2-Hydroxy Benzophenone </v>
          </cell>
          <cell r="I382">
            <v>585</v>
          </cell>
          <cell r="J382" t="e">
            <v>#DIV/0!</v>
          </cell>
          <cell r="K382" t="e">
            <v>#DIV/0!</v>
          </cell>
        </row>
        <row r="383">
          <cell r="B383">
            <v>-1805</v>
          </cell>
          <cell r="D383" t="str">
            <v>1,1-dichlooretheen</v>
          </cell>
          <cell r="E383" t="str">
            <v>1,1-dichlooretheen</v>
          </cell>
          <cell r="I383">
            <v>97</v>
          </cell>
          <cell r="J383">
            <v>1824</v>
          </cell>
          <cell r="K383">
            <v>2.13</v>
          </cell>
        </row>
        <row r="384">
          <cell r="B384">
            <v>-1806</v>
          </cell>
          <cell r="D384" t="str">
            <v>pyridine</v>
          </cell>
          <cell r="E384" t="str">
            <v>pyridine</v>
          </cell>
          <cell r="I384">
            <v>79.100000000000009</v>
          </cell>
          <cell r="J384">
            <v>665483.58001075115</v>
          </cell>
          <cell r="K384">
            <v>0.65</v>
          </cell>
        </row>
        <row r="385">
          <cell r="B385">
            <v>-1807</v>
          </cell>
          <cell r="D385" t="str">
            <v>tetrahydrofuran</v>
          </cell>
          <cell r="E385" t="str">
            <v>tetrahydrofuran</v>
          </cell>
          <cell r="I385">
            <v>72.106666512569205</v>
          </cell>
          <cell r="J385">
            <v>405634.1962123675</v>
          </cell>
          <cell r="K385">
            <v>0.47</v>
          </cell>
        </row>
        <row r="386">
          <cell r="B386">
            <v>-1808</v>
          </cell>
          <cell r="I386" t="e">
            <v>#DIV/0!</v>
          </cell>
          <cell r="J386" t="e">
            <v>#DIV/0!</v>
          </cell>
        </row>
        <row r="387">
          <cell r="B387">
            <v>-1810</v>
          </cell>
          <cell r="D387" t="str">
            <v xml:space="preserve">ETBE (Ethyl tert-butyl ether) </v>
          </cell>
          <cell r="E387" t="str">
            <v>Ethyl tert-butyl ether</v>
          </cell>
          <cell r="F387" t="str">
            <v>ETBE</v>
          </cell>
          <cell r="I387">
            <v>102.17476000000001</v>
          </cell>
          <cell r="J387">
            <v>5030.8681370000004</v>
          </cell>
          <cell r="K387">
            <v>1.88</v>
          </cell>
        </row>
        <row r="388">
          <cell r="B388">
            <v>-1809</v>
          </cell>
          <cell r="D388" t="str">
            <v>Dimethylftalaat</v>
          </cell>
          <cell r="E388" t="str">
            <v>dimethylftalaat(DMP)</v>
          </cell>
          <cell r="I388">
            <v>194.19</v>
          </cell>
          <cell r="J388">
            <v>2014</v>
          </cell>
          <cell r="K388">
            <v>1.56</v>
          </cell>
        </row>
        <row r="389">
          <cell r="B389">
            <v>-1811</v>
          </cell>
          <cell r="D389" t="str">
            <v>gasoline</v>
          </cell>
          <cell r="E389" t="str">
            <v>gasoline</v>
          </cell>
          <cell r="I389" t="e">
            <v>#DIV/0!</v>
          </cell>
          <cell r="J389" t="e">
            <v>#DIV/0!</v>
          </cell>
          <cell r="K389" t="e">
            <v>#DIV/0!</v>
          </cell>
        </row>
        <row r="390">
          <cell r="B390">
            <v>-1813</v>
          </cell>
          <cell r="D390" t="str">
            <v>n-nonylphenol-tech</v>
          </cell>
          <cell r="E390" t="str">
            <v>n-nonylphenol-tech</v>
          </cell>
          <cell r="I390" t="e">
            <v>#DIV/0!</v>
          </cell>
          <cell r="J390" t="e">
            <v>#DIV/0!</v>
          </cell>
          <cell r="K390" t="e">
            <v>#DIV/0!</v>
          </cell>
        </row>
        <row r="391">
          <cell r="B391">
            <v>-1814</v>
          </cell>
          <cell r="D391" t="str">
            <v>nonylphenol-d4</v>
          </cell>
          <cell r="E391" t="str">
            <v>nonylphenol-d4</v>
          </cell>
          <cell r="I391" t="e">
            <v>#DIV/0!</v>
          </cell>
          <cell r="J391" t="e">
            <v>#DIV/0!</v>
          </cell>
          <cell r="K391" t="e">
            <v>#DIV/0!</v>
          </cell>
        </row>
        <row r="392">
          <cell r="B392">
            <v>-1815</v>
          </cell>
          <cell r="D392" t="str">
            <v>octylphenol-d17</v>
          </cell>
          <cell r="E392" t="str">
            <v>octylphenol-d17</v>
          </cell>
          <cell r="I392" t="e">
            <v>#DIV/0!</v>
          </cell>
          <cell r="J392" t="e">
            <v>#DIV/0!</v>
          </cell>
          <cell r="K392" t="e">
            <v>#DIV/0!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88"/>
  <sheetViews>
    <sheetView topLeftCell="B22" zoomScale="55" zoomScaleNormal="55" workbookViewId="0">
      <selection activeCell="Q36" sqref="Q36"/>
    </sheetView>
  </sheetViews>
  <sheetFormatPr defaultRowHeight="12.75" outlineLevelRow="1" outlineLevelCol="1" x14ac:dyDescent="0.2"/>
  <cols>
    <col min="1" max="1" width="9.140625" customWidth="1" outlineLevel="1"/>
    <col min="2" max="2" width="12" customWidth="1" outlineLevel="1"/>
    <col min="3" max="3" width="9.140625" customWidth="1" outlineLevel="1"/>
    <col min="4" max="4" width="14.140625" customWidth="1"/>
    <col min="5" max="7" width="9.140625" customWidth="1" outlineLevel="1"/>
    <col min="8" max="8" width="9.140625" style="1" customWidth="1" outlineLevel="1"/>
    <col min="9" max="9" width="9.140625" customWidth="1" outlineLevel="1"/>
    <col min="10" max="10" width="22.5703125" customWidth="1"/>
    <col min="11" max="11" width="12.85546875" style="1" customWidth="1" outlineLevel="1"/>
    <col min="12" max="13" width="12.42578125" customWidth="1"/>
    <col min="14" max="14" width="11" style="1" customWidth="1"/>
    <col min="15" max="15" width="9.7109375" style="1" customWidth="1" outlineLevel="1"/>
    <col min="16" max="17" width="14.7109375" customWidth="1"/>
    <col min="18" max="18" width="10" customWidth="1"/>
    <col min="19" max="23" width="8.42578125" customWidth="1"/>
    <col min="24" max="24" width="12.42578125" customWidth="1" outlineLevel="1"/>
    <col min="25" max="25" width="14.7109375" customWidth="1"/>
    <col min="26" max="30" width="8" customWidth="1"/>
    <col min="31" max="32" width="12.42578125" customWidth="1" outlineLevel="1"/>
    <col min="33" max="33" width="20.140625" style="3" customWidth="1"/>
    <col min="34" max="34" width="17.140625" customWidth="1"/>
    <col min="35" max="35" width="17" customWidth="1"/>
    <col min="36" max="36" width="13.42578125" style="2" customWidth="1"/>
    <col min="37" max="37" width="14.28515625" style="1" customWidth="1" outlineLevel="1"/>
    <col min="39" max="39" width="24.140625" customWidth="1"/>
    <col min="40" max="40" width="11.5703125" customWidth="1"/>
    <col min="41" max="41" width="11.140625" customWidth="1"/>
    <col min="42" max="44" width="11.140625" style="1" customWidth="1"/>
    <col min="45" max="45" width="10.7109375" customWidth="1"/>
    <col min="52" max="56" width="23" customWidth="1"/>
    <col min="57" max="60" width="13.42578125" style="2" customWidth="1"/>
    <col min="61" max="61" width="14.28515625" style="1" customWidth="1" outlineLevel="1"/>
    <col min="63" max="63" width="24.140625" customWidth="1"/>
    <col min="64" max="64" width="11.5703125" customWidth="1"/>
    <col min="65" max="65" width="11.140625" customWidth="1"/>
    <col min="66" max="68" width="11.140625" style="1" customWidth="1"/>
    <col min="69" max="69" width="10.7109375" customWidth="1"/>
    <col min="76" max="80" width="23" customWidth="1"/>
    <col min="82" max="82" width="24.140625" customWidth="1"/>
    <col min="83" max="83" width="11.5703125" customWidth="1"/>
    <col min="84" max="84" width="11.140625" customWidth="1"/>
    <col min="85" max="87" width="11.140625" style="1" customWidth="1"/>
    <col min="88" max="88" width="10.7109375" customWidth="1"/>
    <col min="94" max="94" width="11.140625" customWidth="1"/>
  </cols>
  <sheetData>
    <row r="1" spans="2:88" x14ac:dyDescent="0.2">
      <c r="B1" s="58" t="s">
        <v>257</v>
      </c>
      <c r="K1"/>
      <c r="L1" s="1"/>
      <c r="M1" s="1"/>
      <c r="N1"/>
      <c r="O1"/>
      <c r="AG1"/>
      <c r="AJ1"/>
      <c r="AK1"/>
      <c r="BE1"/>
      <c r="BF1"/>
      <c r="BG1"/>
      <c r="BH1"/>
      <c r="BI1"/>
    </row>
    <row r="2" spans="2:88" x14ac:dyDescent="0.2">
      <c r="K2"/>
      <c r="N2"/>
      <c r="O2"/>
      <c r="AG2"/>
      <c r="AJ2"/>
      <c r="AK2"/>
      <c r="BE2"/>
      <c r="BF2"/>
      <c r="BG2"/>
      <c r="BH2"/>
      <c r="BI2"/>
    </row>
    <row r="3" spans="2:88" x14ac:dyDescent="0.2">
      <c r="B3" s="245" t="s">
        <v>290</v>
      </c>
      <c r="C3" s="246"/>
      <c r="D3" s="247"/>
      <c r="H3"/>
      <c r="I3" s="1"/>
    </row>
    <row r="4" spans="2:88" x14ac:dyDescent="0.2">
      <c r="B4" s="149" t="s">
        <v>291</v>
      </c>
      <c r="C4" s="91"/>
      <c r="D4" s="204" t="s">
        <v>292</v>
      </c>
      <c r="J4" s="192"/>
      <c r="K4" s="20"/>
      <c r="L4" s="195"/>
      <c r="O4" s="20"/>
      <c r="CC4" s="58" t="s">
        <v>103</v>
      </c>
      <c r="CF4" s="1"/>
    </row>
    <row r="5" spans="2:88" x14ac:dyDescent="0.2">
      <c r="B5" s="8" t="s">
        <v>293</v>
      </c>
      <c r="D5" s="9">
        <v>11.5</v>
      </c>
      <c r="J5" s="192"/>
      <c r="K5" s="20"/>
      <c r="L5" s="195"/>
      <c r="O5" s="20"/>
      <c r="CC5" s="136" t="s">
        <v>161</v>
      </c>
      <c r="CD5" s="130" t="s">
        <v>93</v>
      </c>
      <c r="CE5" s="130"/>
      <c r="CF5" s="130" t="s">
        <v>162</v>
      </c>
      <c r="CG5" s="131"/>
    </row>
    <row r="6" spans="2:88" x14ac:dyDescent="0.2">
      <c r="B6" s="8" t="s">
        <v>294</v>
      </c>
      <c r="D6" s="9">
        <v>0</v>
      </c>
      <c r="L6" s="195"/>
      <c r="CC6" s="137" t="s">
        <v>160</v>
      </c>
      <c r="CD6" s="132" t="s">
        <v>93</v>
      </c>
      <c r="CE6" s="132" t="s">
        <v>92</v>
      </c>
      <c r="CF6" s="132" t="s">
        <v>93</v>
      </c>
      <c r="CG6" s="133" t="s">
        <v>92</v>
      </c>
    </row>
    <row r="7" spans="2:88" ht="25.5" x14ac:dyDescent="0.25">
      <c r="B7" s="5"/>
      <c r="C7" s="4"/>
      <c r="D7" s="93"/>
      <c r="L7" s="195"/>
      <c r="T7" s="194"/>
      <c r="U7" s="194"/>
      <c r="V7" s="194"/>
      <c r="Z7" s="194"/>
      <c r="AA7" s="194"/>
      <c r="AB7" s="194"/>
      <c r="AC7" s="194"/>
      <c r="AD7" s="194"/>
      <c r="CC7" s="138" t="s">
        <v>163</v>
      </c>
      <c r="CD7" s="139" t="s">
        <v>102</v>
      </c>
      <c r="CE7" s="139" t="s">
        <v>101</v>
      </c>
      <c r="CF7" s="139" t="s">
        <v>98</v>
      </c>
      <c r="CG7" s="140" t="s">
        <v>97</v>
      </c>
    </row>
    <row r="8" spans="2:88" ht="15" x14ac:dyDescent="0.25">
      <c r="L8" s="195"/>
      <c r="T8" s="194"/>
      <c r="U8" s="194"/>
      <c r="V8" s="194"/>
      <c r="Z8" s="194"/>
      <c r="AA8" s="194"/>
      <c r="AB8" s="194"/>
      <c r="AC8" s="194"/>
      <c r="AD8" s="194"/>
      <c r="CC8" s="129" t="s">
        <v>166</v>
      </c>
      <c r="CD8" s="16">
        <f>COUNTIF($AT$51:$AT$117,0)</f>
        <v>13</v>
      </c>
      <c r="CE8" s="16">
        <f>COUNTIF($AT$51:$AT$117,2)</f>
        <v>0</v>
      </c>
      <c r="CF8" s="16">
        <f>COUNTIF($AT$51:$AT$117,1)</f>
        <v>46</v>
      </c>
      <c r="CG8" s="16">
        <f>COUNTIF($AT$51:$AT$117,3)</f>
        <v>1</v>
      </c>
    </row>
    <row r="9" spans="2:88" ht="15" x14ac:dyDescent="0.25">
      <c r="B9" s="194"/>
      <c r="C9" s="194"/>
      <c r="D9" s="194"/>
      <c r="L9" s="195"/>
      <c r="T9" s="194"/>
      <c r="U9" s="194"/>
      <c r="V9" s="194"/>
      <c r="Z9" s="194"/>
      <c r="AA9" s="194"/>
      <c r="AB9" s="194"/>
      <c r="AC9" s="194"/>
      <c r="AD9" s="194"/>
      <c r="CF9" s="1"/>
    </row>
    <row r="10" spans="2:88" ht="15" x14ac:dyDescent="0.25">
      <c r="B10" s="194"/>
      <c r="C10" s="194"/>
      <c r="D10" s="194"/>
      <c r="L10" s="195"/>
      <c r="T10" s="194"/>
      <c r="U10" s="194"/>
      <c r="V10" s="194"/>
      <c r="Z10" s="194"/>
      <c r="AA10" s="194"/>
      <c r="AB10" s="194"/>
      <c r="AC10" s="194"/>
      <c r="AD10" s="194"/>
      <c r="CF10" s="1"/>
    </row>
    <row r="11" spans="2:88" ht="15" x14ac:dyDescent="0.25">
      <c r="B11" s="194"/>
      <c r="C11" s="194"/>
      <c r="D11" s="194"/>
      <c r="L11" s="195"/>
      <c r="T11" s="194"/>
      <c r="U11" s="194"/>
      <c r="V11" s="194"/>
      <c r="Z11" s="194"/>
      <c r="AA11" s="194"/>
      <c r="AB11" s="194"/>
      <c r="AC11" s="194"/>
      <c r="AD11" s="194"/>
      <c r="CC11" s="58"/>
      <c r="CF11" s="1"/>
    </row>
    <row r="12" spans="2:88" ht="15" x14ac:dyDescent="0.25">
      <c r="B12" s="194"/>
      <c r="C12" s="194"/>
      <c r="D12" s="194"/>
      <c r="L12" s="195"/>
      <c r="T12" s="194"/>
      <c r="U12" s="194"/>
      <c r="V12" s="194"/>
      <c r="W12" s="194"/>
      <c r="Y12" s="194"/>
      <c r="Z12" s="194"/>
      <c r="AA12" s="194"/>
      <c r="AB12" s="194"/>
      <c r="AC12" s="194"/>
      <c r="AD12" s="194"/>
      <c r="AI12" s="2"/>
      <c r="AJ12"/>
      <c r="BE12"/>
      <c r="BF12"/>
      <c r="BG12"/>
      <c r="BH12"/>
      <c r="CC12" s="79" t="s">
        <v>190</v>
      </c>
      <c r="CD12" s="78" t="s">
        <v>90</v>
      </c>
      <c r="CE12" s="77" t="s">
        <v>89</v>
      </c>
      <c r="CF12" s="76"/>
    </row>
    <row r="13" spans="2:88" ht="15" x14ac:dyDescent="0.25">
      <c r="B13" s="194"/>
      <c r="C13" s="194"/>
      <c r="D13" s="194"/>
      <c r="L13" s="195"/>
      <c r="T13" s="194"/>
      <c r="U13" s="194"/>
      <c r="V13" s="194"/>
      <c r="W13" s="194"/>
      <c r="Y13" s="194"/>
      <c r="Z13" s="194"/>
      <c r="AA13" s="194"/>
      <c r="AB13" s="194"/>
      <c r="AC13" s="194"/>
      <c r="AD13" s="194"/>
      <c r="AI13" s="2"/>
      <c r="AJ13"/>
      <c r="AS13" s="72"/>
      <c r="BE13"/>
      <c r="BF13"/>
      <c r="BG13"/>
      <c r="BH13"/>
      <c r="BQ13" s="72"/>
      <c r="CC13" s="75" t="s">
        <v>88</v>
      </c>
      <c r="CD13" s="146" t="e">
        <f>AVERAGE(#REF!)</f>
        <v>#REF!</v>
      </c>
      <c r="CE13" s="146" t="e">
        <f>AVERAGE(BC51:BC60,BD64:BD83,BC86:BC88,BD91:BD117)</f>
        <v>#DIV/0!</v>
      </c>
      <c r="CF13" s="1"/>
      <c r="CJ13" s="72"/>
    </row>
    <row r="14" spans="2:88" ht="15" x14ac:dyDescent="0.25">
      <c r="B14" s="194"/>
      <c r="C14" s="194"/>
      <c r="D14" s="194"/>
      <c r="L14" s="195"/>
      <c r="Q14" s="194"/>
      <c r="R14" s="194"/>
      <c r="S14" s="194"/>
      <c r="T14" s="194"/>
      <c r="U14" s="194"/>
      <c r="V14" s="194"/>
      <c r="W14" s="194"/>
      <c r="Y14" s="194"/>
      <c r="Z14" s="194"/>
      <c r="AA14" s="194"/>
      <c r="AB14" s="194"/>
      <c r="AC14" s="194"/>
      <c r="AD14" s="194"/>
      <c r="AI14" s="2"/>
      <c r="AJ14"/>
      <c r="BE14"/>
      <c r="BF14"/>
      <c r="BG14"/>
      <c r="BH14"/>
      <c r="CC14" s="75" t="s">
        <v>87</v>
      </c>
      <c r="CD14" s="146" t="e">
        <f>MEDIAN(#REF!)</f>
        <v>#REF!</v>
      </c>
      <c r="CE14" s="146" t="e">
        <f>MEDIAN(BC51:BC60,BD64:BD83,BC86:BC88,BD91:BD117)</f>
        <v>#NUM!</v>
      </c>
      <c r="CF14" s="1"/>
    </row>
    <row r="15" spans="2:88" ht="15" x14ac:dyDescent="0.25">
      <c r="B15" s="194"/>
      <c r="C15" s="194"/>
      <c r="D15" s="194"/>
      <c r="L15" s="195"/>
      <c r="Q15" s="193"/>
      <c r="R15" s="193"/>
      <c r="S15" s="193"/>
      <c r="T15" s="193"/>
      <c r="U15" s="193"/>
      <c r="V15" s="193"/>
      <c r="W15" s="193"/>
      <c r="Y15" s="193"/>
      <c r="Z15" s="193"/>
      <c r="AA15" s="193"/>
      <c r="AB15" s="193"/>
      <c r="AC15" s="193"/>
      <c r="AD15" s="193"/>
      <c r="AI15" s="2"/>
      <c r="AJ15"/>
      <c r="BE15"/>
      <c r="BF15"/>
      <c r="BG15"/>
      <c r="BH15"/>
      <c r="CC15" s="75" t="s">
        <v>86</v>
      </c>
      <c r="CD15" s="146" t="e">
        <f>MIN(#REF!)</f>
        <v>#REF!</v>
      </c>
      <c r="CE15" s="146">
        <f>MIN(BC51:BC60,BD64:BD83,BC86:BC88,BD91:BD117)</f>
        <v>0</v>
      </c>
      <c r="CF15" s="1"/>
    </row>
    <row r="16" spans="2:88" ht="15" x14ac:dyDescent="0.25">
      <c r="L16" s="195"/>
      <c r="Q16" s="194"/>
      <c r="R16" s="194"/>
      <c r="S16" s="194"/>
      <c r="T16" s="194"/>
      <c r="U16" s="194"/>
      <c r="V16" s="194"/>
      <c r="W16" s="194"/>
      <c r="Y16" s="194"/>
      <c r="Z16" s="194"/>
      <c r="AA16" s="194"/>
      <c r="AB16" s="194"/>
      <c r="AC16" s="194"/>
      <c r="AD16" s="194"/>
      <c r="AI16" s="2"/>
      <c r="AJ16"/>
      <c r="BE16"/>
      <c r="BF16"/>
      <c r="BG16"/>
      <c r="BH16"/>
      <c r="CC16" s="73" t="s">
        <v>85</v>
      </c>
      <c r="CD16" s="146" t="e">
        <f>MAX(#REF!)</f>
        <v>#REF!</v>
      </c>
      <c r="CE16" s="146">
        <f>MAX(BC51:BC60,BD64:BD83,BC86:BC88,BD91:BD117)</f>
        <v>0</v>
      </c>
      <c r="CF16" s="1"/>
    </row>
    <row r="17" spans="2:84" ht="15" x14ac:dyDescent="0.25">
      <c r="B17" s="1"/>
      <c r="C17" s="1"/>
      <c r="D17" s="1"/>
      <c r="E17" s="1"/>
      <c r="F17" s="1"/>
      <c r="H17" s="20"/>
      <c r="I17" s="1"/>
      <c r="J17" s="192"/>
      <c r="K17" s="20"/>
      <c r="L17" s="195"/>
      <c r="Q17" s="194"/>
      <c r="R17" s="194"/>
      <c r="S17" s="194"/>
      <c r="T17" s="194"/>
      <c r="U17" s="194"/>
      <c r="V17" s="194"/>
      <c r="W17" s="194"/>
      <c r="Y17" s="194"/>
      <c r="Z17" s="194"/>
      <c r="AA17" s="194"/>
      <c r="AB17" s="194"/>
      <c r="AC17" s="194"/>
      <c r="AD17" s="194"/>
      <c r="AI17" s="2"/>
      <c r="AJ17"/>
      <c r="AM17" s="146"/>
      <c r="AN17" s="146"/>
      <c r="AO17" s="1"/>
      <c r="BE17"/>
      <c r="BF17"/>
      <c r="BG17"/>
      <c r="BH17"/>
      <c r="BJ17" s="146"/>
      <c r="BK17" s="146"/>
      <c r="BL17" s="146"/>
      <c r="BM17" s="1"/>
      <c r="CC17" s="47"/>
      <c r="CD17" s="146"/>
      <c r="CE17" s="146"/>
      <c r="CF17" s="1"/>
    </row>
    <row r="18" spans="2:84" ht="15" x14ac:dyDescent="0.25">
      <c r="B18" s="1"/>
      <c r="C18" s="1"/>
      <c r="D18" s="1"/>
      <c r="E18" s="1"/>
      <c r="F18" s="1"/>
      <c r="H18" s="20"/>
      <c r="I18" s="1"/>
      <c r="J18" s="192"/>
      <c r="K18" s="20"/>
      <c r="L18" s="195"/>
      <c r="Q18" s="194"/>
      <c r="R18" s="194"/>
      <c r="S18" s="194"/>
      <c r="T18" s="194"/>
      <c r="U18" s="194"/>
      <c r="V18" s="194"/>
      <c r="W18" s="194"/>
      <c r="Y18" s="194"/>
      <c r="Z18" s="194"/>
      <c r="AA18" s="194"/>
      <c r="AB18" s="194"/>
      <c r="AC18" s="194"/>
      <c r="AD18" s="194"/>
      <c r="AI18" s="2"/>
      <c r="AJ18"/>
      <c r="AM18" s="146"/>
      <c r="AN18" s="146"/>
      <c r="AO18" s="1"/>
      <c r="BE18"/>
      <c r="BF18"/>
      <c r="BG18"/>
      <c r="BH18"/>
      <c r="BJ18" s="146"/>
      <c r="BK18" s="146"/>
      <c r="BL18" s="146"/>
      <c r="BM18" s="1"/>
      <c r="CC18" s="47"/>
      <c r="CD18" s="146"/>
      <c r="CE18" s="146"/>
      <c r="CF18" s="1"/>
    </row>
    <row r="19" spans="2:84" ht="15" x14ac:dyDescent="0.25">
      <c r="B19" s="1"/>
      <c r="C19" s="1"/>
      <c r="D19" s="1"/>
      <c r="E19" s="1"/>
      <c r="F19" s="1"/>
      <c r="H19" s="20"/>
      <c r="I19" s="1"/>
      <c r="J19" s="192"/>
      <c r="K19" s="20"/>
      <c r="L19" s="195"/>
      <c r="Q19" s="194"/>
      <c r="R19" s="194"/>
      <c r="S19" s="194"/>
      <c r="T19" s="194"/>
      <c r="U19" s="194"/>
      <c r="V19" s="194"/>
      <c r="W19" s="194"/>
      <c r="Y19" s="194"/>
      <c r="Z19" s="194"/>
      <c r="AA19" s="194"/>
      <c r="AB19" s="194"/>
      <c r="AC19" s="194"/>
      <c r="AD19" s="194"/>
      <c r="AI19" s="2"/>
      <c r="AJ19"/>
      <c r="AM19" s="146"/>
      <c r="AN19" s="146"/>
      <c r="AO19" s="1"/>
      <c r="BE19"/>
      <c r="BF19"/>
      <c r="BG19"/>
      <c r="BH19"/>
      <c r="BJ19" s="146"/>
      <c r="BK19" s="146"/>
      <c r="BL19" s="146"/>
      <c r="BM19" s="1"/>
      <c r="CC19" s="47"/>
      <c r="CD19" s="146"/>
      <c r="CE19" s="146"/>
      <c r="CF19" s="1"/>
    </row>
    <row r="20" spans="2:84" ht="15" x14ac:dyDescent="0.25">
      <c r="B20" s="1"/>
      <c r="C20" s="1"/>
      <c r="D20" s="1"/>
      <c r="E20" s="1"/>
      <c r="F20" s="1"/>
      <c r="H20" s="20"/>
      <c r="I20" s="1"/>
      <c r="J20" s="192"/>
      <c r="K20" s="20"/>
      <c r="L20" s="195"/>
      <c r="Q20" s="194"/>
      <c r="R20" s="194"/>
      <c r="S20" s="194"/>
      <c r="T20" s="194"/>
      <c r="U20" s="194"/>
      <c r="V20" s="194"/>
      <c r="W20" s="194"/>
      <c r="Y20" s="194"/>
      <c r="Z20" s="194"/>
      <c r="AA20" s="194"/>
      <c r="AB20" s="194"/>
      <c r="AC20" s="194"/>
      <c r="AD20" s="194"/>
      <c r="AI20" s="2"/>
      <c r="AJ20"/>
      <c r="AM20" s="146"/>
      <c r="AN20" s="146"/>
      <c r="AO20" s="1"/>
      <c r="BE20"/>
      <c r="BF20"/>
      <c r="BG20"/>
      <c r="BH20"/>
      <c r="BJ20" s="146"/>
      <c r="BK20" s="146"/>
      <c r="BL20" s="146"/>
      <c r="BM20" s="1"/>
      <c r="CC20" s="47"/>
      <c r="CD20" s="146"/>
      <c r="CE20" s="146"/>
      <c r="CF20" s="1"/>
    </row>
    <row r="21" spans="2:84" ht="15" x14ac:dyDescent="0.25">
      <c r="B21" s="1"/>
      <c r="C21" s="1"/>
      <c r="D21" s="1"/>
      <c r="E21" s="1"/>
      <c r="F21" s="1"/>
      <c r="H21" s="20"/>
      <c r="I21" s="1"/>
      <c r="J21" s="192"/>
      <c r="K21" s="20"/>
      <c r="L21" s="195"/>
      <c r="Q21" s="194"/>
      <c r="R21" s="194"/>
      <c r="S21" s="194"/>
      <c r="T21" s="194"/>
      <c r="U21" s="194"/>
      <c r="V21" s="194"/>
      <c r="W21" s="194"/>
      <c r="Y21" s="194"/>
      <c r="Z21" s="194"/>
      <c r="AA21" s="194"/>
      <c r="AB21" s="194"/>
      <c r="AC21" s="194"/>
      <c r="AD21" s="194"/>
      <c r="AI21" s="2"/>
      <c r="AJ21"/>
      <c r="AM21" s="146"/>
      <c r="AN21" s="146"/>
      <c r="AO21" s="1"/>
      <c r="BE21"/>
      <c r="BF21"/>
      <c r="BG21"/>
      <c r="BH21"/>
      <c r="BJ21" s="146"/>
      <c r="BK21" s="146"/>
      <c r="BL21" s="146"/>
      <c r="BM21" s="1"/>
      <c r="CC21" s="47"/>
      <c r="CD21" s="146"/>
      <c r="CE21" s="146"/>
      <c r="CF21" s="1"/>
    </row>
    <row r="22" spans="2:84" ht="15" x14ac:dyDescent="0.25">
      <c r="B22" s="1"/>
      <c r="C22" s="1"/>
      <c r="D22" s="1"/>
      <c r="E22" s="1"/>
      <c r="F22" s="1"/>
      <c r="H22" s="20"/>
      <c r="I22" s="1"/>
      <c r="J22" s="192"/>
      <c r="K22" s="20"/>
      <c r="L22" s="195"/>
      <c r="Q22" s="194"/>
      <c r="R22" s="194"/>
      <c r="S22" s="194"/>
      <c r="T22" s="194"/>
      <c r="U22" s="194"/>
      <c r="V22" s="194"/>
      <c r="W22" s="194"/>
      <c r="Y22" s="194"/>
      <c r="Z22" s="194"/>
      <c r="AA22" s="194"/>
      <c r="AB22" s="194"/>
      <c r="AC22" s="194"/>
      <c r="AD22" s="194"/>
      <c r="AI22" s="2"/>
      <c r="AJ22"/>
      <c r="AM22" s="146"/>
      <c r="AN22" s="146"/>
      <c r="AO22" s="1"/>
      <c r="BE22"/>
      <c r="BF22"/>
      <c r="BG22"/>
      <c r="BH22"/>
      <c r="BJ22" s="146"/>
      <c r="BK22" s="146"/>
      <c r="BL22" s="146"/>
      <c r="BM22" s="1"/>
      <c r="CC22" s="47"/>
      <c r="CD22" s="146"/>
      <c r="CE22" s="146"/>
      <c r="CF22" s="1"/>
    </row>
    <row r="23" spans="2:84" ht="15" x14ac:dyDescent="0.25">
      <c r="B23" s="1"/>
      <c r="C23" s="1"/>
      <c r="D23" s="1"/>
      <c r="E23" s="1"/>
      <c r="F23" s="1"/>
      <c r="H23" s="20"/>
      <c r="I23" s="1"/>
      <c r="J23" s="192"/>
      <c r="K23" s="20"/>
      <c r="L23" s="195"/>
      <c r="Q23" s="194"/>
      <c r="R23" s="194"/>
      <c r="S23" s="194"/>
      <c r="T23" s="194"/>
      <c r="U23" s="194"/>
      <c r="V23" s="194"/>
      <c r="W23" s="194"/>
      <c r="Y23" s="194"/>
      <c r="Z23" s="194"/>
      <c r="AA23" s="194"/>
      <c r="AB23" s="194"/>
      <c r="AC23" s="194"/>
      <c r="AD23" s="194"/>
      <c r="AI23" s="2"/>
      <c r="AJ23"/>
      <c r="AM23" s="146"/>
      <c r="AN23" s="146"/>
      <c r="AO23" s="1"/>
      <c r="BE23"/>
      <c r="BF23"/>
      <c r="BG23"/>
      <c r="BH23"/>
      <c r="BJ23" s="146"/>
      <c r="BK23" s="146"/>
      <c r="BL23" s="146"/>
      <c r="BM23" s="1"/>
      <c r="CC23" s="47"/>
      <c r="CD23" s="146"/>
      <c r="CE23" s="146"/>
      <c r="CF23" s="1"/>
    </row>
    <row r="24" spans="2:84" ht="15" x14ac:dyDescent="0.25">
      <c r="B24" s="1"/>
      <c r="C24" s="1"/>
      <c r="D24" s="1"/>
      <c r="E24" s="1"/>
      <c r="F24" s="1"/>
      <c r="H24" s="20"/>
      <c r="I24" s="1"/>
      <c r="J24" s="192"/>
      <c r="K24" s="20"/>
      <c r="L24" s="195"/>
      <c r="Q24" s="194"/>
      <c r="R24" s="194"/>
      <c r="S24" s="194"/>
      <c r="T24" s="194"/>
      <c r="U24" s="194"/>
      <c r="V24" s="194"/>
      <c r="W24" s="194"/>
      <c r="Y24" s="194"/>
      <c r="Z24" s="194"/>
      <c r="AA24" s="194"/>
      <c r="AB24" s="194"/>
      <c r="AC24" s="194"/>
      <c r="AD24" s="194"/>
      <c r="AI24" s="2"/>
      <c r="AJ24"/>
      <c r="AL24" s="58" t="s">
        <v>103</v>
      </c>
      <c r="AO24" s="1"/>
      <c r="BE24"/>
      <c r="BF24"/>
      <c r="BG24"/>
      <c r="BH24"/>
      <c r="BJ24" s="58" t="s">
        <v>103</v>
      </c>
      <c r="BM24" s="1"/>
      <c r="CC24" s="47"/>
      <c r="CD24" s="146"/>
      <c r="CE24" s="146"/>
      <c r="CF24" s="1"/>
    </row>
    <row r="25" spans="2:84" ht="15" x14ac:dyDescent="0.25">
      <c r="B25" s="1"/>
      <c r="C25" s="1"/>
      <c r="D25" s="1"/>
      <c r="E25" s="1"/>
      <c r="F25" s="1"/>
      <c r="H25" s="20"/>
      <c r="I25" s="1"/>
      <c r="J25" s="192"/>
      <c r="K25" s="20"/>
      <c r="L25" s="195"/>
      <c r="Q25" s="194"/>
      <c r="R25" s="194"/>
      <c r="S25" s="194"/>
      <c r="T25" s="194"/>
      <c r="U25" s="194"/>
      <c r="V25" s="194"/>
      <c r="W25" s="194"/>
      <c r="Y25" s="194"/>
      <c r="Z25" s="194"/>
      <c r="AA25" s="194"/>
      <c r="AB25" s="194"/>
      <c r="AC25" s="194"/>
      <c r="AD25" s="194"/>
      <c r="AI25" s="2"/>
      <c r="AJ25"/>
      <c r="AL25" s="136" t="s">
        <v>161</v>
      </c>
      <c r="AM25" s="130" t="s">
        <v>93</v>
      </c>
      <c r="AN25" s="130"/>
      <c r="AO25" s="130" t="s">
        <v>162</v>
      </c>
      <c r="AP25" s="131"/>
      <c r="BE25"/>
      <c r="BF25"/>
      <c r="BG25"/>
      <c r="BH25"/>
      <c r="BJ25" s="136" t="s">
        <v>161</v>
      </c>
      <c r="BK25" s="130" t="s">
        <v>93</v>
      </c>
      <c r="BL25" s="130"/>
      <c r="BM25" s="130" t="s">
        <v>162</v>
      </c>
      <c r="BN25" s="131"/>
      <c r="CC25" s="47"/>
      <c r="CD25" s="146"/>
      <c r="CE25" s="146"/>
      <c r="CF25" s="1"/>
    </row>
    <row r="26" spans="2:84" ht="15" x14ac:dyDescent="0.25">
      <c r="B26" s="1"/>
      <c r="C26" s="1"/>
      <c r="D26" s="1"/>
      <c r="E26" s="1"/>
      <c r="F26" s="1"/>
      <c r="H26" s="20"/>
      <c r="I26" s="1"/>
      <c r="J26" s="192"/>
      <c r="K26" s="20"/>
      <c r="L26" s="195"/>
      <c r="Q26" s="194"/>
      <c r="R26" s="194"/>
      <c r="S26" s="194"/>
      <c r="T26" s="194"/>
      <c r="U26" s="194"/>
      <c r="V26" s="194"/>
      <c r="W26" s="194"/>
      <c r="Y26" s="194"/>
      <c r="Z26" s="194"/>
      <c r="AA26" s="194"/>
      <c r="AB26" s="194"/>
      <c r="AC26" s="194"/>
      <c r="AD26" s="194"/>
      <c r="AI26" s="2"/>
      <c r="AJ26"/>
      <c r="AL26" s="137" t="s">
        <v>160</v>
      </c>
      <c r="AM26" s="132" t="s">
        <v>93</v>
      </c>
      <c r="AN26" s="132" t="s">
        <v>92</v>
      </c>
      <c r="AO26" s="132" t="s">
        <v>93</v>
      </c>
      <c r="AP26" s="133" t="s">
        <v>92</v>
      </c>
      <c r="BE26"/>
      <c r="BF26"/>
      <c r="BG26"/>
      <c r="BH26"/>
      <c r="BJ26" s="137" t="s">
        <v>160</v>
      </c>
      <c r="BK26" s="132" t="s">
        <v>93</v>
      </c>
      <c r="BL26" s="132" t="s">
        <v>92</v>
      </c>
      <c r="BM26" s="132" t="s">
        <v>93</v>
      </c>
      <c r="BN26" s="133" t="s">
        <v>92</v>
      </c>
      <c r="CC26" s="47"/>
      <c r="CD26" s="146"/>
      <c r="CE26" s="146"/>
      <c r="CF26" s="1"/>
    </row>
    <row r="27" spans="2:84" ht="25.5" x14ac:dyDescent="0.25">
      <c r="B27" s="1"/>
      <c r="C27" s="1"/>
      <c r="D27" s="1"/>
      <c r="E27" s="1"/>
      <c r="F27" s="1"/>
      <c r="H27" s="20"/>
      <c r="I27" s="1"/>
      <c r="J27" s="192"/>
      <c r="K27" s="20"/>
      <c r="L27" s="195"/>
      <c r="Q27" s="194"/>
      <c r="R27" s="194"/>
      <c r="S27" s="194"/>
      <c r="T27" s="194"/>
      <c r="U27" s="194"/>
      <c r="V27" s="194"/>
      <c r="W27" s="194"/>
      <c r="Y27" s="194"/>
      <c r="Z27" s="194"/>
      <c r="AA27" s="194"/>
      <c r="AB27" s="194"/>
      <c r="AC27" s="194"/>
      <c r="AD27" s="194"/>
      <c r="AI27" s="2"/>
      <c r="AJ27"/>
      <c r="AL27" s="138" t="s">
        <v>163</v>
      </c>
      <c r="AM27" s="139" t="s">
        <v>102</v>
      </c>
      <c r="AN27" s="139" t="s">
        <v>101</v>
      </c>
      <c r="AO27" s="139" t="s">
        <v>98</v>
      </c>
      <c r="AP27" s="140" t="s">
        <v>97</v>
      </c>
      <c r="BE27"/>
      <c r="BF27"/>
      <c r="BG27"/>
      <c r="BH27"/>
      <c r="BJ27" s="138" t="s">
        <v>163</v>
      </c>
      <c r="BK27" s="139" t="s">
        <v>102</v>
      </c>
      <c r="BL27" s="139" t="s">
        <v>101</v>
      </c>
      <c r="BM27" s="139" t="s">
        <v>98</v>
      </c>
      <c r="BN27" s="140" t="s">
        <v>97</v>
      </c>
      <c r="CC27" s="47"/>
      <c r="CD27" s="146"/>
      <c r="CE27" s="146"/>
      <c r="CF27" s="1"/>
    </row>
    <row r="28" spans="2:84" ht="15" x14ac:dyDescent="0.25">
      <c r="B28" s="1"/>
      <c r="C28" s="1"/>
      <c r="D28" s="1"/>
      <c r="E28" s="1"/>
      <c r="F28" s="1"/>
      <c r="H28" s="20"/>
      <c r="I28" s="1"/>
      <c r="J28" s="192"/>
      <c r="K28" s="20"/>
      <c r="L28" s="195"/>
      <c r="Q28" s="194"/>
      <c r="R28" s="194"/>
      <c r="S28" s="194"/>
      <c r="T28" s="194"/>
      <c r="U28" s="194"/>
      <c r="V28" s="194"/>
      <c r="W28" s="194"/>
      <c r="Y28" s="194"/>
      <c r="Z28" s="194"/>
      <c r="AA28" s="194"/>
      <c r="AB28" s="194"/>
      <c r="AC28" s="194"/>
      <c r="AD28" s="194"/>
      <c r="AI28" s="2"/>
      <c r="AJ28"/>
      <c r="AL28" s="129" t="s">
        <v>166</v>
      </c>
      <c r="AM28" s="16">
        <f>COUNTIF($AT$51:$AT$117,0)</f>
        <v>13</v>
      </c>
      <c r="AN28" s="16">
        <f>COUNTIF($AT$51:$AT$117,2)</f>
        <v>0</v>
      </c>
      <c r="AO28" s="16">
        <f>COUNTIF($AT$51:$AT$117,1)</f>
        <v>46</v>
      </c>
      <c r="AP28" s="16">
        <f>COUNTIF($AT$51:$AT$117,3)</f>
        <v>1</v>
      </c>
      <c r="BE28"/>
      <c r="BF28"/>
      <c r="BG28"/>
      <c r="BH28"/>
      <c r="BJ28" s="129" t="s">
        <v>166</v>
      </c>
      <c r="BK28" s="16">
        <f>COUNTIF(BR51:BR117,0)</f>
        <v>13</v>
      </c>
      <c r="BL28" s="16">
        <f>COUNTIF(BR51:BR117,2)</f>
        <v>0</v>
      </c>
      <c r="BM28" s="16">
        <f>COUNTIF(BR51:BR117,1)</f>
        <v>45</v>
      </c>
      <c r="BN28" s="16">
        <f>COUNTIF(BR51:BR117,3)</f>
        <v>2</v>
      </c>
      <c r="CC28" s="47"/>
      <c r="CD28" s="146"/>
      <c r="CE28" s="146"/>
      <c r="CF28" s="1"/>
    </row>
    <row r="29" spans="2:84" ht="15" x14ac:dyDescent="0.25">
      <c r="B29" s="1"/>
      <c r="C29" s="1"/>
      <c r="D29" s="1"/>
      <c r="E29" s="1"/>
      <c r="F29" s="1"/>
      <c r="H29" s="20"/>
      <c r="I29" s="1"/>
      <c r="J29" s="192"/>
      <c r="K29" s="20"/>
      <c r="L29" s="195"/>
      <c r="Q29" s="194"/>
      <c r="R29" s="194"/>
      <c r="S29" s="194"/>
      <c r="T29" s="194"/>
      <c r="U29" s="194"/>
      <c r="V29" s="194"/>
      <c r="W29" s="194"/>
      <c r="Y29" s="194"/>
      <c r="Z29" s="194"/>
      <c r="AA29" s="194"/>
      <c r="AB29" s="194"/>
      <c r="AC29" s="194"/>
      <c r="AD29" s="194"/>
      <c r="AI29" s="2"/>
      <c r="AJ29"/>
      <c r="AO29" s="1"/>
      <c r="BE29"/>
      <c r="BF29"/>
      <c r="BG29"/>
      <c r="BH29"/>
      <c r="BM29" s="1"/>
      <c r="CC29" s="47"/>
      <c r="CD29" s="146"/>
      <c r="CE29" s="146"/>
      <c r="CF29" s="1"/>
    </row>
    <row r="30" spans="2:84" ht="15" x14ac:dyDescent="0.25">
      <c r="B30" s="7"/>
      <c r="C30" s="7"/>
      <c r="D30" s="7"/>
      <c r="E30" s="7"/>
      <c r="F30" s="7"/>
      <c r="H30" s="20"/>
      <c r="I30" s="1"/>
      <c r="J30" s="192"/>
      <c r="K30" s="20"/>
      <c r="L30" s="195"/>
      <c r="N30"/>
      <c r="O30"/>
      <c r="S30" s="194"/>
      <c r="T30" s="194"/>
      <c r="U30" s="194"/>
      <c r="V30" s="194"/>
      <c r="W30" s="194"/>
      <c r="Y30" s="194"/>
      <c r="Z30" s="194"/>
      <c r="AA30" s="194"/>
      <c r="AB30" s="194"/>
      <c r="AC30" s="194"/>
      <c r="AD30" s="194"/>
      <c r="AI30" s="2"/>
      <c r="AJ30"/>
      <c r="AL30" s="58" t="s">
        <v>190</v>
      </c>
      <c r="BE30"/>
      <c r="BF30"/>
      <c r="BG30"/>
      <c r="BH30"/>
      <c r="BM30" s="1"/>
      <c r="CC30" s="47"/>
      <c r="CD30" s="146"/>
      <c r="CE30" s="146"/>
      <c r="CF30" s="1"/>
    </row>
    <row r="31" spans="2:84" ht="15" x14ac:dyDescent="0.25">
      <c r="B31" s="212" t="s">
        <v>255</v>
      </c>
      <c r="C31" s="216"/>
      <c r="D31" s="214"/>
      <c r="E31" s="216"/>
      <c r="F31" s="217"/>
      <c r="H31" s="20"/>
      <c r="I31" s="1"/>
      <c r="J31" s="192"/>
      <c r="K31" s="20"/>
      <c r="N31"/>
      <c r="O31"/>
      <c r="AI31" s="2"/>
      <c r="AJ31"/>
      <c r="AL31" s="233"/>
      <c r="AM31" s="78" t="s">
        <v>90</v>
      </c>
      <c r="AN31" s="77" t="s">
        <v>89</v>
      </c>
      <c r="AO31" s="76"/>
      <c r="BE31"/>
      <c r="BF31"/>
      <c r="BG31"/>
      <c r="BH31"/>
      <c r="BJ31" s="58" t="s">
        <v>190</v>
      </c>
      <c r="BM31" s="1"/>
      <c r="CC31" s="47"/>
      <c r="CD31" s="146"/>
      <c r="CE31" s="146"/>
      <c r="CF31" s="1"/>
    </row>
    <row r="32" spans="2:84" ht="15" x14ac:dyDescent="0.25">
      <c r="B32" s="201" t="s">
        <v>91</v>
      </c>
      <c r="C32" s="202" t="s">
        <v>240</v>
      </c>
      <c r="D32" s="91"/>
      <c r="E32" s="203">
        <f>2.7/1000</f>
        <v>2.7000000000000001E-3</v>
      </c>
      <c r="F32" s="204" t="s">
        <v>94</v>
      </c>
      <c r="G32" s="198"/>
      <c r="I32" s="1"/>
      <c r="J32" s="192"/>
      <c r="K32" s="20"/>
      <c r="N32"/>
      <c r="O32"/>
      <c r="AI32" s="2"/>
      <c r="AJ32"/>
      <c r="AL32" s="234" t="s">
        <v>88</v>
      </c>
      <c r="AM32" s="146">
        <f>AVERAGE(AJ51:AJ117)</f>
        <v>62.055178406459568</v>
      </c>
      <c r="AN32" s="146">
        <f>AVERAGE($AH51:$AH60,$AI64:$AI83,$AH86:$AH88,$AI91:$AI117)</f>
        <v>1.5575297619047606</v>
      </c>
      <c r="AO32" s="1"/>
      <c r="BE32"/>
      <c r="BF32"/>
      <c r="BG32"/>
      <c r="BH32"/>
      <c r="BJ32" s="233"/>
      <c r="BK32" s="78" t="s">
        <v>90</v>
      </c>
      <c r="BL32" s="77" t="s">
        <v>89</v>
      </c>
      <c r="BM32" s="76"/>
      <c r="CC32" s="47"/>
      <c r="CD32" s="146"/>
      <c r="CE32" s="146"/>
      <c r="CF32" s="1"/>
    </row>
    <row r="33" spans="1:110" ht="15" x14ac:dyDescent="0.25">
      <c r="B33" s="205" t="s">
        <v>241</v>
      </c>
      <c r="C33" s="193" t="s">
        <v>242</v>
      </c>
      <c r="E33" s="357">
        <f>(0.025-2*E32)/2</f>
        <v>9.7999999999999997E-3</v>
      </c>
      <c r="F33" s="9" t="s">
        <v>94</v>
      </c>
      <c r="G33" s="198"/>
      <c r="I33" s="1"/>
      <c r="J33" s="192"/>
      <c r="K33" s="20"/>
      <c r="N33"/>
      <c r="O33"/>
      <c r="AI33" s="2"/>
      <c r="AJ33"/>
      <c r="AL33" s="75" t="s">
        <v>85</v>
      </c>
      <c r="AM33" s="146">
        <f>MAX(AJ51:AJ117)</f>
        <v>899.47089947089921</v>
      </c>
      <c r="AN33" s="146">
        <f>MAX($AH51:$AH60,$AI64:$AI83,$AH86:$AH88,$AI91:$AI117)</f>
        <v>47</v>
      </c>
      <c r="AO33" s="1"/>
      <c r="BE33"/>
      <c r="BF33"/>
      <c r="BG33"/>
      <c r="BH33"/>
      <c r="BJ33" s="234" t="s">
        <v>88</v>
      </c>
      <c r="BK33" s="146">
        <f>AVERAGE(BE51:BE117)</f>
        <v>18.282415594068244</v>
      </c>
      <c r="BL33" s="146">
        <f>AVERAGE($AH52:$AH61,$AI65:$AI84,$AH87:$AH89,$AI92:$AI118)</f>
        <v>0.81255739795918536</v>
      </c>
      <c r="BM33" s="1"/>
      <c r="CC33" s="47"/>
      <c r="CD33" s="146"/>
      <c r="CE33" s="146"/>
      <c r="CF33" s="1"/>
    </row>
    <row r="34" spans="1:110" ht="15" x14ac:dyDescent="0.25">
      <c r="B34" s="205" t="s">
        <v>243</v>
      </c>
      <c r="C34" s="193" t="s">
        <v>244</v>
      </c>
      <c r="E34" s="199" t="s">
        <v>254</v>
      </c>
      <c r="I34" s="1"/>
      <c r="J34" s="192"/>
      <c r="K34" s="20"/>
      <c r="N34"/>
      <c r="O34"/>
      <c r="W34" s="238"/>
      <c r="AD34" s="238"/>
      <c r="AI34" s="2"/>
      <c r="AJ34"/>
      <c r="AL34" s="75" t="s">
        <v>87</v>
      </c>
      <c r="AM34" s="146">
        <f>MEDIAN(AJ51:AJ117)</f>
        <v>6.7811827376453211</v>
      </c>
      <c r="AN34" s="146">
        <f>MEDIAN($AH51:$AH60,$AI64:$AI83,$AH86:$AH88,$AI91:$AI117)</f>
        <v>0.05</v>
      </c>
      <c r="BE34"/>
      <c r="BF34"/>
      <c r="BG34"/>
      <c r="BH34"/>
      <c r="BJ34" s="75" t="s">
        <v>85</v>
      </c>
      <c r="BK34" s="146">
        <f>MAX(BE51:BE117)</f>
        <v>209.91020171616847</v>
      </c>
      <c r="BL34" s="146">
        <f>MAX($AH52:$AH61,$AI65:$AI84,$AH87:$AH89,$AI92:$AI118)</f>
        <v>18</v>
      </c>
      <c r="BM34" s="1"/>
      <c r="CC34" s="47"/>
      <c r="CD34" s="146"/>
      <c r="CE34" s="146"/>
      <c r="CF34" s="1"/>
    </row>
    <row r="35" spans="1:110" ht="15" x14ac:dyDescent="0.25">
      <c r="B35" s="205" t="s">
        <v>245</v>
      </c>
      <c r="C35" s="193" t="s">
        <v>246</v>
      </c>
      <c r="E35" s="199" t="s">
        <v>254</v>
      </c>
      <c r="F35" s="9"/>
      <c r="I35" s="1"/>
      <c r="J35" s="192"/>
      <c r="K35" s="20"/>
      <c r="N35"/>
      <c r="O35"/>
      <c r="AI35" s="2"/>
      <c r="AJ35"/>
      <c r="AL35" s="73" t="s">
        <v>86</v>
      </c>
      <c r="AM35" s="146">
        <f>MIN(AJ51:AJ117)</f>
        <v>3.3257747543461821E-2</v>
      </c>
      <c r="AN35" s="146">
        <f>MIN($AH51:$AH60,$AI64:$AI83,$AH86:$AH88,$AI91:$AI117)</f>
        <v>0.02</v>
      </c>
      <c r="AO35" s="1"/>
      <c r="BE35"/>
      <c r="BF35"/>
      <c r="BG35"/>
      <c r="BH35"/>
      <c r="BJ35" s="75" t="s">
        <v>87</v>
      </c>
      <c r="BK35" s="146">
        <f>MEDIAN(BE51:BE117)</f>
        <v>2.7645682611669002</v>
      </c>
      <c r="BL35" s="146">
        <f>MEDIAN($AH52:$AH61,$AI65:$AI84,$AH87:$AH89,$AI92:$AI118)</f>
        <v>0.05</v>
      </c>
      <c r="BM35" s="1"/>
      <c r="CC35" s="47"/>
      <c r="CD35" s="146"/>
      <c r="CE35" s="146"/>
      <c r="CF35" s="1"/>
    </row>
    <row r="36" spans="1:110" ht="15" x14ac:dyDescent="0.25">
      <c r="B36" s="205" t="s">
        <v>247</v>
      </c>
      <c r="C36" s="193" t="s">
        <v>248</v>
      </c>
      <c r="E36" s="200">
        <v>25</v>
      </c>
      <c r="F36" s="9" t="s">
        <v>94</v>
      </c>
      <c r="I36" s="1"/>
      <c r="J36" s="192"/>
      <c r="K36" s="20"/>
      <c r="N36"/>
      <c r="O36"/>
      <c r="AI36" s="2"/>
      <c r="AJ36"/>
      <c r="AL36" s="58"/>
      <c r="AO36" s="1"/>
      <c r="BE36"/>
      <c r="BF36"/>
      <c r="BG36"/>
      <c r="BH36"/>
      <c r="BJ36" s="73" t="s">
        <v>86</v>
      </c>
      <c r="BK36" s="146">
        <f>MIN(BE51:BE117)</f>
        <v>1.1944804140323173E-2</v>
      </c>
      <c r="BL36" s="146">
        <f>MIN($AH52:$AH61,$AI65:$AI84,$AH87:$AH89,$AI92:$AI118)</f>
        <v>0.02</v>
      </c>
      <c r="BM36" s="1"/>
      <c r="CC36" s="47"/>
      <c r="CD36" s="146"/>
      <c r="CE36" s="146"/>
      <c r="CF36" s="1"/>
    </row>
    <row r="37" spans="1:110" ht="15" x14ac:dyDescent="0.25">
      <c r="B37" s="205" t="s">
        <v>249</v>
      </c>
      <c r="C37" s="193" t="s">
        <v>250</v>
      </c>
      <c r="E37" s="200">
        <v>0.5</v>
      </c>
      <c r="F37" s="9" t="s">
        <v>251</v>
      </c>
      <c r="I37" s="1"/>
      <c r="J37" s="192"/>
      <c r="K37" s="20"/>
      <c r="N37"/>
      <c r="O37"/>
      <c r="AI37" s="2"/>
      <c r="AJ37"/>
      <c r="BE37"/>
      <c r="BF37"/>
      <c r="BG37"/>
      <c r="BH37"/>
      <c r="BM37" s="1"/>
      <c r="CC37" s="47"/>
      <c r="CD37" s="146"/>
      <c r="CE37" s="146"/>
      <c r="CF37" s="1"/>
    </row>
    <row r="38" spans="1:110" x14ac:dyDescent="0.2">
      <c r="B38" s="206" t="s">
        <v>252</v>
      </c>
      <c r="C38" s="4" t="s">
        <v>253</v>
      </c>
      <c r="D38" s="4"/>
      <c r="E38" s="222">
        <f>8/24</f>
        <v>0.33333333333333331</v>
      </c>
      <c r="F38" s="93" t="s">
        <v>91</v>
      </c>
      <c r="I38" s="1"/>
      <c r="J38" s="192"/>
      <c r="K38" s="20"/>
      <c r="N38"/>
      <c r="O38"/>
      <c r="AI38" s="2"/>
      <c r="AJ38"/>
      <c r="AL38" s="235" t="s">
        <v>283</v>
      </c>
      <c r="BE38"/>
      <c r="BF38"/>
      <c r="BG38"/>
      <c r="BH38"/>
      <c r="BJ38" s="235" t="s">
        <v>283</v>
      </c>
      <c r="BM38" s="1"/>
      <c r="CC38" s="47"/>
      <c r="CD38" s="146"/>
      <c r="CE38" s="146"/>
      <c r="CF38" s="1"/>
    </row>
    <row r="39" spans="1:110" x14ac:dyDescent="0.2">
      <c r="C39" s="1"/>
      <c r="E39" s="1"/>
      <c r="F39" s="1"/>
      <c r="H39" s="20"/>
      <c r="I39" s="1"/>
      <c r="J39" s="192"/>
      <c r="K39" s="20"/>
      <c r="N39"/>
      <c r="O39"/>
      <c r="AI39" s="2"/>
      <c r="AJ39"/>
      <c r="AL39" s="79"/>
      <c r="AM39" s="129" t="s">
        <v>284</v>
      </c>
      <c r="AN39" s="129" t="s">
        <v>307</v>
      </c>
      <c r="AO39" s="1"/>
      <c r="BE39"/>
      <c r="BF39"/>
      <c r="BG39"/>
      <c r="BH39"/>
      <c r="BJ39" s="79"/>
      <c r="BK39" s="129" t="s">
        <v>284</v>
      </c>
      <c r="BL39" s="129" t="s">
        <v>307</v>
      </c>
      <c r="BM39" s="1"/>
      <c r="CC39" s="47"/>
      <c r="CD39" s="146"/>
      <c r="CE39" s="146"/>
      <c r="CF39" s="1"/>
    </row>
    <row r="40" spans="1:110" x14ac:dyDescent="0.2">
      <c r="B40" s="218" t="s">
        <v>100</v>
      </c>
      <c r="C40" s="207"/>
      <c r="D40" s="82"/>
      <c r="E40" s="219">
        <f>PI()*(E33)^2</f>
        <v>3.0171855845076374E-4</v>
      </c>
      <c r="F40" s="81" t="s">
        <v>99</v>
      </c>
      <c r="H40" s="20"/>
      <c r="I40" s="1"/>
      <c r="J40" s="192"/>
      <c r="K40" s="20"/>
      <c r="N40"/>
      <c r="O40"/>
      <c r="AI40" s="2"/>
      <c r="AJ40"/>
      <c r="AL40" s="236" t="s">
        <v>274</v>
      </c>
      <c r="AM40" s="146">
        <f>PERCENTILE((AM51:AM60,AM86:AM88),0.5)</f>
        <v>8.9279486642951777</v>
      </c>
      <c r="AN40" s="146">
        <f>PERCENTILE((AM51:AM117),0.5)</f>
        <v>116.52809271856889</v>
      </c>
      <c r="AO40" s="1"/>
      <c r="BE40"/>
      <c r="BF40"/>
      <c r="BG40"/>
      <c r="BH40"/>
      <c r="BJ40" s="236" t="s">
        <v>274</v>
      </c>
      <c r="BK40" s="146">
        <f>PERCENTILE((BK51:BK60,BK86:BK88),0.5)</f>
        <v>2.5885188769837901</v>
      </c>
      <c r="BL40" s="146">
        <f>PERCENTILE((BK51:BK117),0.5)</f>
        <v>55.22767068086371</v>
      </c>
      <c r="BM40" s="1"/>
      <c r="CC40" s="47"/>
      <c r="CD40" s="146"/>
      <c r="CE40" s="146"/>
      <c r="CF40" s="1"/>
    </row>
    <row r="41" spans="1:110" x14ac:dyDescent="0.2">
      <c r="B41" s="80" t="s">
        <v>96</v>
      </c>
      <c r="C41" s="196"/>
      <c r="D41" s="7"/>
      <c r="E41" s="220">
        <f>PI()*E33*2</f>
        <v>6.1575216010359944E-2</v>
      </c>
      <c r="F41" s="221" t="s">
        <v>95</v>
      </c>
      <c r="H41" s="20"/>
      <c r="I41" s="1"/>
      <c r="J41" s="192"/>
      <c r="K41" s="20"/>
      <c r="AI41" s="2"/>
      <c r="AJ41"/>
      <c r="AL41" s="237" t="s">
        <v>275</v>
      </c>
      <c r="AM41" s="146">
        <f>PERCENTILE((AM51:AM60,AM86:AM88),0.1)</f>
        <v>1.8307008952231718</v>
      </c>
      <c r="AN41" s="146">
        <f>PERCENTILE((AM51:AM117),0.1)</f>
        <v>3.0970017636684304</v>
      </c>
      <c r="BE41"/>
      <c r="BF41"/>
      <c r="BG41"/>
      <c r="BH41"/>
      <c r="BJ41" s="237" t="s">
        <v>275</v>
      </c>
      <c r="BK41" s="146">
        <f>PERCENTILE((BK51:BK60,BK86:BK88),0.1)</f>
        <v>0.44684807232974405</v>
      </c>
      <c r="BL41" s="146">
        <f>PERCENTILE((BK51:BK117),0.1)</f>
        <v>1.3071935915513408</v>
      </c>
      <c r="BM41" s="1"/>
      <c r="CC41" s="47"/>
      <c r="CD41" s="146"/>
      <c r="CE41" s="146"/>
      <c r="CF41" s="1"/>
    </row>
    <row r="42" spans="1:110" x14ac:dyDescent="0.2">
      <c r="E42" s="1"/>
      <c r="J42" s="71"/>
      <c r="AO42" s="1"/>
      <c r="BJ42" t="s">
        <v>308</v>
      </c>
      <c r="BK42" s="267">
        <f>PERCENTILE((BK51:BK60,BK86:BK88),0.9)</f>
        <v>106.39549826692459</v>
      </c>
      <c r="BM42" s="1"/>
      <c r="CF42" s="1"/>
    </row>
    <row r="43" spans="1:110" s="58" customFormat="1" x14ac:dyDescent="0.2">
      <c r="A43" s="64" t="s">
        <v>84</v>
      </c>
      <c r="B43" s="60"/>
      <c r="C43" s="60"/>
      <c r="D43" s="60"/>
      <c r="E43" s="60"/>
      <c r="F43" s="69"/>
      <c r="G43" s="66" t="s">
        <v>83</v>
      </c>
      <c r="H43" s="68"/>
      <c r="I43" s="67" t="s">
        <v>82</v>
      </c>
      <c r="J43" s="66"/>
      <c r="K43" s="148"/>
      <c r="L43" s="66" t="s">
        <v>168</v>
      </c>
      <c r="M43" s="66"/>
      <c r="N43" s="65" t="s">
        <v>81</v>
      </c>
      <c r="O43" s="61"/>
      <c r="P43" s="60"/>
      <c r="Q43" s="60"/>
      <c r="R43" s="64" t="s">
        <v>258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2" t="s">
        <v>80</v>
      </c>
      <c r="AH43" s="63"/>
      <c r="AI43" s="61"/>
      <c r="AJ43" s="163" t="s">
        <v>201</v>
      </c>
      <c r="AK43" s="164"/>
      <c r="AL43" s="65"/>
      <c r="AM43" s="61"/>
      <c r="AN43" s="61"/>
      <c r="AO43" s="66"/>
      <c r="AP43" s="66"/>
      <c r="AQ43" s="60"/>
      <c r="AR43" s="60"/>
      <c r="AS43" s="60"/>
      <c r="AT43" s="59"/>
      <c r="AU43" s="158"/>
      <c r="AV43" s="66"/>
      <c r="AW43" s="60"/>
      <c r="AX43" s="60"/>
      <c r="AY43" s="59"/>
      <c r="AZ43" s="173"/>
      <c r="BA43" s="173"/>
      <c r="BB43" s="173"/>
      <c r="BC43" s="173"/>
      <c r="BD43" s="173"/>
      <c r="BE43" s="163" t="s">
        <v>202</v>
      </c>
      <c r="BF43" s="184"/>
      <c r="BG43" s="184"/>
      <c r="BH43" s="184"/>
      <c r="BI43" s="164"/>
      <c r="BJ43" s="65"/>
      <c r="BK43" s="61"/>
      <c r="BL43" s="61"/>
      <c r="BM43" s="66"/>
      <c r="BN43" s="66"/>
      <c r="BO43" s="60"/>
      <c r="BP43" s="60"/>
      <c r="BQ43" s="60"/>
      <c r="BR43" s="59"/>
      <c r="BS43" s="158"/>
      <c r="BT43" s="66"/>
      <c r="BU43" s="60"/>
      <c r="BV43" s="60"/>
      <c r="BW43" s="59"/>
      <c r="BX43" s="173"/>
      <c r="BY43" s="173"/>
      <c r="BZ43" s="173"/>
      <c r="CA43" s="173"/>
      <c r="CB43" s="173"/>
      <c r="CC43" s="65" t="s">
        <v>196</v>
      </c>
      <c r="CD43" s="61"/>
      <c r="CE43" s="61"/>
      <c r="CF43" s="66"/>
      <c r="CG43" s="66"/>
      <c r="CH43" s="60"/>
      <c r="CI43" s="60"/>
      <c r="CJ43" s="60"/>
      <c r="CK43" s="59"/>
      <c r="CL43" s="158"/>
      <c r="CM43" s="68"/>
      <c r="CN43" s="68"/>
      <c r="CO43" s="68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180"/>
    </row>
    <row r="44" spans="1:110" ht="38.25" x14ac:dyDescent="0.2">
      <c r="A44" s="113" t="s">
        <v>79</v>
      </c>
      <c r="B44" s="114" t="s">
        <v>144</v>
      </c>
      <c r="C44" s="110" t="s">
        <v>78</v>
      </c>
      <c r="D44" s="110" t="s">
        <v>77</v>
      </c>
      <c r="E44" s="110" t="s">
        <v>76</v>
      </c>
      <c r="F44" s="115" t="s">
        <v>75</v>
      </c>
      <c r="G44" s="110" t="s">
        <v>74</v>
      </c>
      <c r="H44" s="116" t="s">
        <v>73</v>
      </c>
      <c r="I44" s="113" t="s">
        <v>72</v>
      </c>
      <c r="J44" s="110" t="s">
        <v>71</v>
      </c>
      <c r="K44" s="147" t="s">
        <v>70</v>
      </c>
      <c r="L44" s="114" t="s">
        <v>169</v>
      </c>
      <c r="M44" s="147" t="s">
        <v>170</v>
      </c>
      <c r="N44" s="114" t="s">
        <v>69</v>
      </c>
      <c r="O44" s="117" t="s">
        <v>156</v>
      </c>
      <c r="P44" s="112" t="s">
        <v>68</v>
      </c>
      <c r="Q44" s="112"/>
      <c r="R44" s="111"/>
      <c r="S44" s="111" t="s">
        <v>237</v>
      </c>
      <c r="T44" s="112"/>
      <c r="U44" s="112"/>
      <c r="V44" s="112"/>
      <c r="W44" s="112"/>
      <c r="X44" s="115"/>
      <c r="Y44" s="112" t="s">
        <v>67</v>
      </c>
      <c r="Z44" s="112"/>
      <c r="AA44" s="112"/>
      <c r="AB44" s="112"/>
      <c r="AC44" s="112"/>
      <c r="AD44" s="112"/>
      <c r="AE44" s="112"/>
      <c r="AF44" s="111" t="s">
        <v>155</v>
      </c>
      <c r="AG44" s="141" t="s">
        <v>66</v>
      </c>
      <c r="AH44" s="179" t="s">
        <v>197</v>
      </c>
      <c r="AI44" s="161" t="s">
        <v>64</v>
      </c>
      <c r="AJ44" s="165" t="s">
        <v>165</v>
      </c>
      <c r="AK44" s="166" t="s">
        <v>65</v>
      </c>
      <c r="AL44" s="179" t="s">
        <v>192</v>
      </c>
      <c r="AM44" s="174" t="s">
        <v>63</v>
      </c>
      <c r="AN44" s="116"/>
      <c r="AO44" s="116" t="s">
        <v>62</v>
      </c>
      <c r="AP44" s="114" t="s">
        <v>158</v>
      </c>
      <c r="AQ44" s="128"/>
      <c r="AR44" s="114" t="s">
        <v>159</v>
      </c>
      <c r="AS44" s="52"/>
      <c r="AT44" s="116" t="s">
        <v>60</v>
      </c>
      <c r="AU44" s="159" t="s">
        <v>176</v>
      </c>
      <c r="AV44" s="160" t="s">
        <v>185</v>
      </c>
      <c r="AW44" s="57" t="s">
        <v>108</v>
      </c>
      <c r="AX44" s="57" t="s">
        <v>107</v>
      </c>
      <c r="AY44" s="56" t="s">
        <v>106</v>
      </c>
      <c r="AZ44" s="142"/>
      <c r="BA44" s="142"/>
      <c r="BB44" s="142"/>
      <c r="BC44" s="142"/>
      <c r="BD44" s="142"/>
      <c r="BE44" s="165" t="s">
        <v>165</v>
      </c>
      <c r="BF44" s="185" t="s">
        <v>259</v>
      </c>
      <c r="BG44" s="185"/>
      <c r="BH44" s="185"/>
      <c r="BI44" s="166" t="s">
        <v>65</v>
      </c>
      <c r="BJ44" s="179" t="s">
        <v>192</v>
      </c>
      <c r="BK44" s="174" t="s">
        <v>63</v>
      </c>
      <c r="BL44" s="116"/>
      <c r="BM44" s="116" t="s">
        <v>62</v>
      </c>
      <c r="BN44" s="114" t="s">
        <v>158</v>
      </c>
      <c r="BO44" s="128"/>
      <c r="BP44" s="114" t="s">
        <v>159</v>
      </c>
      <c r="BQ44" s="52"/>
      <c r="BR44" s="116" t="s">
        <v>60</v>
      </c>
      <c r="BS44" s="159" t="s">
        <v>176</v>
      </c>
      <c r="BT44" s="160" t="s">
        <v>185</v>
      </c>
      <c r="BU44" s="57" t="s">
        <v>108</v>
      </c>
      <c r="BV44" s="57" t="s">
        <v>107</v>
      </c>
      <c r="BW44" s="56" t="s">
        <v>106</v>
      </c>
      <c r="BX44" s="142"/>
      <c r="BY44" s="142"/>
      <c r="BZ44" s="142"/>
      <c r="CA44" s="142"/>
      <c r="CB44" s="142"/>
      <c r="CC44" s="179" t="s">
        <v>192</v>
      </c>
      <c r="CD44" s="181" t="s">
        <v>207</v>
      </c>
      <c r="CE44" s="116"/>
      <c r="CF44" s="116" t="s">
        <v>62</v>
      </c>
      <c r="CG44" s="114" t="s">
        <v>158</v>
      </c>
      <c r="CH44" s="128"/>
      <c r="CI44" s="114" t="s">
        <v>159</v>
      </c>
      <c r="CJ44" s="52"/>
      <c r="CK44" s="116" t="s">
        <v>60</v>
      </c>
      <c r="CL44" s="126" t="s">
        <v>82</v>
      </c>
      <c r="CM44" s="156"/>
      <c r="CN44" s="156"/>
      <c r="CO44" s="157"/>
      <c r="CP44" s="156" t="s">
        <v>194</v>
      </c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7"/>
    </row>
    <row r="45" spans="1:110" x14ac:dyDescent="0.2">
      <c r="A45" s="55"/>
      <c r="B45" s="46"/>
      <c r="C45" s="47"/>
      <c r="D45" s="52"/>
      <c r="E45" s="52"/>
      <c r="F45" s="54"/>
      <c r="G45" s="52"/>
      <c r="H45" s="52"/>
      <c r="I45" s="53"/>
      <c r="J45" s="46"/>
      <c r="K45" s="51"/>
      <c r="L45" s="52"/>
      <c r="M45" s="54"/>
      <c r="N45" s="49" t="s">
        <v>56</v>
      </c>
      <c r="O45" s="49" t="s">
        <v>59</v>
      </c>
      <c r="P45" s="47" t="s">
        <v>58</v>
      </c>
      <c r="Q45" s="47"/>
      <c r="R45" s="46"/>
      <c r="S45" s="46"/>
      <c r="T45" s="46"/>
      <c r="U45" s="46"/>
      <c r="V45" s="46"/>
      <c r="W45" s="46"/>
      <c r="X45" s="51" t="s">
        <v>146</v>
      </c>
      <c r="Y45" s="46" t="s">
        <v>230</v>
      </c>
      <c r="Z45" s="46" t="s">
        <v>232</v>
      </c>
      <c r="AA45" s="46" t="s">
        <v>233</v>
      </c>
      <c r="AB45" s="46" t="s">
        <v>234</v>
      </c>
      <c r="AC45" s="46" t="s">
        <v>235</v>
      </c>
      <c r="AD45" s="46" t="s">
        <v>236</v>
      </c>
      <c r="AE45" s="46" t="s">
        <v>141</v>
      </c>
      <c r="AF45" s="46" t="s">
        <v>145</v>
      </c>
      <c r="AG45" s="101" t="s">
        <v>57</v>
      </c>
      <c r="AH45" s="48" t="s">
        <v>54</v>
      </c>
      <c r="AI45" s="47" t="s">
        <v>53</v>
      </c>
      <c r="AJ45" s="48" t="s">
        <v>55</v>
      </c>
      <c r="AK45" s="45" t="s">
        <v>56</v>
      </c>
      <c r="AL45" s="179" t="s">
        <v>90</v>
      </c>
      <c r="AM45" s="52" t="s">
        <v>186</v>
      </c>
      <c r="AN45" s="46" t="s">
        <v>188</v>
      </c>
      <c r="AO45" s="47" t="s">
        <v>52</v>
      </c>
      <c r="AP45" s="127" t="s">
        <v>61</v>
      </c>
      <c r="AQ45" s="125" t="s">
        <v>157</v>
      </c>
      <c r="AR45" s="127" t="s">
        <v>61</v>
      </c>
      <c r="AS45" s="125" t="s">
        <v>157</v>
      </c>
      <c r="AT45" s="49"/>
      <c r="AU45" s="55"/>
      <c r="AV45" s="46"/>
      <c r="AW45" s="46"/>
      <c r="AX45" s="46"/>
      <c r="AY45" s="51"/>
      <c r="AZ45" s="142"/>
      <c r="BA45" s="142"/>
      <c r="BB45" s="142"/>
      <c r="BC45" s="142"/>
      <c r="BD45" s="142"/>
      <c r="BE45" s="48" t="s">
        <v>55</v>
      </c>
      <c r="BF45" s="52"/>
      <c r="BG45" s="49"/>
      <c r="BH45" s="49"/>
      <c r="BI45" s="45" t="s">
        <v>56</v>
      </c>
      <c r="BJ45" s="179" t="s">
        <v>90</v>
      </c>
      <c r="BK45" s="52" t="s">
        <v>186</v>
      </c>
      <c r="BL45" s="46" t="s">
        <v>188</v>
      </c>
      <c r="BM45" s="47" t="s">
        <v>52</v>
      </c>
      <c r="BN45" s="127" t="s">
        <v>61</v>
      </c>
      <c r="BO45" s="125" t="s">
        <v>157</v>
      </c>
      <c r="BP45" s="127" t="s">
        <v>61</v>
      </c>
      <c r="BQ45" s="125" t="s">
        <v>157</v>
      </c>
      <c r="BR45" s="49"/>
      <c r="BS45" s="55"/>
      <c r="BT45" s="46"/>
      <c r="BU45" s="46"/>
      <c r="BV45" s="46"/>
      <c r="BW45" s="51"/>
      <c r="BX45" s="142"/>
      <c r="BY45" s="142"/>
      <c r="BZ45" s="142"/>
      <c r="CA45" s="142"/>
      <c r="CB45" s="142"/>
      <c r="CC45" s="179" t="s">
        <v>90</v>
      </c>
      <c r="CD45" s="52"/>
      <c r="CE45" s="46" t="s">
        <v>188</v>
      </c>
      <c r="CF45" s="47" t="s">
        <v>52</v>
      </c>
      <c r="CG45" s="127" t="s">
        <v>61</v>
      </c>
      <c r="CH45" s="125" t="s">
        <v>157</v>
      </c>
      <c r="CI45" s="127" t="s">
        <v>61</v>
      </c>
      <c r="CJ45" s="125" t="s">
        <v>157</v>
      </c>
      <c r="CK45" s="49"/>
      <c r="CL45" s="55"/>
      <c r="CM45" s="46"/>
      <c r="CN45" s="46"/>
      <c r="CO45" s="51"/>
      <c r="CP45" s="46" t="s">
        <v>167</v>
      </c>
      <c r="CQ45" s="46"/>
      <c r="CR45" s="46"/>
      <c r="CS45" s="46"/>
      <c r="CT45" s="46"/>
      <c r="CU45" s="46" t="s">
        <v>175</v>
      </c>
      <c r="CV45" s="46"/>
      <c r="CW45" s="46"/>
      <c r="CX45" s="46"/>
      <c r="CY45" s="46"/>
      <c r="CZ45" s="46" t="s">
        <v>178</v>
      </c>
      <c r="DA45" s="46"/>
      <c r="DB45" s="46"/>
      <c r="DC45" s="46"/>
      <c r="DD45" s="46"/>
      <c r="DE45" s="46" t="s">
        <v>167</v>
      </c>
      <c r="DF45" s="51"/>
    </row>
    <row r="46" spans="1:110" x14ac:dyDescent="0.2">
      <c r="A46" s="44"/>
      <c r="B46" s="35"/>
      <c r="C46" s="43"/>
      <c r="D46" s="39"/>
      <c r="E46" s="39"/>
      <c r="F46" s="42"/>
      <c r="G46" s="41"/>
      <c r="H46" s="41" t="s">
        <v>51</v>
      </c>
      <c r="I46" s="40"/>
      <c r="J46" s="35"/>
      <c r="K46" s="37"/>
      <c r="L46" s="39" t="s">
        <v>49</v>
      </c>
      <c r="M46" s="42" t="s">
        <v>49</v>
      </c>
      <c r="N46" s="35" t="s">
        <v>50</v>
      </c>
      <c r="O46" s="38" t="s">
        <v>49</v>
      </c>
      <c r="P46" s="35" t="s">
        <v>48</v>
      </c>
      <c r="Q46" s="35"/>
      <c r="R46" s="35" t="s">
        <v>296</v>
      </c>
      <c r="S46" s="35"/>
      <c r="T46" s="35"/>
      <c r="U46" s="35"/>
      <c r="V46" s="35"/>
      <c r="W46" s="35"/>
      <c r="X46" s="37" t="s">
        <v>47</v>
      </c>
      <c r="Y46" s="35"/>
      <c r="Z46" s="35" t="s">
        <v>231</v>
      </c>
      <c r="AA46" s="35"/>
      <c r="AB46" s="35"/>
      <c r="AC46" s="35"/>
      <c r="AD46" s="35"/>
      <c r="AE46" s="35"/>
      <c r="AF46" s="35" t="s">
        <v>47</v>
      </c>
      <c r="AG46" s="102" t="s">
        <v>147</v>
      </c>
      <c r="AH46" s="36" t="s">
        <v>46</v>
      </c>
      <c r="AI46" s="41" t="s">
        <v>46</v>
      </c>
      <c r="AJ46" s="102" t="s">
        <v>164</v>
      </c>
      <c r="AK46" s="42" t="s">
        <v>148</v>
      </c>
      <c r="AL46" s="36"/>
      <c r="AM46" s="39" t="s">
        <v>187</v>
      </c>
      <c r="AN46" s="35" t="s">
        <v>189</v>
      </c>
      <c r="AO46" s="35"/>
      <c r="AP46" s="35"/>
      <c r="AQ46" s="35"/>
      <c r="AR46" s="35"/>
      <c r="AS46" s="35"/>
      <c r="AT46" s="41"/>
      <c r="AU46" s="44"/>
      <c r="AV46" s="35"/>
      <c r="AW46" s="35"/>
      <c r="AX46" s="35"/>
      <c r="AY46" s="37"/>
      <c r="AZ46" s="49"/>
      <c r="BA46" s="49"/>
      <c r="BB46" s="49"/>
      <c r="BC46" s="49"/>
      <c r="BD46" s="49"/>
      <c r="BE46" s="102" t="s">
        <v>164</v>
      </c>
      <c r="BF46" s="186"/>
      <c r="BG46" s="186"/>
      <c r="BH46" s="186"/>
      <c r="BI46" s="42" t="s">
        <v>148</v>
      </c>
      <c r="BJ46" s="36"/>
      <c r="BK46" s="39" t="s">
        <v>187</v>
      </c>
      <c r="BL46" s="35" t="s">
        <v>189</v>
      </c>
      <c r="BM46" s="35"/>
      <c r="BN46" s="35"/>
      <c r="BO46" s="35"/>
      <c r="BP46" s="35"/>
      <c r="BQ46" s="35"/>
      <c r="BR46" s="41"/>
      <c r="BS46" s="44"/>
      <c r="BT46" s="35"/>
      <c r="BU46" s="35"/>
      <c r="BV46" s="35"/>
      <c r="BW46" s="37"/>
      <c r="BX46" s="49"/>
      <c r="BY46" s="49"/>
      <c r="BZ46" s="49"/>
      <c r="CA46" s="49"/>
      <c r="CB46" s="49"/>
      <c r="CC46" s="36"/>
      <c r="CD46" s="39" t="s">
        <v>208</v>
      </c>
      <c r="CE46" s="35" t="s">
        <v>189</v>
      </c>
      <c r="CF46" s="35"/>
      <c r="CG46" s="35"/>
      <c r="CH46" s="35"/>
      <c r="CI46" s="35"/>
      <c r="CJ46" s="35"/>
      <c r="CK46" s="41"/>
      <c r="CL46" s="44" t="s">
        <v>195</v>
      </c>
      <c r="CM46" s="35" t="s">
        <v>177</v>
      </c>
      <c r="CN46" s="35" t="s">
        <v>56</v>
      </c>
      <c r="CO46" s="37" t="s">
        <v>179</v>
      </c>
      <c r="CP46" s="35" t="s">
        <v>171</v>
      </c>
      <c r="CQ46" s="35" t="s">
        <v>86</v>
      </c>
      <c r="CR46" s="35" t="s">
        <v>174</v>
      </c>
      <c r="CS46" s="35" t="s">
        <v>172</v>
      </c>
      <c r="CT46" s="35" t="s">
        <v>193</v>
      </c>
      <c r="CU46" s="35" t="s">
        <v>171</v>
      </c>
      <c r="CV46" s="35" t="s">
        <v>86</v>
      </c>
      <c r="CW46" s="35" t="s">
        <v>174</v>
      </c>
      <c r="CX46" s="35" t="s">
        <v>172</v>
      </c>
      <c r="CY46" s="35" t="s">
        <v>193</v>
      </c>
      <c r="CZ46" s="35" t="s">
        <v>171</v>
      </c>
      <c r="DA46" s="35" t="s">
        <v>86</v>
      </c>
      <c r="DB46" s="35" t="s">
        <v>174</v>
      </c>
      <c r="DC46" s="35" t="s">
        <v>172</v>
      </c>
      <c r="DD46" s="35" t="s">
        <v>193</v>
      </c>
      <c r="DE46" s="35" t="s">
        <v>171</v>
      </c>
      <c r="DF46" s="37" t="s">
        <v>180</v>
      </c>
    </row>
    <row r="47" spans="1:110" outlineLevel="1" x14ac:dyDescent="0.2">
      <c r="A47" s="8"/>
      <c r="C47" s="13"/>
      <c r="D47" s="1"/>
      <c r="E47" s="1"/>
      <c r="F47" s="6"/>
      <c r="G47" s="1"/>
      <c r="I47" s="11"/>
      <c r="K47" s="9"/>
      <c r="L47" s="13"/>
      <c r="M47" s="19"/>
      <c r="N47"/>
      <c r="O47" s="20"/>
      <c r="P47" s="13"/>
      <c r="Q47" s="13"/>
      <c r="R47" s="13"/>
      <c r="S47" s="13"/>
      <c r="T47" s="13"/>
      <c r="U47" s="13"/>
      <c r="V47" s="13"/>
      <c r="W47" s="13"/>
      <c r="X47" s="19"/>
      <c r="Y47" s="13"/>
      <c r="Z47" s="13"/>
      <c r="AA47" s="13"/>
      <c r="AB47" s="13"/>
      <c r="AC47" s="13"/>
      <c r="AD47" s="13"/>
      <c r="AF47" s="13"/>
      <c r="AG47" s="121"/>
      <c r="AH47" s="11"/>
      <c r="AI47" s="13"/>
      <c r="AJ47" s="103"/>
      <c r="AK47" s="33"/>
      <c r="AL47" s="8"/>
      <c r="AM47" s="89"/>
      <c r="AP47"/>
      <c r="AQ47"/>
      <c r="AR47"/>
      <c r="AT47" s="14"/>
      <c r="BE47" s="103"/>
      <c r="BF47" s="187"/>
      <c r="BG47" s="187"/>
      <c r="BH47" s="187"/>
      <c r="BI47" s="33"/>
      <c r="BJ47" s="8"/>
      <c r="BK47" s="89"/>
      <c r="BN47"/>
      <c r="BO47"/>
      <c r="BP47"/>
      <c r="BR47" s="14"/>
      <c r="CC47" s="8"/>
      <c r="CD47" s="89"/>
      <c r="CG47"/>
      <c r="CH47"/>
      <c r="CI47"/>
      <c r="CK47" s="14"/>
      <c r="CL47" s="16"/>
    </row>
    <row r="48" spans="1:110" x14ac:dyDescent="0.2">
      <c r="A48" s="8"/>
      <c r="F48" s="9"/>
      <c r="I48" s="8"/>
      <c r="K48" s="9"/>
      <c r="L48" s="13"/>
      <c r="M48" s="19"/>
      <c r="N48"/>
      <c r="O48" s="13"/>
      <c r="P48" s="13"/>
      <c r="Q48" s="13"/>
      <c r="R48" s="13"/>
      <c r="S48" s="13"/>
      <c r="T48" s="13"/>
      <c r="U48" s="13"/>
      <c r="V48" s="13"/>
      <c r="W48" s="13"/>
      <c r="X48" s="19"/>
      <c r="Y48" s="13"/>
      <c r="Z48" s="13"/>
      <c r="AA48" s="13"/>
      <c r="AB48" s="13"/>
      <c r="AC48" s="13"/>
      <c r="AD48" s="13"/>
      <c r="AF48" s="13"/>
      <c r="AG48" s="34"/>
      <c r="AH48" s="17"/>
      <c r="AJ48" s="103"/>
      <c r="AK48" s="14"/>
      <c r="AL48" s="8"/>
      <c r="AM48" s="92"/>
      <c r="AN48" s="135"/>
      <c r="AO48" s="1"/>
      <c r="AP48"/>
      <c r="AQ48"/>
      <c r="AR48"/>
      <c r="AT48" s="6"/>
      <c r="BE48" s="190"/>
      <c r="BF48" s="97"/>
      <c r="BG48" s="189"/>
      <c r="BH48" s="189"/>
      <c r="BI48" s="14"/>
      <c r="BJ48" s="8"/>
      <c r="BK48" s="92"/>
      <c r="BL48" s="135"/>
      <c r="BM48" s="1"/>
      <c r="BN48"/>
      <c r="BO48"/>
      <c r="BP48"/>
      <c r="BR48" s="6"/>
      <c r="CC48" s="8"/>
      <c r="CD48" s="92"/>
      <c r="CE48" s="135"/>
      <c r="CF48" s="1"/>
      <c r="CG48"/>
      <c r="CH48"/>
      <c r="CI48"/>
      <c r="CK48" s="6"/>
    </row>
    <row r="49" spans="1:110" x14ac:dyDescent="0.2">
      <c r="B49" s="58"/>
      <c r="F49" s="9"/>
      <c r="I49" s="8"/>
      <c r="K49" s="9"/>
      <c r="L49" s="13"/>
      <c r="M49" s="19"/>
      <c r="N49"/>
      <c r="O49" s="13"/>
      <c r="P49" s="13"/>
      <c r="Q49" s="13"/>
      <c r="R49" s="13"/>
      <c r="S49" s="13"/>
      <c r="T49" s="13"/>
      <c r="U49" s="13"/>
      <c r="V49" s="13"/>
      <c r="W49" s="13"/>
      <c r="X49" s="118"/>
      <c r="Y49" s="13"/>
      <c r="Z49" s="13"/>
      <c r="AA49" s="13"/>
      <c r="AB49" s="13"/>
      <c r="AC49" s="13"/>
      <c r="AD49" s="13"/>
      <c r="AE49" s="96"/>
      <c r="AF49" s="98"/>
      <c r="AG49" s="34"/>
      <c r="AH49" s="17"/>
      <c r="AI49" s="13"/>
      <c r="AJ49" s="103"/>
      <c r="AK49" s="14"/>
      <c r="AL49" s="8"/>
      <c r="AM49" s="92"/>
      <c r="AN49" s="135"/>
      <c r="AO49" s="1"/>
      <c r="AP49"/>
      <c r="AQ49"/>
      <c r="AR49"/>
      <c r="AT49" s="6"/>
      <c r="BE49" s="103"/>
      <c r="BF49" s="187"/>
      <c r="BG49" s="189"/>
      <c r="BH49" s="187"/>
      <c r="BI49" s="14"/>
      <c r="BJ49" s="8"/>
      <c r="BK49" s="92"/>
      <c r="BL49" s="135"/>
      <c r="BM49" s="1"/>
      <c r="BN49"/>
      <c r="BO49"/>
      <c r="BP49"/>
      <c r="BR49" s="6"/>
      <c r="CC49" s="8"/>
      <c r="CD49" s="92"/>
      <c r="CE49" s="135"/>
      <c r="CF49" s="1"/>
      <c r="CG49"/>
      <c r="CH49"/>
      <c r="CI49"/>
      <c r="CK49" s="6"/>
    </row>
    <row r="50" spans="1:110" x14ac:dyDescent="0.2">
      <c r="A50" s="12" t="s">
        <v>45</v>
      </c>
      <c r="B50" s="58"/>
      <c r="F50" s="9"/>
      <c r="I50" s="8"/>
      <c r="K50" s="9"/>
      <c r="L50" s="13"/>
      <c r="M50" s="19"/>
      <c r="N50"/>
      <c r="O50" s="13"/>
      <c r="P50" s="13"/>
      <c r="Q50" s="13"/>
      <c r="R50" s="13"/>
      <c r="S50" s="13"/>
      <c r="T50" s="13"/>
      <c r="U50" s="13"/>
      <c r="V50" s="13"/>
      <c r="W50" s="13"/>
      <c r="X50" s="118"/>
      <c r="Y50" s="13"/>
      <c r="Z50" s="13"/>
      <c r="AA50" s="13"/>
      <c r="AB50" s="13"/>
      <c r="AC50" s="13"/>
      <c r="AD50" s="13"/>
      <c r="AE50" s="96"/>
      <c r="AF50" s="98"/>
      <c r="AG50" s="34"/>
      <c r="AH50" s="17"/>
      <c r="AI50" s="13"/>
      <c r="AJ50" s="103"/>
      <c r="AK50" s="14"/>
      <c r="AL50" s="8"/>
      <c r="AM50" s="92"/>
      <c r="AN50" s="134"/>
      <c r="AO50" s="1"/>
      <c r="AP50"/>
      <c r="AQ50"/>
      <c r="AR50"/>
      <c r="AT50" s="6"/>
      <c r="BE50" s="8" t="e">
        <f>BI50*$E$38/$E$40</f>
        <v>#DIV/0!</v>
      </c>
      <c r="BF50" s="16"/>
      <c r="BG50" s="16"/>
      <c r="BH50" s="189"/>
      <c r="BI50" s="6" t="e">
        <f t="shared" ref="BI50:BI60" si="0">(1/BF50)*AF50*AG50*E$41/E$32</f>
        <v>#DIV/0!</v>
      </c>
      <c r="BJ50" s="8"/>
      <c r="BK50" s="92"/>
      <c r="BL50" s="134"/>
      <c r="BM50" s="1"/>
      <c r="BN50"/>
      <c r="BO50"/>
      <c r="BP50"/>
      <c r="BR50" s="6"/>
      <c r="CC50" s="8"/>
      <c r="CD50" s="92"/>
      <c r="CE50" s="134"/>
      <c r="CF50" s="1"/>
      <c r="CG50"/>
      <c r="CH50"/>
      <c r="CI50"/>
      <c r="CK50" s="6"/>
    </row>
    <row r="51" spans="1:110" x14ac:dyDescent="0.2">
      <c r="A51" s="21" t="s">
        <v>43</v>
      </c>
      <c r="B51" t="s">
        <v>143</v>
      </c>
      <c r="C51">
        <v>3</v>
      </c>
      <c r="D51" t="s">
        <v>17</v>
      </c>
      <c r="E51" t="s">
        <v>16</v>
      </c>
      <c r="F51" s="9">
        <v>14</v>
      </c>
      <c r="G51" s="26" t="s">
        <v>15</v>
      </c>
      <c r="H51" s="1">
        <v>18</v>
      </c>
      <c r="I51" s="11">
        <v>410</v>
      </c>
      <c r="J51" t="s">
        <v>21</v>
      </c>
      <c r="K51" s="6" t="s">
        <v>181</v>
      </c>
      <c r="L51" s="1">
        <v>1</v>
      </c>
      <c r="M51" s="6">
        <v>20</v>
      </c>
      <c r="N51" s="1">
        <v>96.95</v>
      </c>
      <c r="O51" s="18">
        <v>775600.00000000012</v>
      </c>
      <c r="P51" s="30">
        <v>1.906666666666667</v>
      </c>
      <c r="Q51" s="1"/>
      <c r="R51" s="1"/>
      <c r="S51" s="1"/>
      <c r="T51" s="1"/>
      <c r="U51" s="1"/>
      <c r="W51" s="251">
        <f>LOG(X51/(24*60*60))</f>
        <v>-13.899057358713216</v>
      </c>
      <c r="X51" s="118">
        <f>AF51/AE51</f>
        <v>1.0900750105551152E-9</v>
      </c>
      <c r="Y51" s="1"/>
      <c r="Z51" s="1"/>
      <c r="AA51" s="1"/>
      <c r="AB51" s="1"/>
      <c r="AC51" s="197"/>
      <c r="AD51" s="244">
        <f>'Lohman 2011'!AD51</f>
        <v>1.5646036075622856</v>
      </c>
      <c r="AE51" s="96">
        <f>10^AD51</f>
        <v>36.694722484859277</v>
      </c>
      <c r="AF51" s="248">
        <v>4.0000000000000001E-8</v>
      </c>
      <c r="AG51" s="24">
        <v>302</v>
      </c>
      <c r="AH51" s="32">
        <f>AVERAGE(AH149:AH155)</f>
        <v>0.87857142857142867</v>
      </c>
      <c r="AI51" s="162">
        <v>0.05</v>
      </c>
      <c r="AJ51" s="167">
        <f t="shared" ref="AJ51:AJ60" si="1">$E$38*AK51/$E$40</f>
        <v>0.30435878054925669</v>
      </c>
      <c r="AK51" s="168">
        <f t="shared" ref="AK51:AK60" si="2">AF51*AG51*E$41/E$32</f>
        <v>2.7549207755746225E-4</v>
      </c>
      <c r="AL51" s="151">
        <f>$AG51/AJ51</f>
        <v>992.25000000000011</v>
      </c>
      <c r="AM51" s="175">
        <f>AJ51/$AH51</f>
        <v>0.34642462826744658</v>
      </c>
      <c r="AN51" s="134">
        <f t="shared" ref="AN51:AN60" si="3">LOG(AM51)</f>
        <v>-0.46039124038321044</v>
      </c>
      <c r="AO51" s="119">
        <f t="shared" ref="AO51:AO60" si="4">$AG51/$O51</f>
        <v>3.8937596699329546E-4</v>
      </c>
      <c r="AP51">
        <f t="shared" ref="AP51:AP60" si="5">_xlfn.RANK.AVG(AM51,AM$51:AM$117,1)</f>
        <v>1</v>
      </c>
      <c r="AQ51" s="124">
        <f t="shared" ref="AQ51:AS60" si="6">(AP51-0.5)/MAX(AP$51:AP$117)</f>
        <v>8.3333333333333332E-3</v>
      </c>
      <c r="AR51">
        <f>_xlfn.RANK.AVG(AM51,(AM$51:AM$60,AM$86:AM$88),1)</f>
        <v>1</v>
      </c>
      <c r="AS51" s="124">
        <f t="shared" si="6"/>
        <v>3.8461538461538464E-2</v>
      </c>
      <c r="AT51" s="14">
        <f t="shared" ref="AT51:AT60" si="7">IF(AND(AJ51&gt;$AI51,$AH51&gt;$AI51),0,IF(AND(AJ51&gt;$AI51,$AH51&lt;$AI51),1,IF(AND(AJ51&lt;$AI51,$AH51&gt;$AI51),2,3)))</f>
        <v>0</v>
      </c>
      <c r="AU51" s="149" t="s">
        <v>41</v>
      </c>
      <c r="AV51" s="143">
        <f>COUNT(AM64:AM65,AM87,AM91:AM93)</f>
        <v>6</v>
      </c>
      <c r="AW51" s="143">
        <f>MIN(AM64:AM65,AM87,AM91:AM93)</f>
        <v>1.2345679012345676</v>
      </c>
      <c r="AX51" s="143">
        <f>AVERAGE(AM64:AM65,AM87,AM91:AM93)</f>
        <v>803.32098765432067</v>
      </c>
      <c r="AY51" s="143">
        <f>MAX(AM64:AM65,AM87,AM91:AM93)</f>
        <v>4232.8042328042311</v>
      </c>
      <c r="AZ51" s="83"/>
      <c r="BA51" s="83"/>
      <c r="BB51" s="83"/>
      <c r="BC51" s="83"/>
      <c r="BD51" s="83"/>
      <c r="BE51" s="8">
        <f t="shared" ref="BE51:BE60" si="8">BI51*$E$38/$E$40</f>
        <v>0.30435878054925669</v>
      </c>
      <c r="BF51" s="16">
        <f>10^(MAX(0,((W51+12.5)/2+AD51)*0.73611+-1.03574))</f>
        <v>1</v>
      </c>
      <c r="BG51" s="16"/>
      <c r="BH51" s="189"/>
      <c r="BI51" s="6">
        <f t="shared" si="0"/>
        <v>2.7549207755746225E-4</v>
      </c>
      <c r="BJ51" s="151">
        <f t="shared" ref="BJ51:BJ60" si="9">$AG51/BE51</f>
        <v>992.25000000000011</v>
      </c>
      <c r="BK51" s="175">
        <f t="shared" ref="BK51:BK60" si="10">BE51/$AH51</f>
        <v>0.34642462826744658</v>
      </c>
      <c r="BL51" s="134">
        <f t="shared" ref="BL51:BL60" si="11">LOG(BK51)</f>
        <v>-0.46039124038321044</v>
      </c>
      <c r="BM51" s="119">
        <f t="shared" ref="BM51:BM60" si="12">$AG51/$O51</f>
        <v>3.8937596699329546E-4</v>
      </c>
      <c r="BN51">
        <f t="shared" ref="BN51:BN60" si="13">_xlfn.RANK.AVG(BK51,BK$51:BK$117,1)</f>
        <v>2</v>
      </c>
      <c r="BO51" s="124">
        <f t="shared" ref="BO51:BO60" si="14">(BN51-0.5)/MAX(BN$51:BN$117)</f>
        <v>2.5000000000000001E-2</v>
      </c>
      <c r="BP51">
        <f>_xlfn.RANK.AVG(BK51,(BK$51:BK$60,BK$86:BK$88),1)</f>
        <v>1</v>
      </c>
      <c r="BQ51" s="124">
        <f>(BP51-0.5)/MAX(BP$51:BP$117)</f>
        <v>3.8461538461538464E-2</v>
      </c>
      <c r="BR51" s="14">
        <f t="shared" ref="BR51:BR60" si="15">IF(AND(BE51&gt;$AI51,$AH51&gt;$AI51),0,IF(AND(BE51&gt;$AI51,$AH51&lt;$AI51),1,IF(AND(BE51&lt;$AI51,$AH51&gt;$AI51),2,3)))</f>
        <v>0</v>
      </c>
      <c r="BS51" s="149" t="s">
        <v>41</v>
      </c>
      <c r="BT51" s="143">
        <f>COUNT(BK64:BK65,BK87,BK91:BK93)</f>
        <v>6</v>
      </c>
      <c r="BU51" s="143">
        <f>MIN(BK64:BK65,BK87,BK91:BK93)</f>
        <v>0.69308380526934121</v>
      </c>
      <c r="BV51" s="143">
        <f>AVERAGE(BK64:BK65,BK87,BK91:BK93)</f>
        <v>512.26487749728119</v>
      </c>
      <c r="BW51" s="143">
        <f>MAX(BK64:BK65,BK87,BK91:BK93)</f>
        <v>2698.6578066574284</v>
      </c>
      <c r="BX51" s="83"/>
      <c r="BY51" s="83"/>
      <c r="BZ51" s="83"/>
      <c r="CA51" s="83"/>
      <c r="CB51" s="83"/>
      <c r="CC51" s="151"/>
      <c r="CD51" s="175">
        <f t="shared" ref="CD51:CD60" si="16">AG51/AH51</f>
        <v>343.73983739837394</v>
      </c>
      <c r="CE51" s="134">
        <f t="shared" ref="CE51:CE60" si="17">LOG(CD51)</f>
        <v>2.5362298671959906</v>
      </c>
      <c r="CF51" s="119">
        <f t="shared" ref="CF51:CF60" si="18">$AG51/$O51</f>
        <v>3.8937596699329546E-4</v>
      </c>
      <c r="CG51">
        <f t="shared" ref="CG51:CG60" si="19">_xlfn.RANK.AVG(CD51,CD$51:CD$117,1)</f>
        <v>10</v>
      </c>
      <c r="CH51" s="124">
        <f t="shared" ref="CH51:CJ60" si="20">(CG51-0.5)/MAX(CG$51:CG$117)</f>
        <v>0.15833333333333333</v>
      </c>
      <c r="CI51">
        <f>_xlfn.RANK.AVG(CD51,(CD$51:CD$60,CD$86:CD$88),1)</f>
        <v>5</v>
      </c>
      <c r="CJ51" s="124">
        <f t="shared" si="20"/>
        <v>0.34615384615384615</v>
      </c>
      <c r="CK51" s="14">
        <f t="shared" ref="CK51:CK60" si="21">IF(AND(BC51&gt;$AI51,$AH51&gt;$AI51),0,IF(AND(BC51&gt;$AI51,$AH51&lt;$AI51),1,IF(AND(BC51&lt;$AI51,$AH51&gt;$AI51),2,3)))</f>
        <v>2</v>
      </c>
      <c r="CL51" s="149" t="s">
        <v>41</v>
      </c>
      <c r="CM51" s="150">
        <f>AVERAGE($P64:$P65,$P$87,$P91:$P93)</f>
        <v>2.1299999999999994</v>
      </c>
      <c r="CN51" s="150">
        <f>AVERAGE($N64:$N65,$N$87,$N91:$N93)</f>
        <v>78.106666524406947</v>
      </c>
      <c r="CO51" s="153">
        <f>AVERAGE($AF64:$AF65,$AF$87,$AF91:$AF93)</f>
        <v>1.3999999999999999E-6</v>
      </c>
      <c r="CP51" s="143">
        <f>COUNT($CD64:$CD65,$CD$87,$CD91:$CD93)</f>
        <v>6</v>
      </c>
      <c r="CQ51" s="88">
        <f>PERCENTILE(($CD64:$CD65,$CD$87,$CD91:$CD93),0)</f>
        <v>35</v>
      </c>
      <c r="CR51" s="88">
        <f>PERCENTILE(($CD64:$CD65,$CD$87,$CD91:$CD93),0.1)</f>
        <v>35</v>
      </c>
      <c r="CS51" s="88">
        <f>PERCENTILE(($CD64:$CD65,$CD$87,$CD91:$CD93),0.5)</f>
        <v>2537.4500000000003</v>
      </c>
      <c r="CT51" s="88">
        <f>PERCENTILE(($CD64:$CD65,$CD$87,$CD91:$CD93),0.9)</f>
        <v>65750</v>
      </c>
      <c r="CU51" s="143">
        <f>COUNT($CD64:$CD65,$CD91:$CD93)</f>
        <v>5</v>
      </c>
      <c r="CV51" s="88">
        <f>PERCENTILE(($CD64:$CD65,$CD91:$CD93),0)</f>
        <v>35</v>
      </c>
      <c r="CW51" s="88">
        <f>PERCENTILE(($CD64:$CD65,$CD91:$CD93),0.1)</f>
        <v>90.95999999999998</v>
      </c>
      <c r="CX51" s="88">
        <f>PERCENTILE(($CD64:$CD65,$CD91:$CD93),0.5)</f>
        <v>4900</v>
      </c>
      <c r="CY51" s="87">
        <f>PERCENTILE(($CD64:$CD65,$CD91:$CD93),0.9)</f>
        <v>76599.999999999971</v>
      </c>
      <c r="CZ51" s="149">
        <f>COUNT($CD87)</f>
        <v>1</v>
      </c>
      <c r="DA51" s="88">
        <f>PERCENTILE($CD87,0)</f>
        <v>35</v>
      </c>
      <c r="DB51" s="88">
        <f>PERCENTILE($CD87,0.1)</f>
        <v>35</v>
      </c>
      <c r="DC51" s="88">
        <f>PERCENTILE($CD87,0.5)</f>
        <v>35</v>
      </c>
      <c r="DD51" s="87">
        <f>PERCENTILE($CD87,0.9)</f>
        <v>35</v>
      </c>
      <c r="DE51" s="143">
        <f>CU51+CZ51</f>
        <v>6</v>
      </c>
      <c r="DF51" s="87">
        <f>MIN(DA51,CY51)</f>
        <v>35</v>
      </c>
    </row>
    <row r="52" spans="1:110" x14ac:dyDescent="0.2">
      <c r="A52" s="21" t="s">
        <v>43</v>
      </c>
      <c r="B52" t="s">
        <v>143</v>
      </c>
      <c r="C52">
        <v>3</v>
      </c>
      <c r="D52" t="s">
        <v>17</v>
      </c>
      <c r="E52" t="s">
        <v>16</v>
      </c>
      <c r="F52" s="9">
        <v>16</v>
      </c>
      <c r="G52" s="26" t="s">
        <v>15</v>
      </c>
      <c r="H52" s="1">
        <v>18</v>
      </c>
      <c r="I52" s="11">
        <v>403</v>
      </c>
      <c r="J52" t="s">
        <v>14</v>
      </c>
      <c r="K52" s="6" t="s">
        <v>153</v>
      </c>
      <c r="L52" s="1">
        <v>10</v>
      </c>
      <c r="M52" s="6">
        <v>40</v>
      </c>
      <c r="N52" s="1">
        <v>165.80749949115744</v>
      </c>
      <c r="O52" s="18">
        <v>118882.50367033854</v>
      </c>
      <c r="P52" s="30">
        <v>3.4</v>
      </c>
      <c r="Q52" s="1"/>
      <c r="R52" s="1"/>
      <c r="S52" s="1"/>
      <c r="T52" s="1"/>
      <c r="U52" s="1"/>
      <c r="W52" s="251">
        <f t="shared" ref="W52:W60" si="22">LOG(X52/(24*60*60))</f>
        <v>-14.076427363049236</v>
      </c>
      <c r="X52" s="118">
        <f t="shared" ref="X52:X60" si="23">AF52/AE52</f>
        <v>7.2458006181049245E-10</v>
      </c>
      <c r="Y52" s="1"/>
      <c r="Z52" s="1"/>
      <c r="AA52" s="1"/>
      <c r="AB52" s="1"/>
      <c r="AC52" s="197"/>
      <c r="AD52" s="244">
        <f>'Lohman 2011'!AD52</f>
        <v>3.0430036075622855</v>
      </c>
      <c r="AE52" s="96">
        <f t="shared" ref="AE52:AE60" si="24">10^AD52</f>
        <v>1104.0877912111705</v>
      </c>
      <c r="AF52" s="248">
        <v>7.9999999999999996E-7</v>
      </c>
      <c r="AG52" s="24">
        <v>132</v>
      </c>
      <c r="AH52" s="32">
        <f>AVERAGE(AH157:AH163)</f>
        <v>0.2442857142857143</v>
      </c>
      <c r="AI52" s="162">
        <v>0.05</v>
      </c>
      <c r="AJ52" s="167">
        <f t="shared" si="1"/>
        <v>2.6606198034769455</v>
      </c>
      <c r="AK52" s="168">
        <f t="shared" si="2"/>
        <v>2.4082751150718553E-3</v>
      </c>
      <c r="AL52" s="151">
        <f t="shared" ref="AL52:AL60" si="25">$AG52/AJ52</f>
        <v>49.612500000000018</v>
      </c>
      <c r="AM52" s="175">
        <f t="shared" ref="AM52:AM60" si="26">AJ52/$AH52</f>
        <v>10.891426096104455</v>
      </c>
      <c r="AN52" s="134">
        <f t="shared" si="3"/>
        <v>1.0370847489127328</v>
      </c>
      <c r="AO52" s="119">
        <f t="shared" si="4"/>
        <v>1.1103400073574855E-3</v>
      </c>
      <c r="AP52">
        <f t="shared" si="5"/>
        <v>14</v>
      </c>
      <c r="AQ52" s="124">
        <f t="shared" si="6"/>
        <v>0.22500000000000001</v>
      </c>
      <c r="AR52">
        <f>_xlfn.RANK.AVG(AM52,(AM$51:AM$60,AM$86:AM$88),1)</f>
        <v>8</v>
      </c>
      <c r="AS52" s="124">
        <f t="shared" si="6"/>
        <v>0.57692307692307687</v>
      </c>
      <c r="AT52" s="14">
        <f t="shared" si="7"/>
        <v>0</v>
      </c>
      <c r="AU52" s="21" t="s">
        <v>8</v>
      </c>
      <c r="AV52" s="144">
        <f>COUNT(AM51:AM51,AM66:AM72)</f>
        <v>8</v>
      </c>
      <c r="AW52" s="144">
        <f>MIN(AM51:AM51,AM66:AM72)</f>
        <v>0.34642462826744658</v>
      </c>
      <c r="AX52" s="144">
        <f>AVERAGE(AM51:AM51,AM66:AM72)</f>
        <v>79.52010543968953</v>
      </c>
      <c r="AY52" s="144">
        <f>MAX(AM51:AM51,AM66:AM72)</f>
        <v>138.21631933196556</v>
      </c>
      <c r="AZ52" s="83"/>
      <c r="BA52" s="83"/>
      <c r="BB52" s="83"/>
      <c r="BC52" s="83"/>
      <c r="BD52" s="83"/>
      <c r="BE52" s="8">
        <f t="shared" si="8"/>
        <v>0.63233818280604015</v>
      </c>
      <c r="BF52" s="16">
        <f>10^(MAX(0,((W52+12.5)/2+AD52)*0.73611+-1.03574))</f>
        <v>4.2075899824209246</v>
      </c>
      <c r="BG52" s="16"/>
      <c r="BH52" s="189"/>
      <c r="BI52" s="6">
        <f t="shared" si="0"/>
        <v>5.7236449490884189E-4</v>
      </c>
      <c r="BJ52" s="151">
        <f t="shared" si="9"/>
        <v>208.74905800285816</v>
      </c>
      <c r="BK52" s="175">
        <f t="shared" si="10"/>
        <v>2.5885188769837901</v>
      </c>
      <c r="BL52" s="134">
        <f t="shared" si="11"/>
        <v>0.41305133645714542</v>
      </c>
      <c r="BM52" s="119">
        <f t="shared" si="12"/>
        <v>1.1103400073574855E-3</v>
      </c>
      <c r="BN52">
        <f t="shared" si="13"/>
        <v>12</v>
      </c>
      <c r="BO52" s="124">
        <f t="shared" si="14"/>
        <v>0.19166666666666668</v>
      </c>
      <c r="BP52">
        <f>_xlfn.RANK.AVG(BK52,(BK$51:BK$60,BK$86:BK$88),1)</f>
        <v>7</v>
      </c>
      <c r="BQ52" s="124">
        <f t="shared" ref="BQ52:BQ60" si="27">(BP52-0.5)/MAX(BP$51:BP$117)</f>
        <v>0.5</v>
      </c>
      <c r="BR52" s="14">
        <f t="shared" si="15"/>
        <v>0</v>
      </c>
      <c r="BS52" s="21" t="s">
        <v>8</v>
      </c>
      <c r="BT52" s="144">
        <f>COUNT(BK51:BK51,BK66:BK72)</f>
        <v>8</v>
      </c>
      <c r="BU52" s="144">
        <f>MIN(BK51:BK51,BK66:BK72)</f>
        <v>0.34642462826744658</v>
      </c>
      <c r="BV52" s="144">
        <f>AVERAGE(BK51:BK51,BK66:BK72)</f>
        <v>79.52010543968953</v>
      </c>
      <c r="BW52" s="144">
        <f>MAX(BK51:BK51,BK66:BK72)</f>
        <v>138.21631933196556</v>
      </c>
      <c r="BX52" s="83"/>
      <c r="BY52" s="83"/>
      <c r="BZ52" s="83"/>
      <c r="CA52" s="83"/>
      <c r="CB52" s="83"/>
      <c r="CC52" s="151"/>
      <c r="CD52" s="175">
        <f t="shared" si="16"/>
        <v>540.35087719298247</v>
      </c>
      <c r="CE52" s="134">
        <f t="shared" si="17"/>
        <v>2.7326758608279529</v>
      </c>
      <c r="CF52" s="119">
        <f t="shared" si="18"/>
        <v>1.1103400073574855E-3</v>
      </c>
      <c r="CG52">
        <f t="shared" si="19"/>
        <v>13</v>
      </c>
      <c r="CH52" s="124">
        <f t="shared" si="20"/>
        <v>0.20833333333333334</v>
      </c>
      <c r="CI52">
        <f>_xlfn.RANK.AVG(CD52,(CD$51:CD$60,CD$86:CD$88),1)</f>
        <v>8</v>
      </c>
      <c r="CJ52" s="124">
        <f t="shared" si="20"/>
        <v>0.57692307692307687</v>
      </c>
      <c r="CK52" s="14">
        <f t="shared" si="21"/>
        <v>2</v>
      </c>
      <c r="CL52" s="21" t="s">
        <v>8</v>
      </c>
      <c r="CM52" s="151">
        <f>AVERAGE($P51:$P51,$P66:$P72)</f>
        <v>1.9066666666666667</v>
      </c>
      <c r="CN52" s="151">
        <f>AVERAGE($N51:$N51,$N66:$N72)</f>
        <v>96.950000000000017</v>
      </c>
      <c r="CO52" s="154">
        <f>AVERAGE($AF51:$AF51,$AF66:$AF72)</f>
        <v>3.9999999999999994E-8</v>
      </c>
      <c r="CP52" s="144">
        <f>COUNT($CD51:$CD51,$CD66:$CD72)</f>
        <v>8</v>
      </c>
      <c r="CQ52" s="83">
        <f>PERCENTILE(($CD51:$CD51,$CD66:$CD72),0)</f>
        <v>343.73983739837394</v>
      </c>
      <c r="CR52" s="83">
        <f>PERCENTILE(($CD51:$CD51,$CD66:$CD72),0.1)</f>
        <v>38507.121951219524</v>
      </c>
      <c r="CS52" s="83">
        <f>PERCENTILE(($CD51:$CD51,$CD66:$CD72),0.5)</f>
        <v>54862.857142857145</v>
      </c>
      <c r="CT52" s="83">
        <f>PERCENTILE(($CD51:$CD51,$CD66:$CD72),0.9)</f>
        <v>137145.14285714287</v>
      </c>
      <c r="CU52" s="144">
        <f>COUNT($CD66:$CD72)</f>
        <v>7</v>
      </c>
      <c r="CV52" s="83">
        <f>PERCENTILE(($CD66:$CD72),0)</f>
        <v>54862.857142857145</v>
      </c>
      <c r="CW52" s="83">
        <f>PERCENTILE(($CD66:$CD72),0.1)</f>
        <v>54862.857142857145</v>
      </c>
      <c r="CX52" s="83">
        <f>PERCENTILE(($CD66:$CD72),0.5)</f>
        <v>54862.857142857145</v>
      </c>
      <c r="CY52" s="86">
        <f>PERCENTILE(($CD66:$CD72),0.9)</f>
        <v>137145.14285714287</v>
      </c>
      <c r="CZ52" s="8">
        <f>COUNT($CD51)</f>
        <v>1</v>
      </c>
      <c r="DA52" s="83">
        <f>PERCENTILE($CD51,0)</f>
        <v>343.73983739837394</v>
      </c>
      <c r="DB52" s="83">
        <f>PERCENTILE($CD51,0.1)</f>
        <v>343.73983739837394</v>
      </c>
      <c r="DC52" s="83">
        <f>PERCENTILE($CD51,0.5)</f>
        <v>343.73983739837394</v>
      </c>
      <c r="DD52" s="86">
        <f>PERCENTILE($CD51,0.9)</f>
        <v>343.73983739837394</v>
      </c>
      <c r="DE52" s="144">
        <f t="shared" ref="DE52:DE62" si="28">CU52+CZ52</f>
        <v>8</v>
      </c>
      <c r="DF52" s="86">
        <f>MIN(DA52,CY52)</f>
        <v>343.73983739837394</v>
      </c>
    </row>
    <row r="53" spans="1:110" x14ac:dyDescent="0.2">
      <c r="A53" s="8">
        <v>65</v>
      </c>
      <c r="B53" t="s">
        <v>143</v>
      </c>
      <c r="C53">
        <v>6</v>
      </c>
      <c r="D53" t="s">
        <v>6</v>
      </c>
      <c r="E53" t="s">
        <v>5</v>
      </c>
      <c r="F53" s="9">
        <v>2</v>
      </c>
      <c r="G53" s="26" t="s">
        <v>31</v>
      </c>
      <c r="H53" s="1">
        <v>9</v>
      </c>
      <c r="I53" s="11">
        <v>403</v>
      </c>
      <c r="J53" t="s">
        <v>44</v>
      </c>
      <c r="K53" s="6" t="s">
        <v>153</v>
      </c>
      <c r="L53" s="1">
        <v>10</v>
      </c>
      <c r="M53" s="6">
        <v>40</v>
      </c>
      <c r="N53" s="1">
        <v>165.80749949115744</v>
      </c>
      <c r="O53" s="18">
        <v>118882.50367033854</v>
      </c>
      <c r="P53" s="30">
        <v>3.4</v>
      </c>
      <c r="Q53" s="1"/>
      <c r="R53" s="1"/>
      <c r="S53" s="1"/>
      <c r="T53" s="1"/>
      <c r="U53" s="1"/>
      <c r="W53" s="251">
        <f t="shared" si="22"/>
        <v>-13.732690623171854</v>
      </c>
      <c r="X53" s="118">
        <f t="shared" si="23"/>
        <v>1.5989066887158595E-9</v>
      </c>
      <c r="Y53" s="1"/>
      <c r="Z53" s="1"/>
      <c r="AA53" s="1"/>
      <c r="AB53" s="1"/>
      <c r="AC53" s="197"/>
      <c r="AD53" s="244">
        <f>'Lohman 2011'!AD53</f>
        <v>2.6992668676849045</v>
      </c>
      <c r="AE53" s="96">
        <f t="shared" si="24"/>
        <v>500.34189339873814</v>
      </c>
      <c r="AF53" s="248">
        <v>7.9999999999999996E-7</v>
      </c>
      <c r="AG53" s="22">
        <v>570</v>
      </c>
      <c r="AH53" s="15">
        <v>1.5</v>
      </c>
      <c r="AI53" s="162">
        <v>0.05</v>
      </c>
      <c r="AJ53" s="167">
        <f t="shared" si="1"/>
        <v>11.48904006046863</v>
      </c>
      <c r="AK53" s="168">
        <f t="shared" si="2"/>
        <v>1.0399369815083012E-2</v>
      </c>
      <c r="AL53" s="151">
        <f t="shared" si="25"/>
        <v>49.612500000000004</v>
      </c>
      <c r="AM53" s="175">
        <f t="shared" si="26"/>
        <v>7.6593600403124205</v>
      </c>
      <c r="AN53" s="134">
        <f t="shared" si="3"/>
        <v>0.88419248470159029</v>
      </c>
      <c r="AO53" s="119">
        <f t="shared" si="4"/>
        <v>4.7946500317709601E-3</v>
      </c>
      <c r="AP53">
        <f t="shared" si="5"/>
        <v>12</v>
      </c>
      <c r="AQ53" s="124">
        <f t="shared" si="6"/>
        <v>0.19166666666666668</v>
      </c>
      <c r="AR53">
        <f>_xlfn.RANK.AVG(AM53,(AM$51:AM$60,AM$86:AM$88),1)</f>
        <v>6</v>
      </c>
      <c r="AS53" s="124">
        <f t="shared" si="6"/>
        <v>0.42307692307692307</v>
      </c>
      <c r="AT53" s="14">
        <f t="shared" si="7"/>
        <v>0</v>
      </c>
      <c r="AU53" s="8" t="s">
        <v>12</v>
      </c>
      <c r="AV53" s="144">
        <f>COUNT(AM52:AM59,AM78,AM86,AM107:AM108)</f>
        <v>12</v>
      </c>
      <c r="AW53" s="144">
        <f>MIN(AM52:AM59,AM78,AM86,AM107:AM108)</f>
        <v>4.2152328711775864</v>
      </c>
      <c r="AX53" s="144">
        <f>AVERAGE(AM52:AM59,AM78,AM86,AM107:AM108)</f>
        <v>455.23654597736186</v>
      </c>
      <c r="AY53" s="144">
        <f>MAX(AM52:AM59,AM78,AM86,AM107:AM108)</f>
        <v>2880.1727675197058</v>
      </c>
      <c r="AZ53" s="83"/>
      <c r="BA53" s="83"/>
      <c r="BB53" s="83"/>
      <c r="BC53" s="83"/>
      <c r="BD53" s="83"/>
      <c r="BE53" s="8">
        <f t="shared" si="8"/>
        <v>3.6539647813271308</v>
      </c>
      <c r="BF53" s="16">
        <f t="shared" ref="BF53:BF60" si="29">10^(MAX(0,((W53+12.5)/2+AD53)*0.73611+-1.03574))</f>
        <v>3.1442667754164213</v>
      </c>
      <c r="BG53" s="16"/>
      <c r="BH53" s="189"/>
      <c r="BI53" s="6">
        <f t="shared" si="0"/>
        <v>3.3074069593556463E-3</v>
      </c>
      <c r="BJ53" s="151">
        <f t="shared" si="9"/>
        <v>155.99493539534728</v>
      </c>
      <c r="BK53" s="175">
        <f t="shared" si="10"/>
        <v>2.4359765208847537</v>
      </c>
      <c r="BL53" s="134">
        <f t="shared" si="11"/>
        <v>0.38667309804157157</v>
      </c>
      <c r="BM53" s="119">
        <f t="shared" si="12"/>
        <v>4.7946500317709601E-3</v>
      </c>
      <c r="BN53">
        <f t="shared" si="13"/>
        <v>11</v>
      </c>
      <c r="BO53" s="124">
        <f t="shared" si="14"/>
        <v>0.17499999999999999</v>
      </c>
      <c r="BP53">
        <f>_xlfn.RANK.AVG(BK53,(BK$51:BK$60,BK$86:BK$88),1)</f>
        <v>6</v>
      </c>
      <c r="BQ53" s="124">
        <f t="shared" si="27"/>
        <v>0.42307692307692307</v>
      </c>
      <c r="BR53" s="14">
        <f t="shared" si="15"/>
        <v>0</v>
      </c>
      <c r="BS53" s="8" t="s">
        <v>12</v>
      </c>
      <c r="BT53" s="144">
        <f>COUNT(BK52:BK59,BK78,BK86,BK107:BK108)</f>
        <v>12</v>
      </c>
      <c r="BU53" s="144">
        <f>MIN(BK52:BK59,BK78,BK86,BK107:BK108)</f>
        <v>1.3406091697226703</v>
      </c>
      <c r="BV53" s="144">
        <f>AVERAGE(BK52:BK59,BK78,BK86,BK107:BK108)</f>
        <v>139.89377862758312</v>
      </c>
      <c r="BW53" s="144">
        <f>MAX(BK52:BK59,BK78,BK86,BK107:BK108)</f>
        <v>916.00776054959908</v>
      </c>
      <c r="BX53" s="83"/>
      <c r="BY53" s="83"/>
      <c r="BZ53" s="83"/>
      <c r="CA53" s="83"/>
      <c r="CB53" s="83"/>
      <c r="CC53" s="151"/>
      <c r="CD53" s="175">
        <f t="shared" si="16"/>
        <v>380</v>
      </c>
      <c r="CE53" s="134">
        <f t="shared" si="17"/>
        <v>2.5797835966168101</v>
      </c>
      <c r="CF53" s="119">
        <f t="shared" si="18"/>
        <v>4.7946500317709601E-3</v>
      </c>
      <c r="CG53">
        <f t="shared" si="19"/>
        <v>12</v>
      </c>
      <c r="CH53" s="124">
        <f t="shared" si="20"/>
        <v>0.19166666666666668</v>
      </c>
      <c r="CI53">
        <f>_xlfn.RANK.AVG(CD53,(CD$51:CD$60,CD$86:CD$88),1)</f>
        <v>7</v>
      </c>
      <c r="CJ53" s="124">
        <f t="shared" si="20"/>
        <v>0.5</v>
      </c>
      <c r="CK53" s="14">
        <f t="shared" si="21"/>
        <v>2</v>
      </c>
      <c r="CL53" s="8" t="s">
        <v>12</v>
      </c>
      <c r="CM53" s="151">
        <f>AVERAGE($P52:$P59,$P78,$P86,$P107:$P108)</f>
        <v>3.399999999999999</v>
      </c>
      <c r="CN53" s="151">
        <f>AVERAGE($N52:$N59,$N78,$N86,$N107:$N108)</f>
        <v>165.80749949115742</v>
      </c>
      <c r="CO53" s="154">
        <f>AVERAGE($AF52:$AF59,$AF78,$AF86,$AF107:$AF108)</f>
        <v>7.9999999999999996E-7</v>
      </c>
      <c r="CP53" s="144">
        <f>COUNT($CD52:$CD59,$CD78,$CD86,$CD107:$CD108)</f>
        <v>12</v>
      </c>
      <c r="CQ53" s="83">
        <f>PERCENTILE(($CD52:$CD59,$CD78,$CD86,$CD107:$CD108),0)</f>
        <v>209.12824082129808</v>
      </c>
      <c r="CR53" s="83">
        <f>PERCENTILE(($CD52:$CD59,$CD78,$CD86,$CD107:$CD108),0.1)</f>
        <v>368.7466976516634</v>
      </c>
      <c r="CS53" s="83">
        <f>PERCENTILE(($CD52:$CD59,$CD78,$CD86,$CD107:$CD108),0.5)</f>
        <v>6130.3884854602884</v>
      </c>
      <c r="CT53" s="83">
        <f>PERCENTILE(($CD52:$CD59,$CD78,$CD86,$CD107:$CD108),0.9)</f>
        <v>44972.314285714288</v>
      </c>
      <c r="CU53" s="144">
        <f>COUNT($CD78,CD107:$CD108)</f>
        <v>3</v>
      </c>
      <c r="CV53" s="83">
        <f>PERCENTILE(($CD78,CD107:$CD108),0)</f>
        <v>13000</v>
      </c>
      <c r="CW53" s="83">
        <f>PERCENTILE(($CD78,CD107:$CD108),0.1)</f>
        <v>19600</v>
      </c>
      <c r="CX53" s="83">
        <f>PERCENTILE(($CD78,CD107:$CD108),0.5)</f>
        <v>46000</v>
      </c>
      <c r="CY53" s="86">
        <f>PERCENTILE(($CD78,CD107:$CD108),0.9)</f>
        <v>123514.05714285711</v>
      </c>
      <c r="CZ53" s="8">
        <f>COUNT($CD52:$CD59,$CD86)</f>
        <v>9</v>
      </c>
      <c r="DA53" s="83">
        <f>PERCENTILE(($CD52:$CD59,$CD86),0)</f>
        <v>209.12824082129808</v>
      </c>
      <c r="DB53" s="83">
        <f>PERCENTILE(($CD52:$CD59,$CD86),0.1)</f>
        <v>335.82271274351598</v>
      </c>
      <c r="DC53" s="83">
        <f>PERCENTILE(($CD52:$CD59,$CD86),0.5)</f>
        <v>574.468085106383</v>
      </c>
      <c r="DD53" s="86">
        <f>PERCENTILE(($CD52:$CD59,$CD86),0.9)</f>
        <v>22406.342857142845</v>
      </c>
      <c r="DE53" s="144">
        <f t="shared" si="28"/>
        <v>12</v>
      </c>
      <c r="DF53" s="86">
        <f>MIN(DA53,CY53)</f>
        <v>209.12824082129808</v>
      </c>
    </row>
    <row r="54" spans="1:110" x14ac:dyDescent="0.2">
      <c r="A54" s="8">
        <v>5</v>
      </c>
      <c r="B54" t="s">
        <v>143</v>
      </c>
      <c r="C54">
        <v>1</v>
      </c>
      <c r="D54" s="23" t="s">
        <v>11</v>
      </c>
      <c r="E54" t="s">
        <v>10</v>
      </c>
      <c r="F54" s="6">
        <v>48</v>
      </c>
      <c r="G54" s="28" t="s">
        <v>33</v>
      </c>
      <c r="H54" s="1">
        <v>9</v>
      </c>
      <c r="I54" s="11">
        <v>403</v>
      </c>
      <c r="J54" t="s">
        <v>12</v>
      </c>
      <c r="K54" s="6" t="s">
        <v>153</v>
      </c>
      <c r="L54" s="1">
        <v>10</v>
      </c>
      <c r="M54" s="6">
        <v>40</v>
      </c>
      <c r="N54" s="1">
        <v>165.80749949115744</v>
      </c>
      <c r="O54" s="18">
        <v>118882.50367033854</v>
      </c>
      <c r="P54" s="30">
        <v>3.4</v>
      </c>
      <c r="Q54" s="1"/>
      <c r="R54" s="1"/>
      <c r="S54" s="1"/>
      <c r="T54" s="1"/>
      <c r="U54" s="1"/>
      <c r="W54" s="251">
        <f t="shared" si="22"/>
        <v>-13.732690623171854</v>
      </c>
      <c r="X54" s="118">
        <f t="shared" si="23"/>
        <v>1.5989066887158595E-9</v>
      </c>
      <c r="Y54" s="1"/>
      <c r="Z54" s="1"/>
      <c r="AA54" s="1"/>
      <c r="AB54" s="1"/>
      <c r="AC54" s="197"/>
      <c r="AD54" s="244">
        <f>'Lohman 2011'!AD54</f>
        <v>2.6992668676849045</v>
      </c>
      <c r="AE54" s="96">
        <f t="shared" si="24"/>
        <v>500.34189339873814</v>
      </c>
      <c r="AF54" s="248">
        <v>7.9999999999999996E-7</v>
      </c>
      <c r="AG54" s="22">
        <v>7144.6285714285714</v>
      </c>
      <c r="AH54" s="32">
        <v>1.07</v>
      </c>
      <c r="AI54" s="162">
        <v>0.05</v>
      </c>
      <c r="AJ54" s="167">
        <f t="shared" si="1"/>
        <v>144.0086383759853</v>
      </c>
      <c r="AK54" s="168">
        <f t="shared" si="2"/>
        <v>0.13035023632577886</v>
      </c>
      <c r="AL54" s="151">
        <f t="shared" si="25"/>
        <v>49.612500000000004</v>
      </c>
      <c r="AM54" s="175">
        <f t="shared" si="26"/>
        <v>134.58751250092084</v>
      </c>
      <c r="AN54" s="134">
        <f t="shared" si="3"/>
        <v>2.1290047663996283</v>
      </c>
      <c r="AO54" s="119">
        <f t="shared" si="4"/>
        <v>6.0098234398231073E-2</v>
      </c>
      <c r="AP54">
        <f t="shared" si="5"/>
        <v>33</v>
      </c>
      <c r="AQ54" s="124">
        <f t="shared" si="6"/>
        <v>0.54166666666666663</v>
      </c>
      <c r="AR54">
        <f>_xlfn.RANK.AVG(AM54,(AM$51:AM$60,AM$86:AM$88),1)</f>
        <v>11</v>
      </c>
      <c r="AS54" s="124">
        <f t="shared" si="6"/>
        <v>0.80769230769230771</v>
      </c>
      <c r="AT54" s="14">
        <f t="shared" si="7"/>
        <v>0</v>
      </c>
      <c r="AU54" t="s">
        <v>173</v>
      </c>
      <c r="AV54" s="144">
        <f>COUNT(AM77)</f>
        <v>1</v>
      </c>
      <c r="AW54" s="144">
        <f>MIN(AM77)</f>
        <v>1.4915595867976819</v>
      </c>
      <c r="AX54" s="144">
        <f>AVERAGE(AM77)</f>
        <v>1.4915595867976819</v>
      </c>
      <c r="AY54" s="144">
        <f>MAX(AM77)</f>
        <v>1.4915595867976819</v>
      </c>
      <c r="AZ54" s="83"/>
      <c r="BA54" s="83"/>
      <c r="BB54" s="83"/>
      <c r="BC54" s="83"/>
      <c r="BD54" s="83"/>
      <c r="BE54" s="8">
        <f t="shared" si="8"/>
        <v>45.800388027479954</v>
      </c>
      <c r="BF54" s="16">
        <f t="shared" si="29"/>
        <v>3.1442667754164213</v>
      </c>
      <c r="BG54" s="16"/>
      <c r="BH54" s="189"/>
      <c r="BI54" s="6">
        <f t="shared" si="0"/>
        <v>4.145648115641061E-2</v>
      </c>
      <c r="BJ54" s="151">
        <f t="shared" si="9"/>
        <v>155.99493539534726</v>
      </c>
      <c r="BK54" s="175">
        <f t="shared" si="10"/>
        <v>42.804100960261636</v>
      </c>
      <c r="BL54" s="134">
        <f t="shared" si="11"/>
        <v>1.6314853797396096</v>
      </c>
      <c r="BM54" s="119">
        <f t="shared" si="12"/>
        <v>6.0098234398231073E-2</v>
      </c>
      <c r="BN54">
        <f t="shared" si="13"/>
        <v>28</v>
      </c>
      <c r="BO54" s="124">
        <f t="shared" si="14"/>
        <v>0.45833333333333331</v>
      </c>
      <c r="BP54">
        <f>_xlfn.RANK.AVG(BK54,(BK$51:BK$60,BK$86:BK$88),1)</f>
        <v>11</v>
      </c>
      <c r="BQ54" s="124">
        <f t="shared" si="27"/>
        <v>0.80769230769230771</v>
      </c>
      <c r="BR54" s="14">
        <f t="shared" si="15"/>
        <v>0</v>
      </c>
      <c r="BS54" t="s">
        <v>173</v>
      </c>
      <c r="BT54" s="144">
        <f>COUNT(BK77)</f>
        <v>1</v>
      </c>
      <c r="BU54" s="144">
        <f>MIN(BK77)</f>
        <v>1.4915595867976819</v>
      </c>
      <c r="BV54" s="144">
        <f>AVERAGE(BK77)</f>
        <v>1.4915595867976819</v>
      </c>
      <c r="BW54" s="144">
        <f>MAX(BK77)</f>
        <v>1.4915595867976819</v>
      </c>
      <c r="BX54" s="83"/>
      <c r="BY54" s="83"/>
      <c r="BZ54" s="83"/>
      <c r="CA54" s="83"/>
      <c r="CB54" s="83"/>
      <c r="CC54" s="151"/>
      <c r="CD54" s="175">
        <f t="shared" si="16"/>
        <v>6677.2229639519355</v>
      </c>
      <c r="CE54" s="134">
        <f t="shared" si="17"/>
        <v>3.8245958783148479</v>
      </c>
      <c r="CF54" s="119">
        <f t="shared" si="18"/>
        <v>6.0098234398231073E-2</v>
      </c>
      <c r="CG54">
        <f t="shared" si="19"/>
        <v>28</v>
      </c>
      <c r="CH54" s="124">
        <f t="shared" si="20"/>
        <v>0.45833333333333331</v>
      </c>
      <c r="CI54">
        <f>_xlfn.RANK.AVG(CD54,(CD$51:CD$60,CD$86:CD$88),1)</f>
        <v>11</v>
      </c>
      <c r="CJ54" s="124">
        <f t="shared" si="20"/>
        <v>0.80769230769230771</v>
      </c>
      <c r="CK54" s="14">
        <f t="shared" si="21"/>
        <v>2</v>
      </c>
      <c r="CL54" t="s">
        <v>173</v>
      </c>
      <c r="CM54" s="151">
        <f>AVERAGE($P77)</f>
        <v>2.39</v>
      </c>
      <c r="CN54" s="151">
        <f>AVERAGE($N77)</f>
        <v>167.85</v>
      </c>
      <c r="CO54" s="154">
        <f>AVERAGE($AF77)</f>
        <v>4.0000000000000001E-8</v>
      </c>
      <c r="CP54" s="144">
        <f>COUNT($CD77)</f>
        <v>1</v>
      </c>
      <c r="CQ54" s="83">
        <f>PERCENTILE(($CD77),0)</f>
        <v>1480</v>
      </c>
      <c r="CR54" s="83">
        <f>PERCENTILE(($CD77),0.1)</f>
        <v>1480</v>
      </c>
      <c r="CS54" s="83">
        <f>PERCENTILE(($CD77),0.5)</f>
        <v>1480</v>
      </c>
      <c r="CT54" s="83">
        <f>PERCENTILE(($CD77),0.9)</f>
        <v>1480</v>
      </c>
      <c r="CU54" s="144">
        <f>COUNT($CD77)</f>
        <v>1</v>
      </c>
      <c r="CV54" s="83">
        <f>PERCENTILE(($CD77),0)</f>
        <v>1480</v>
      </c>
      <c r="CW54" s="83">
        <f>PERCENTILE(($CD77),0.1)</f>
        <v>1480</v>
      </c>
      <c r="CX54" s="83">
        <f>PERCENTILE(($CD77),0.5)</f>
        <v>1480</v>
      </c>
      <c r="CY54" s="86">
        <f>PERCENTILE(($CD77),0.9)</f>
        <v>1480</v>
      </c>
      <c r="CZ54" s="8"/>
      <c r="DA54" s="83"/>
      <c r="DB54" s="83"/>
      <c r="DC54" s="83"/>
      <c r="DD54" s="86"/>
      <c r="DE54" s="144">
        <f t="shared" si="28"/>
        <v>1</v>
      </c>
      <c r="DF54" s="9"/>
    </row>
    <row r="55" spans="1:110" x14ac:dyDescent="0.2">
      <c r="A55" s="8">
        <v>4</v>
      </c>
      <c r="B55" t="s">
        <v>143</v>
      </c>
      <c r="C55">
        <v>1</v>
      </c>
      <c r="D55" s="23" t="s">
        <v>11</v>
      </c>
      <c r="E55" t="s">
        <v>10</v>
      </c>
      <c r="F55" s="6">
        <v>46</v>
      </c>
      <c r="G55" s="28" t="s">
        <v>33</v>
      </c>
      <c r="H55" s="1">
        <v>9</v>
      </c>
      <c r="I55" s="11">
        <v>403</v>
      </c>
      <c r="J55" t="s">
        <v>12</v>
      </c>
      <c r="K55" s="6" t="s">
        <v>153</v>
      </c>
      <c r="L55" s="1">
        <v>10</v>
      </c>
      <c r="M55" s="6">
        <v>40</v>
      </c>
      <c r="N55" s="1">
        <v>165.80749949115744</v>
      </c>
      <c r="O55" s="18">
        <v>118882.50367033854</v>
      </c>
      <c r="P55" s="30">
        <v>3.4</v>
      </c>
      <c r="Q55" s="1"/>
      <c r="R55" s="1"/>
      <c r="S55" s="1"/>
      <c r="T55" s="1"/>
      <c r="U55" s="1"/>
      <c r="W55" s="251">
        <f t="shared" si="22"/>
        <v>-13.732690623171854</v>
      </c>
      <c r="X55" s="118">
        <f t="shared" si="23"/>
        <v>1.5989066887158595E-9</v>
      </c>
      <c r="Y55" s="1"/>
      <c r="Z55" s="1"/>
      <c r="AA55" s="1"/>
      <c r="AB55" s="1"/>
      <c r="AC55" s="197"/>
      <c r="AD55" s="244">
        <f>'Lohman 2011'!AD55</f>
        <v>2.6992668676849045</v>
      </c>
      <c r="AE55" s="96">
        <f t="shared" si="24"/>
        <v>500.34189339873814</v>
      </c>
      <c r="AF55" s="248">
        <v>7.9999999999999996E-7</v>
      </c>
      <c r="AG55" s="22">
        <v>7144.6285714285714</v>
      </c>
      <c r="AH55" s="32">
        <v>0.2</v>
      </c>
      <c r="AI55" s="162">
        <v>0.05</v>
      </c>
      <c r="AJ55" s="167">
        <f t="shared" si="1"/>
        <v>144.0086383759853</v>
      </c>
      <c r="AK55" s="168">
        <f t="shared" si="2"/>
        <v>0.13035023632577886</v>
      </c>
      <c r="AL55" s="151">
        <f t="shared" si="25"/>
        <v>49.612500000000004</v>
      </c>
      <c r="AM55" s="175">
        <f t="shared" si="26"/>
        <v>720.04319187992644</v>
      </c>
      <c r="AN55" s="134">
        <f t="shared" si="3"/>
        <v>2.8573585484208568</v>
      </c>
      <c r="AO55" s="119">
        <f t="shared" si="4"/>
        <v>6.0098234398231073E-2</v>
      </c>
      <c r="AP55">
        <f t="shared" si="5"/>
        <v>48</v>
      </c>
      <c r="AQ55" s="124">
        <f t="shared" si="6"/>
        <v>0.79166666666666663</v>
      </c>
      <c r="AR55">
        <f>_xlfn.RANK.AVG(AM55,(AM$51:AM$60,AM$86:AM$88),1)</f>
        <v>13</v>
      </c>
      <c r="AS55" s="124">
        <f t="shared" si="6"/>
        <v>0.96153846153846156</v>
      </c>
      <c r="AT55" s="14">
        <f t="shared" si="7"/>
        <v>0</v>
      </c>
      <c r="AU55" s="8" t="s">
        <v>19</v>
      </c>
      <c r="AV55" s="144">
        <f>COUNT(AM60)</f>
        <v>1</v>
      </c>
      <c r="AW55" s="144">
        <f>MIN(AM60)</f>
        <v>8.9279486642951777</v>
      </c>
      <c r="AX55" s="144">
        <f>AVERAGE(AM60)</f>
        <v>8.9279486642951777</v>
      </c>
      <c r="AY55" s="144">
        <f>MAX(AM60)</f>
        <v>8.9279486642951777</v>
      </c>
      <c r="AZ55" s="83"/>
      <c r="BA55" s="83"/>
      <c r="BB55" s="83"/>
      <c r="BC55" s="83"/>
      <c r="BD55" s="83"/>
      <c r="BE55" s="8">
        <f t="shared" si="8"/>
        <v>45.800388027479954</v>
      </c>
      <c r="BF55" s="16">
        <f t="shared" si="29"/>
        <v>3.1442667754164213</v>
      </c>
      <c r="BG55" s="16"/>
      <c r="BH55" s="189"/>
      <c r="BI55" s="6">
        <f t="shared" si="0"/>
        <v>4.145648115641061E-2</v>
      </c>
      <c r="BJ55" s="151">
        <f t="shared" si="9"/>
        <v>155.99493539534726</v>
      </c>
      <c r="BK55" s="175">
        <f t="shared" si="10"/>
        <v>229.00194013739977</v>
      </c>
      <c r="BL55" s="134">
        <f t="shared" si="11"/>
        <v>2.3598391617608381</v>
      </c>
      <c r="BM55" s="119">
        <f t="shared" si="12"/>
        <v>6.0098234398231073E-2</v>
      </c>
      <c r="BN55">
        <f t="shared" si="13"/>
        <v>46</v>
      </c>
      <c r="BO55" s="124">
        <f t="shared" si="14"/>
        <v>0.7583333333333333</v>
      </c>
      <c r="BP55">
        <f>_xlfn.RANK.AVG(BK55,(BK$51:BK$60,BK$86:BK$88),1)</f>
        <v>13</v>
      </c>
      <c r="BQ55" s="124">
        <f t="shared" si="27"/>
        <v>0.96153846153846156</v>
      </c>
      <c r="BR55" s="14">
        <f t="shared" si="15"/>
        <v>0</v>
      </c>
      <c r="BS55" s="8" t="s">
        <v>19</v>
      </c>
      <c r="BT55" s="144">
        <f>COUNT(BK60)</f>
        <v>1</v>
      </c>
      <c r="BU55" s="144">
        <f>MIN(BK60)</f>
        <v>3.189910457858625</v>
      </c>
      <c r="BV55" s="144">
        <f>AVERAGE(BK60)</f>
        <v>3.189910457858625</v>
      </c>
      <c r="BW55" s="144">
        <f>MAX(BK60)</f>
        <v>3.189910457858625</v>
      </c>
      <c r="BX55" s="83"/>
      <c r="BY55" s="83"/>
      <c r="BZ55" s="83"/>
      <c r="CA55" s="83"/>
      <c r="CB55" s="83"/>
      <c r="CC55" s="151"/>
      <c r="CD55" s="175">
        <f t="shared" si="16"/>
        <v>35723.142857142855</v>
      </c>
      <c r="CE55" s="134">
        <f t="shared" si="17"/>
        <v>4.5529496603360764</v>
      </c>
      <c r="CF55" s="119">
        <f t="shared" si="18"/>
        <v>6.0098234398231073E-2</v>
      </c>
      <c r="CG55">
        <f t="shared" si="19"/>
        <v>41</v>
      </c>
      <c r="CH55" s="124">
        <f t="shared" si="20"/>
        <v>0.67500000000000004</v>
      </c>
      <c r="CI55">
        <f>_xlfn.RANK.AVG(CD55,(CD$51:CD$60,CD$86:CD$88),1)</f>
        <v>13</v>
      </c>
      <c r="CJ55" s="124">
        <f t="shared" si="20"/>
        <v>0.96153846153846156</v>
      </c>
      <c r="CK55" s="14">
        <f t="shared" si="21"/>
        <v>2</v>
      </c>
      <c r="CL55" s="8" t="s">
        <v>19</v>
      </c>
      <c r="CM55" s="151">
        <f>AVERAGE($P60)</f>
        <v>2.61</v>
      </c>
      <c r="CN55" s="151">
        <f>AVERAGE($N60)</f>
        <v>131.4</v>
      </c>
      <c r="CO55" s="154">
        <f>AVERAGE($AF60)</f>
        <v>1.5999999999999999E-6</v>
      </c>
      <c r="CP55" s="144">
        <f>COUNT($CD60)</f>
        <v>1</v>
      </c>
      <c r="CQ55" s="83">
        <f>PERCENTILE(($CD60),0)</f>
        <v>221.46892655367228</v>
      </c>
      <c r="CR55" s="83">
        <f>PERCENTILE(($CD60),0.1)</f>
        <v>221.46892655367228</v>
      </c>
      <c r="CS55" s="83">
        <f>PERCENTILE(($CD60),0.5)</f>
        <v>221.46892655367228</v>
      </c>
      <c r="CT55" s="83">
        <f>PERCENTILE(($CD60),0.9)</f>
        <v>221.46892655367228</v>
      </c>
      <c r="CU55" s="144"/>
      <c r="CV55" s="83"/>
      <c r="CW55" s="83"/>
      <c r="CX55" s="83"/>
      <c r="CY55" s="86"/>
      <c r="CZ55" s="8">
        <f>COUNT($CD60)</f>
        <v>1</v>
      </c>
      <c r="DA55" s="83">
        <f>PERCENTILE($CD60,0.9)</f>
        <v>221.46892655367228</v>
      </c>
      <c r="DB55" s="83">
        <f>PERCENTILE($CD60,0.9)</f>
        <v>221.46892655367228</v>
      </c>
      <c r="DC55" s="83">
        <f>PERCENTILE($CD60,0.9)</f>
        <v>221.46892655367228</v>
      </c>
      <c r="DD55" s="86">
        <f>PERCENTILE($CD60,0.9)</f>
        <v>221.46892655367228</v>
      </c>
      <c r="DE55" s="144">
        <f t="shared" si="28"/>
        <v>1</v>
      </c>
      <c r="DF55" s="86">
        <f>MIN(DA55,CY55)</f>
        <v>221.46892655367228</v>
      </c>
    </row>
    <row r="56" spans="1:110" x14ac:dyDescent="0.2">
      <c r="A56" s="8">
        <v>6</v>
      </c>
      <c r="B56" t="s">
        <v>143</v>
      </c>
      <c r="C56">
        <v>1</v>
      </c>
      <c r="D56" s="23" t="s">
        <v>11</v>
      </c>
      <c r="E56" t="s">
        <v>10</v>
      </c>
      <c r="F56" s="6">
        <v>52</v>
      </c>
      <c r="G56" s="28" t="s">
        <v>33</v>
      </c>
      <c r="H56" s="1">
        <v>9</v>
      </c>
      <c r="I56" s="11">
        <v>403</v>
      </c>
      <c r="J56" t="s">
        <v>12</v>
      </c>
      <c r="K56" s="6" t="s">
        <v>153</v>
      </c>
      <c r="L56" s="1">
        <v>10</v>
      </c>
      <c r="M56" s="6">
        <v>40</v>
      </c>
      <c r="N56" s="1">
        <v>165.80749949115744</v>
      </c>
      <c r="O56" s="18">
        <v>118882.50367033854</v>
      </c>
      <c r="P56" s="30">
        <v>3.4</v>
      </c>
      <c r="Q56" s="1"/>
      <c r="R56" s="1"/>
      <c r="S56" s="1"/>
      <c r="T56" s="1"/>
      <c r="U56" s="1"/>
      <c r="W56" s="251">
        <f t="shared" si="22"/>
        <v>-13.732690623171854</v>
      </c>
      <c r="X56" s="118">
        <f t="shared" si="23"/>
        <v>1.5989066887158595E-9</v>
      </c>
      <c r="Y56" s="1"/>
      <c r="Z56" s="1"/>
      <c r="AA56" s="1"/>
      <c r="AB56" s="1"/>
      <c r="AC56" s="197"/>
      <c r="AD56" s="244">
        <f>'Lohman 2011'!AD56</f>
        <v>2.6992668676849045</v>
      </c>
      <c r="AE56" s="96">
        <f t="shared" si="24"/>
        <v>500.34189339873814</v>
      </c>
      <c r="AF56" s="248">
        <v>7.9999999999999996E-7</v>
      </c>
      <c r="AG56" s="22">
        <v>2861.5714285714284</v>
      </c>
      <c r="AH56" s="32">
        <v>13.683333333333332</v>
      </c>
      <c r="AI56" s="162">
        <v>0.05</v>
      </c>
      <c r="AJ56" s="167">
        <f t="shared" si="1"/>
        <v>57.678436453946638</v>
      </c>
      <c r="AK56" s="168">
        <f t="shared" si="2"/>
        <v>5.2207964101736289E-2</v>
      </c>
      <c r="AL56" s="151">
        <f t="shared" si="25"/>
        <v>49.612500000000011</v>
      </c>
      <c r="AM56" s="175">
        <f t="shared" si="26"/>
        <v>4.2152328711775864</v>
      </c>
      <c r="AN56" s="134">
        <f t="shared" si="3"/>
        <v>0.62482157228787116</v>
      </c>
      <c r="AO56" s="119">
        <f t="shared" si="4"/>
        <v>2.4070585159499776E-2</v>
      </c>
      <c r="AP56">
        <f t="shared" si="5"/>
        <v>8</v>
      </c>
      <c r="AQ56" s="124">
        <f t="shared" si="6"/>
        <v>0.125</v>
      </c>
      <c r="AR56">
        <f>_xlfn.RANK.AVG(AM56,(AM$51:AM$60,AM$86:AM$88),1)</f>
        <v>3</v>
      </c>
      <c r="AS56" s="124">
        <f t="shared" si="6"/>
        <v>0.19230769230769232</v>
      </c>
      <c r="AT56" s="14">
        <f t="shared" si="7"/>
        <v>0</v>
      </c>
      <c r="AU56" s="21" t="s">
        <v>39</v>
      </c>
      <c r="AV56" s="144">
        <f>COUNT(AM73:AM74,AM94)</f>
        <v>3</v>
      </c>
      <c r="AW56" s="144">
        <f>MIN(AM73:AM74,AM94)</f>
        <v>132.27513227513219</v>
      </c>
      <c r="AX56" s="144">
        <f>AVERAGE(AM73:AM74,AM94)</f>
        <v>15248.412698412692</v>
      </c>
      <c r="AY56" s="144">
        <f>MAX(AM73:AM74,AM94)</f>
        <v>44973.544973544958</v>
      </c>
      <c r="AZ56" s="83"/>
      <c r="BA56" s="83"/>
      <c r="BB56" s="83"/>
      <c r="BC56" s="83"/>
      <c r="BD56" s="83"/>
      <c r="BE56" s="8">
        <f t="shared" si="8"/>
        <v>18.344002139038537</v>
      </c>
      <c r="BF56" s="16">
        <f t="shared" si="29"/>
        <v>3.1442667754164213</v>
      </c>
      <c r="BG56" s="16"/>
      <c r="BH56" s="189"/>
      <c r="BI56" s="6">
        <f t="shared" si="0"/>
        <v>1.6604177644825302E-2</v>
      </c>
      <c r="BJ56" s="151">
        <f t="shared" si="9"/>
        <v>155.99493539534726</v>
      </c>
      <c r="BK56" s="175">
        <f t="shared" si="10"/>
        <v>1.3406091697226703</v>
      </c>
      <c r="BL56" s="134">
        <f t="shared" si="11"/>
        <v>0.12730218562785262</v>
      </c>
      <c r="BM56" s="119">
        <f t="shared" si="12"/>
        <v>2.4070585159499776E-2</v>
      </c>
      <c r="BN56">
        <f t="shared" si="13"/>
        <v>7</v>
      </c>
      <c r="BO56" s="124">
        <f t="shared" si="14"/>
        <v>0.10833333333333334</v>
      </c>
      <c r="BP56">
        <f>_xlfn.RANK.AVG(BK56,(BK$51:BK$60,BK$86:BK$88),1)</f>
        <v>4</v>
      </c>
      <c r="BQ56" s="124">
        <f t="shared" si="27"/>
        <v>0.26923076923076922</v>
      </c>
      <c r="BR56" s="14">
        <f t="shared" si="15"/>
        <v>0</v>
      </c>
      <c r="BS56" s="21" t="s">
        <v>39</v>
      </c>
      <c r="BT56" s="144">
        <f>COUNT(BK73:BK74,BK94)</f>
        <v>3</v>
      </c>
      <c r="BU56" s="144">
        <f>MIN(BK73:BK74,BK94)</f>
        <v>27.181646941363326</v>
      </c>
      <c r="BV56" s="144">
        <f>AVERAGE(BK73:BK74,BK94)</f>
        <v>3566.1743782589383</v>
      </c>
      <c r="BW56" s="144">
        <f>MAX(BK73:BK74,BK94)</f>
        <v>10495.510085808424</v>
      </c>
      <c r="BX56" s="83"/>
      <c r="BY56" s="83"/>
      <c r="BZ56" s="83"/>
      <c r="CA56" s="83"/>
      <c r="CB56" s="83"/>
      <c r="CC56" s="151"/>
      <c r="CD56" s="175">
        <f t="shared" si="16"/>
        <v>209.12824082129808</v>
      </c>
      <c r="CE56" s="134">
        <f t="shared" si="17"/>
        <v>2.3204126842030912</v>
      </c>
      <c r="CF56" s="119">
        <f t="shared" si="18"/>
        <v>2.4070585159499776E-2</v>
      </c>
      <c r="CG56">
        <f t="shared" si="19"/>
        <v>7</v>
      </c>
      <c r="CH56" s="124">
        <f t="shared" si="20"/>
        <v>0.10833333333333334</v>
      </c>
      <c r="CI56">
        <f>_xlfn.RANK.AVG(CD56,(CD$51:CD$60,CD$86:CD$88),1)</f>
        <v>3</v>
      </c>
      <c r="CJ56" s="124">
        <f t="shared" si="20"/>
        <v>0.19230769230769232</v>
      </c>
      <c r="CK56" s="14">
        <f t="shared" si="21"/>
        <v>2</v>
      </c>
      <c r="CL56" s="21" t="s">
        <v>39</v>
      </c>
      <c r="CM56" s="151">
        <f>AVERAGE($P73:$P74,$P94)</f>
        <v>3.15</v>
      </c>
      <c r="CN56" s="151">
        <f>AVERAGE($N73:$N74,$N94)</f>
        <v>106.18666499232586</v>
      </c>
      <c r="CO56" s="154">
        <f>AVERAGE($AF73:$AF74,$AF94)</f>
        <v>2.0999999999999998E-6</v>
      </c>
      <c r="CP56" s="144">
        <f>COUNT($CD73:$CD74,$CD94)</f>
        <v>3</v>
      </c>
      <c r="CQ56" s="83">
        <f>PERCENTILE(($CD73:$CD74,$CD94),0)</f>
        <v>2500</v>
      </c>
      <c r="CR56" s="83">
        <f>PERCENTILE(($CD73:$CD74,$CD94),0.1)</f>
        <v>4417</v>
      </c>
      <c r="CS56" s="83">
        <f>PERCENTILE(($CD73:$CD74,$CD94),0.5)</f>
        <v>12085</v>
      </c>
      <c r="CT56" s="83">
        <f>PERCENTILE(($CD73:$CD74,$CD94),0.9)</f>
        <v>682416.99999999988</v>
      </c>
      <c r="CU56" s="144">
        <f>COUNT($CD73:$CD74,$CD94)</f>
        <v>3</v>
      </c>
      <c r="CV56" s="83">
        <f>PERCENTILE(($CD73:$CD74,$CD94),0)</f>
        <v>2500</v>
      </c>
      <c r="CW56" s="83">
        <f>PERCENTILE(($CD73:$CD74,$CD94),0.1)</f>
        <v>4417</v>
      </c>
      <c r="CX56" s="83">
        <f>PERCENTILE(($CD73:$CD74,$CD94),0.5)</f>
        <v>12085</v>
      </c>
      <c r="CY56" s="86">
        <f>PERCENTILE(($CD73:$CD74,$CD94),0.9)</f>
        <v>682416.99999999988</v>
      </c>
      <c r="CZ56" s="8"/>
      <c r="DA56" s="83"/>
      <c r="DB56" s="83"/>
      <c r="DC56" s="83"/>
      <c r="DD56" s="86"/>
      <c r="DE56" s="144">
        <f t="shared" si="28"/>
        <v>3</v>
      </c>
      <c r="DF56" s="9"/>
    </row>
    <row r="57" spans="1:110" x14ac:dyDescent="0.2">
      <c r="A57" s="8">
        <v>8</v>
      </c>
      <c r="B57" t="s">
        <v>143</v>
      </c>
      <c r="C57">
        <v>1</v>
      </c>
      <c r="D57" s="23" t="s">
        <v>11</v>
      </c>
      <c r="E57" t="s">
        <v>10</v>
      </c>
      <c r="F57" s="6">
        <v>56</v>
      </c>
      <c r="G57" s="28" t="s">
        <v>33</v>
      </c>
      <c r="H57" s="1">
        <v>9</v>
      </c>
      <c r="I57" s="11">
        <v>403</v>
      </c>
      <c r="J57" t="s">
        <v>12</v>
      </c>
      <c r="K57" s="6" t="s">
        <v>153</v>
      </c>
      <c r="L57" s="1">
        <v>10</v>
      </c>
      <c r="M57" s="6">
        <v>40</v>
      </c>
      <c r="N57" s="1">
        <v>165.80749949115744</v>
      </c>
      <c r="O57" s="18">
        <v>118882.50367033854</v>
      </c>
      <c r="P57" s="30">
        <v>3.4</v>
      </c>
      <c r="Q57" s="1"/>
      <c r="R57" s="1"/>
      <c r="S57" s="1"/>
      <c r="T57" s="1"/>
      <c r="U57" s="1"/>
      <c r="W57" s="251">
        <f t="shared" si="22"/>
        <v>-13.732690623171854</v>
      </c>
      <c r="X57" s="118">
        <f t="shared" si="23"/>
        <v>1.5989066887158595E-9</v>
      </c>
      <c r="Y57" s="1"/>
      <c r="Z57" s="1"/>
      <c r="AA57" s="1"/>
      <c r="AB57" s="1"/>
      <c r="AC57" s="197"/>
      <c r="AD57" s="244">
        <f>'Lohman 2011'!AD57</f>
        <v>2.6992668676849045</v>
      </c>
      <c r="AE57" s="96">
        <f t="shared" si="24"/>
        <v>500.34189339873814</v>
      </c>
      <c r="AF57" s="248">
        <v>7.9999999999999996E-7</v>
      </c>
      <c r="AG57" s="22">
        <v>2861.5714285714284</v>
      </c>
      <c r="AH57" s="32">
        <v>7.7866666666666662</v>
      </c>
      <c r="AI57" s="162">
        <v>0.05</v>
      </c>
      <c r="AJ57" s="167">
        <f t="shared" si="1"/>
        <v>57.678436453946638</v>
      </c>
      <c r="AK57" s="168">
        <f t="shared" si="2"/>
        <v>5.2207964101736289E-2</v>
      </c>
      <c r="AL57" s="151">
        <f t="shared" si="25"/>
        <v>49.612500000000011</v>
      </c>
      <c r="AM57" s="175">
        <f t="shared" si="26"/>
        <v>7.4073334487089006</v>
      </c>
      <c r="AN57" s="134">
        <f t="shared" si="3"/>
        <v>0.86966189530296878</v>
      </c>
      <c r="AO57" s="119">
        <f t="shared" si="4"/>
        <v>2.4070585159499776E-2</v>
      </c>
      <c r="AP57">
        <f t="shared" si="5"/>
        <v>11</v>
      </c>
      <c r="AQ57" s="124">
        <f t="shared" si="6"/>
        <v>0.17499999999999999</v>
      </c>
      <c r="AR57">
        <f>_xlfn.RANK.AVG(AM57,(AM$51:AM$60,AM$86:AM$88),1)</f>
        <v>5</v>
      </c>
      <c r="AS57" s="124">
        <f t="shared" si="6"/>
        <v>0.34615384615384615</v>
      </c>
      <c r="AT57" s="14">
        <f t="shared" si="7"/>
        <v>0</v>
      </c>
      <c r="AU57" s="8" t="s">
        <v>37</v>
      </c>
      <c r="AV57" s="144">
        <f>COUNT(AM183:AM184)</f>
        <v>0</v>
      </c>
      <c r="AW57" s="144">
        <f>MIN(AM183:AM184)</f>
        <v>0</v>
      </c>
      <c r="AX57" s="144" t="e">
        <f>AVERAGE(AM183:AM184)</f>
        <v>#DIV/0!</v>
      </c>
      <c r="AY57" s="144">
        <f>MAX(AM183:AM184)</f>
        <v>0</v>
      </c>
      <c r="AZ57" s="83"/>
      <c r="BA57" s="83"/>
      <c r="BB57" s="83"/>
      <c r="BC57" s="83"/>
      <c r="BD57" s="83"/>
      <c r="BE57" s="8">
        <f t="shared" si="8"/>
        <v>18.344002139038537</v>
      </c>
      <c r="BF57" s="16">
        <f t="shared" si="29"/>
        <v>3.1442667754164213</v>
      </c>
      <c r="BG57" s="16"/>
      <c r="BH57" s="189"/>
      <c r="BI57" s="6">
        <f t="shared" si="0"/>
        <v>1.6604177644825302E-2</v>
      </c>
      <c r="BJ57" s="151">
        <f t="shared" si="9"/>
        <v>155.99493539534726</v>
      </c>
      <c r="BK57" s="175">
        <f t="shared" si="10"/>
        <v>2.3558221925135108</v>
      </c>
      <c r="BL57" s="134">
        <f t="shared" si="11"/>
        <v>0.37214250864295029</v>
      </c>
      <c r="BM57" s="119">
        <f t="shared" si="12"/>
        <v>2.4070585159499776E-2</v>
      </c>
      <c r="BN57">
        <f t="shared" si="13"/>
        <v>10</v>
      </c>
      <c r="BO57" s="124">
        <f t="shared" si="14"/>
        <v>0.15833333333333333</v>
      </c>
      <c r="BP57">
        <f>_xlfn.RANK.AVG(BK57,(BK$51:BK$60,BK$86:BK$88),1)</f>
        <v>5</v>
      </c>
      <c r="BQ57" s="124">
        <f t="shared" si="27"/>
        <v>0.34615384615384615</v>
      </c>
      <c r="BR57" s="14">
        <f t="shared" si="15"/>
        <v>0</v>
      </c>
      <c r="BS57" s="8" t="s">
        <v>37</v>
      </c>
      <c r="BT57" s="144">
        <f>COUNT(BK183:BK184)</f>
        <v>0</v>
      </c>
      <c r="BU57" s="144"/>
      <c r="BV57" s="144"/>
      <c r="BW57" s="144"/>
      <c r="BX57" s="83"/>
      <c r="BY57" s="83"/>
      <c r="BZ57" s="83"/>
      <c r="CA57" s="83"/>
      <c r="CB57" s="83"/>
      <c r="CC57" s="151"/>
      <c r="CD57" s="175">
        <f t="shared" si="16"/>
        <v>367.49633072407045</v>
      </c>
      <c r="CE57" s="134">
        <f t="shared" si="17"/>
        <v>2.5652530072181889</v>
      </c>
      <c r="CF57" s="119">
        <f t="shared" si="18"/>
        <v>2.4070585159499776E-2</v>
      </c>
      <c r="CG57">
        <f t="shared" si="19"/>
        <v>11</v>
      </c>
      <c r="CH57" s="124">
        <f t="shared" si="20"/>
        <v>0.17499999999999999</v>
      </c>
      <c r="CI57">
        <f>_xlfn.RANK.AVG(CD57,(CD$51:CD$60,CD$86:CD$88),1)</f>
        <v>6</v>
      </c>
      <c r="CJ57" s="124">
        <f t="shared" si="20"/>
        <v>0.42307692307692307</v>
      </c>
      <c r="CK57" s="14">
        <f t="shared" si="21"/>
        <v>2</v>
      </c>
      <c r="CL57" s="8" t="s">
        <v>37</v>
      </c>
      <c r="CM57" s="151">
        <f>AVERAGE($P183:$P184)</f>
        <v>5.8650000000000002</v>
      </c>
      <c r="CN57" s="151">
        <f>AVERAGE($N183:$N184)</f>
        <v>150</v>
      </c>
      <c r="CO57" s="154">
        <f>AVERAGE($AF74:$AF75,$AF95)</f>
        <v>1.0333333333333331E-6</v>
      </c>
      <c r="CP57" s="144">
        <f>COUNT($CD183:$CD184)</f>
        <v>0</v>
      </c>
      <c r="CQ57" s="83"/>
      <c r="CR57" s="83"/>
      <c r="CS57" s="83"/>
      <c r="CT57" s="83"/>
      <c r="CU57" s="144">
        <f>COUNT($CD183:$CD184)</f>
        <v>0</v>
      </c>
      <c r="CV57" s="83"/>
      <c r="CW57" s="83"/>
      <c r="CX57" s="83"/>
      <c r="CY57" s="86"/>
      <c r="CZ57" s="8"/>
      <c r="DA57" s="83"/>
      <c r="DB57" s="83"/>
      <c r="DC57" s="83"/>
      <c r="DD57" s="86"/>
      <c r="DE57" s="144">
        <f t="shared" si="28"/>
        <v>0</v>
      </c>
      <c r="DF57" s="9"/>
    </row>
    <row r="58" spans="1:110" x14ac:dyDescent="0.2">
      <c r="A58" s="8">
        <v>7</v>
      </c>
      <c r="B58" t="s">
        <v>143</v>
      </c>
      <c r="C58">
        <v>1</v>
      </c>
      <c r="D58" s="23" t="s">
        <v>11</v>
      </c>
      <c r="E58" t="s">
        <v>10</v>
      </c>
      <c r="F58" s="6">
        <v>54</v>
      </c>
      <c r="G58" s="28" t="s">
        <v>33</v>
      </c>
      <c r="H58" s="1">
        <v>9</v>
      </c>
      <c r="I58" s="11">
        <v>403</v>
      </c>
      <c r="J58" t="s">
        <v>12</v>
      </c>
      <c r="K58" s="6" t="s">
        <v>153</v>
      </c>
      <c r="L58" s="1">
        <v>10</v>
      </c>
      <c r="M58" s="6">
        <v>40</v>
      </c>
      <c r="N58" s="1">
        <v>165.80749949115744</v>
      </c>
      <c r="O58" s="18">
        <v>118882.50367033854</v>
      </c>
      <c r="P58" s="30">
        <v>3.4</v>
      </c>
      <c r="Q58" s="1"/>
      <c r="R58" s="1"/>
      <c r="S58" s="1"/>
      <c r="T58" s="1"/>
      <c r="U58" s="1"/>
      <c r="W58" s="251">
        <f t="shared" si="22"/>
        <v>-13.732690623171854</v>
      </c>
      <c r="X58" s="118">
        <f t="shared" si="23"/>
        <v>1.5989066887158595E-9</v>
      </c>
      <c r="Y58" s="1"/>
      <c r="Z58" s="1"/>
      <c r="AA58" s="1"/>
      <c r="AB58" s="1"/>
      <c r="AC58" s="197"/>
      <c r="AD58" s="244">
        <f>'Lohman 2011'!AD58</f>
        <v>2.6992668676849045</v>
      </c>
      <c r="AE58" s="96">
        <f t="shared" si="24"/>
        <v>500.34189339873814</v>
      </c>
      <c r="AF58" s="248">
        <v>7.9999999999999996E-7</v>
      </c>
      <c r="AG58" s="22">
        <v>2861.5714285714284</v>
      </c>
      <c r="AH58" s="32">
        <v>0.51249999999999996</v>
      </c>
      <c r="AI58" s="162">
        <v>0.05</v>
      </c>
      <c r="AJ58" s="167">
        <f t="shared" si="1"/>
        <v>57.678436453946638</v>
      </c>
      <c r="AK58" s="168">
        <f t="shared" si="2"/>
        <v>5.2207964101736289E-2</v>
      </c>
      <c r="AL58" s="151">
        <f t="shared" si="25"/>
        <v>49.612500000000011</v>
      </c>
      <c r="AM58" s="175">
        <f t="shared" si="26"/>
        <v>112.54329064184711</v>
      </c>
      <c r="AN58" s="134">
        <f t="shared" si="3"/>
        <v>2.0513196092958763</v>
      </c>
      <c r="AO58" s="119">
        <f t="shared" si="4"/>
        <v>2.4070585159499776E-2</v>
      </c>
      <c r="AP58">
        <f t="shared" si="5"/>
        <v>29</v>
      </c>
      <c r="AQ58" s="124">
        <f t="shared" si="6"/>
        <v>0.47499999999999998</v>
      </c>
      <c r="AR58">
        <f>_xlfn.RANK.AVG(AM58,(AM$51:AM$60,AM$86:AM$88),1)</f>
        <v>10</v>
      </c>
      <c r="AS58" s="124">
        <f t="shared" si="6"/>
        <v>0.73076923076923073</v>
      </c>
      <c r="AT58" s="14">
        <f t="shared" si="7"/>
        <v>0</v>
      </c>
      <c r="AU58" s="21" t="s">
        <v>35</v>
      </c>
      <c r="AV58" s="144">
        <f>COUNT(AM75:AM76,AM95:AM106)</f>
        <v>14</v>
      </c>
      <c r="AW58" s="144">
        <f>MIN(AM75:AM76,AM95:AM106)</f>
        <v>3.2753842277651795</v>
      </c>
      <c r="AX58" s="144">
        <f>AVERAGE(AM75:AM76,AM95:AM106)</f>
        <v>1033.2761940755133</v>
      </c>
      <c r="AY58" s="144">
        <f>MAX(AM75:AM76,AM95:AM106)</f>
        <v>6928.6974048878792</v>
      </c>
      <c r="AZ58" s="83"/>
      <c r="BA58" s="83"/>
      <c r="BB58" s="83"/>
      <c r="BC58" s="83"/>
      <c r="BD58" s="83"/>
      <c r="BE58" s="8">
        <f t="shared" si="8"/>
        <v>18.344002139038537</v>
      </c>
      <c r="BF58" s="16">
        <f t="shared" si="29"/>
        <v>3.1442667754164213</v>
      </c>
      <c r="BG58" s="16"/>
      <c r="BH58" s="189"/>
      <c r="BI58" s="6">
        <f t="shared" si="0"/>
        <v>1.6604177644825302E-2</v>
      </c>
      <c r="BJ58" s="151">
        <f t="shared" si="9"/>
        <v>155.99493539534726</v>
      </c>
      <c r="BK58" s="175">
        <f t="shared" si="10"/>
        <v>35.793174905441049</v>
      </c>
      <c r="BL58" s="134">
        <f t="shared" si="11"/>
        <v>1.5538002226358578</v>
      </c>
      <c r="BM58" s="119">
        <f t="shared" si="12"/>
        <v>2.4070585159499776E-2</v>
      </c>
      <c r="BN58">
        <f t="shared" si="13"/>
        <v>25</v>
      </c>
      <c r="BO58" s="124">
        <f t="shared" si="14"/>
        <v>0.40833333333333333</v>
      </c>
      <c r="BP58">
        <f>_xlfn.RANK.AVG(BK58,(BK$51:BK$60,BK$86:BK$88),1)</f>
        <v>10</v>
      </c>
      <c r="BQ58" s="124">
        <f t="shared" si="27"/>
        <v>0.73076923076923073</v>
      </c>
      <c r="BR58" s="14">
        <f t="shared" si="15"/>
        <v>0</v>
      </c>
      <c r="BS58" s="21" t="s">
        <v>35</v>
      </c>
      <c r="BT58" s="144">
        <f>COUNT(BK75:BK76,BK95:BK106)</f>
        <v>14</v>
      </c>
      <c r="BU58" s="144">
        <f>MIN(BK75:BK76,BK95:BK106)</f>
        <v>1.0064533880093738</v>
      </c>
      <c r="BV58" s="144">
        <f>AVERAGE(BK75:BK76,BK95:BK106)</f>
        <v>360.73360743913639</v>
      </c>
      <c r="BW58" s="144">
        <f>MAX(BK75:BK76,BK95:BK106)</f>
        <v>2417.8640264481251</v>
      </c>
      <c r="BX58" s="83"/>
      <c r="BY58" s="83"/>
      <c r="BZ58" s="83"/>
      <c r="CA58" s="83"/>
      <c r="CB58" s="83"/>
      <c r="CC58" s="151"/>
      <c r="CD58" s="175">
        <f t="shared" si="16"/>
        <v>5583.5540069686413</v>
      </c>
      <c r="CE58" s="134">
        <f t="shared" si="17"/>
        <v>3.7469107212110964</v>
      </c>
      <c r="CF58" s="119">
        <f t="shared" si="18"/>
        <v>2.4070585159499776E-2</v>
      </c>
      <c r="CG58">
        <f t="shared" si="19"/>
        <v>27</v>
      </c>
      <c r="CH58" s="124">
        <f t="shared" si="20"/>
        <v>0.44166666666666665</v>
      </c>
      <c r="CI58">
        <f>_xlfn.RANK.AVG(CD58,(CD$51:CD$60,CD$86:CD$88),1)</f>
        <v>10</v>
      </c>
      <c r="CJ58" s="124">
        <f t="shared" si="20"/>
        <v>0.73076923076923073</v>
      </c>
      <c r="CK58" s="14">
        <f t="shared" si="21"/>
        <v>2</v>
      </c>
      <c r="CL58" s="21" t="s">
        <v>35</v>
      </c>
      <c r="CM58" s="151">
        <f>AVERAGE($P75:$P76,$P95:$P106)</f>
        <v>3.2999999999999994</v>
      </c>
      <c r="CN58" s="151">
        <f>AVERAGE($N75:$N76,$N95:$N106)</f>
        <v>128.19000000000003</v>
      </c>
      <c r="CO58" s="154">
        <f>AVERAGE($AF75:$AF76,$AF95:$AF106)</f>
        <v>5.0000000000000008E-7</v>
      </c>
      <c r="CP58" s="144">
        <f>COUNT($CD75:$CD76,$CD95:$CD106)</f>
        <v>14</v>
      </c>
      <c r="CQ58" s="83">
        <f>PERCENTILE(($CD75:$CD76,$CD95:$CD106),0)</f>
        <v>260</v>
      </c>
      <c r="CR58" s="83">
        <f>PERCENTILE(($CD75:$CD76,$CD95:$CD106),0.1)</f>
        <v>2297.1499999999996</v>
      </c>
      <c r="CS58" s="83">
        <f>PERCENTILE(($CD75:$CD76,$CD95:$CD106),0.5)</f>
        <v>6825</v>
      </c>
      <c r="CT58" s="83">
        <f>PERCENTILE(($CD75:$CD76,$CD95:$CD106),0.9)</f>
        <v>286000.00000000023</v>
      </c>
      <c r="CU58" s="144">
        <f>COUNT($CD75:$CD76,$CD95:$CD106)</f>
        <v>14</v>
      </c>
      <c r="CV58" s="83">
        <f>PERCENTILE(($CD75:$CD76,$CD95:$CD106),0)</f>
        <v>260</v>
      </c>
      <c r="CW58" s="83">
        <f>PERCENTILE(($CD75:$CD76,$CD95:$CD106),0.1)</f>
        <v>2297.1499999999996</v>
      </c>
      <c r="CX58" s="83">
        <f>PERCENTILE(($CD75:$CD76,$CD95:$CD106),0.5)</f>
        <v>6825</v>
      </c>
      <c r="CY58" s="86">
        <f>PERCENTILE(($CD75:$CD76,$CD95:$CD106),0.9)</f>
        <v>286000.00000000023</v>
      </c>
      <c r="CZ58" s="8"/>
      <c r="DA58" s="83"/>
      <c r="DB58" s="83"/>
      <c r="DC58" s="83"/>
      <c r="DD58" s="86"/>
      <c r="DE58" s="144">
        <f t="shared" si="28"/>
        <v>14</v>
      </c>
      <c r="DF58" s="9"/>
    </row>
    <row r="59" spans="1:110" x14ac:dyDescent="0.2">
      <c r="A59" s="8">
        <v>9</v>
      </c>
      <c r="B59" t="s">
        <v>143</v>
      </c>
      <c r="C59">
        <v>1</v>
      </c>
      <c r="D59" s="23" t="s">
        <v>11</v>
      </c>
      <c r="E59" t="s">
        <v>10</v>
      </c>
      <c r="F59" s="6" t="s">
        <v>40</v>
      </c>
      <c r="G59" s="28" t="s">
        <v>33</v>
      </c>
      <c r="H59" s="1">
        <v>9</v>
      </c>
      <c r="I59" s="11">
        <v>403</v>
      </c>
      <c r="J59" t="s">
        <v>12</v>
      </c>
      <c r="K59" s="6" t="s">
        <v>153</v>
      </c>
      <c r="L59" s="1">
        <v>10</v>
      </c>
      <c r="M59" s="6">
        <v>40</v>
      </c>
      <c r="N59" s="1">
        <v>165.80749949115744</v>
      </c>
      <c r="O59" s="18">
        <v>118882.50367033854</v>
      </c>
      <c r="P59" s="30">
        <v>3.4</v>
      </c>
      <c r="Q59" s="1"/>
      <c r="R59" s="1"/>
      <c r="S59" s="1"/>
      <c r="T59" s="1"/>
      <c r="U59" s="1"/>
      <c r="W59" s="251">
        <f t="shared" si="22"/>
        <v>-13.732690623171854</v>
      </c>
      <c r="X59" s="118">
        <f t="shared" si="23"/>
        <v>1.5989066887158595E-9</v>
      </c>
      <c r="Y59" s="1"/>
      <c r="Z59" s="1"/>
      <c r="AA59" s="1"/>
      <c r="AB59" s="1"/>
      <c r="AC59" s="197"/>
      <c r="AD59" s="244">
        <f>'Lohman 2011'!AD59</f>
        <v>2.6992668676849045</v>
      </c>
      <c r="AE59" s="96">
        <f t="shared" si="24"/>
        <v>500.34189339873814</v>
      </c>
      <c r="AF59" s="248">
        <v>7.9999999999999996E-7</v>
      </c>
      <c r="AG59" s="22">
        <v>2861.5714285714284</v>
      </c>
      <c r="AH59" s="32">
        <v>0.15</v>
      </c>
      <c r="AI59" s="162">
        <v>0.05</v>
      </c>
      <c r="AJ59" s="167">
        <f t="shared" si="1"/>
        <v>57.678436453946638</v>
      </c>
      <c r="AK59" s="168">
        <f t="shared" si="2"/>
        <v>5.2207964101736289E-2</v>
      </c>
      <c r="AL59" s="151">
        <f t="shared" si="25"/>
        <v>49.612500000000011</v>
      </c>
      <c r="AM59" s="175">
        <f t="shared" si="26"/>
        <v>384.52290969297758</v>
      </c>
      <c r="AN59" s="134">
        <f t="shared" si="3"/>
        <v>2.5849222199679871</v>
      </c>
      <c r="AO59" s="119">
        <f t="shared" si="4"/>
        <v>2.4070585159499776E-2</v>
      </c>
      <c r="AP59">
        <f t="shared" si="5"/>
        <v>43</v>
      </c>
      <c r="AQ59" s="124">
        <f t="shared" si="6"/>
        <v>0.70833333333333337</v>
      </c>
      <c r="AR59">
        <f>_xlfn.RANK.AVG(AM59,(AM$51:AM$60,AM$86:AM$88),1)</f>
        <v>12</v>
      </c>
      <c r="AS59" s="124">
        <f t="shared" si="6"/>
        <v>0.88461538461538458</v>
      </c>
      <c r="AT59" s="14">
        <f t="shared" si="7"/>
        <v>0</v>
      </c>
      <c r="AU59" s="9" t="s">
        <v>135</v>
      </c>
      <c r="AV59" s="144">
        <f>COUNT(AM88)</f>
        <v>1</v>
      </c>
      <c r="AW59" s="144">
        <f>MIN(AM88)</f>
        <v>4.9970605526161078</v>
      </c>
      <c r="AX59" s="144">
        <f>AVERAGE(AM88)</f>
        <v>4.9970605526161078</v>
      </c>
      <c r="AY59" s="144">
        <f>MAX(AM88)</f>
        <v>4.9970605526161078</v>
      </c>
      <c r="AZ59" s="83"/>
      <c r="BA59" s="83"/>
      <c r="BB59" s="83"/>
      <c r="BC59" s="83"/>
      <c r="BD59" s="83"/>
      <c r="BE59" s="8">
        <f t="shared" si="8"/>
        <v>18.344002139038537</v>
      </c>
      <c r="BF59" s="16">
        <f t="shared" si="29"/>
        <v>3.1442667754164213</v>
      </c>
      <c r="BG59" s="16"/>
      <c r="BH59" s="189"/>
      <c r="BI59" s="6">
        <f t="shared" si="0"/>
        <v>1.6604177644825302E-2</v>
      </c>
      <c r="BJ59" s="151">
        <f t="shared" si="9"/>
        <v>155.99493539534726</v>
      </c>
      <c r="BK59" s="175">
        <f t="shared" si="10"/>
        <v>122.29334759359025</v>
      </c>
      <c r="BL59" s="134">
        <f t="shared" si="11"/>
        <v>2.0874028333079684</v>
      </c>
      <c r="BM59" s="119">
        <f t="shared" si="12"/>
        <v>2.4070585159499776E-2</v>
      </c>
      <c r="BN59">
        <f t="shared" si="13"/>
        <v>39</v>
      </c>
      <c r="BO59" s="124">
        <f t="shared" si="14"/>
        <v>0.64166666666666672</v>
      </c>
      <c r="BP59">
        <f>_xlfn.RANK.AVG(BK59,(BK$51:BK$60,BK$86:BK$88),1)</f>
        <v>12</v>
      </c>
      <c r="BQ59" s="124">
        <f t="shared" si="27"/>
        <v>0.88461538461538458</v>
      </c>
      <c r="BR59" s="14">
        <f t="shared" si="15"/>
        <v>0</v>
      </c>
      <c r="BS59" s="9" t="s">
        <v>135</v>
      </c>
      <c r="BT59" s="144">
        <f>COUNT(BK88)</f>
        <v>1</v>
      </c>
      <c r="BU59" s="144">
        <f>MIN(BK88)</f>
        <v>0.38528913909484469</v>
      </c>
      <c r="BV59" s="144">
        <f>AVERAGE(BK88)</f>
        <v>0.38528913909484469</v>
      </c>
      <c r="BW59" s="144">
        <f>MAX(BK88)</f>
        <v>0.38528913909484469</v>
      </c>
      <c r="BX59" s="83"/>
      <c r="BY59" s="83"/>
      <c r="BZ59" s="83"/>
      <c r="CA59" s="83"/>
      <c r="CB59" s="83"/>
      <c r="CC59" s="151"/>
      <c r="CD59" s="175">
        <f t="shared" si="16"/>
        <v>19077.142857142859</v>
      </c>
      <c r="CE59" s="134">
        <f t="shared" si="17"/>
        <v>4.2805133318832072</v>
      </c>
      <c r="CF59" s="119">
        <f t="shared" si="18"/>
        <v>2.4070585159499776E-2</v>
      </c>
      <c r="CG59">
        <f t="shared" si="19"/>
        <v>37</v>
      </c>
      <c r="CH59" s="124">
        <f t="shared" si="20"/>
        <v>0.60833333333333328</v>
      </c>
      <c r="CI59">
        <f>_xlfn.RANK.AVG(CD59,(CD$51:CD$60,CD$86:CD$88),1)</f>
        <v>12</v>
      </c>
      <c r="CJ59" s="124">
        <f t="shared" si="20"/>
        <v>0.88461538461538458</v>
      </c>
      <c r="CK59" s="14">
        <f t="shared" si="21"/>
        <v>2</v>
      </c>
      <c r="CL59" s="9" t="s">
        <v>135</v>
      </c>
      <c r="CM59" s="151">
        <f>AVERAGE($P88)</f>
        <v>4.47</v>
      </c>
      <c r="CN59" s="151">
        <f>AVERAGE($N88)</f>
        <v>178.21</v>
      </c>
      <c r="CO59" s="154">
        <f>AVERAGE($AF88)</f>
        <v>2.0999999999999998E-6</v>
      </c>
      <c r="CP59" s="144">
        <f>COUNT($CD88)</f>
        <v>1</v>
      </c>
      <c r="CQ59" s="83">
        <f>PERCENTILE(($CD88),0)</f>
        <v>94.444444444444443</v>
      </c>
      <c r="CR59" s="83">
        <f>PERCENTILE(($CD88),0.1)</f>
        <v>94.444444444444443</v>
      </c>
      <c r="CS59" s="83">
        <f>PERCENTILE(($CD88),0.5)</f>
        <v>94.444444444444443</v>
      </c>
      <c r="CT59" s="83">
        <f>PERCENTILE(($CD88),0.9)</f>
        <v>94.444444444444443</v>
      </c>
      <c r="CU59" s="144"/>
      <c r="CV59" s="83"/>
      <c r="CW59" s="83"/>
      <c r="CX59" s="83"/>
      <c r="CY59" s="86"/>
      <c r="CZ59" s="8">
        <f>COUNT($CD88)</f>
        <v>1</v>
      </c>
      <c r="DA59" s="83">
        <f>PERCENTILE($CD88,0.9)</f>
        <v>94.444444444444443</v>
      </c>
      <c r="DB59" s="83">
        <f>PERCENTILE($CD88,0.9)</f>
        <v>94.444444444444443</v>
      </c>
      <c r="DC59" s="83">
        <f>PERCENTILE($CD88,0.9)</f>
        <v>94.444444444444443</v>
      </c>
      <c r="DD59" s="86">
        <f>PERCENTILE($CD88,0.9)</f>
        <v>94.444444444444443</v>
      </c>
      <c r="DE59" s="144">
        <f t="shared" si="28"/>
        <v>1</v>
      </c>
      <c r="DF59" s="86">
        <f>MIN(DA59,CY59)</f>
        <v>94.444444444444443</v>
      </c>
    </row>
    <row r="60" spans="1:110" x14ac:dyDescent="0.2">
      <c r="A60" s="21" t="s">
        <v>43</v>
      </c>
      <c r="B60" t="s">
        <v>143</v>
      </c>
      <c r="C60">
        <v>3</v>
      </c>
      <c r="D60" t="s">
        <v>17</v>
      </c>
      <c r="E60" t="s">
        <v>16</v>
      </c>
      <c r="F60" s="9">
        <v>11</v>
      </c>
      <c r="G60" s="26" t="s">
        <v>15</v>
      </c>
      <c r="H60" s="1">
        <v>18</v>
      </c>
      <c r="I60" s="11">
        <v>405</v>
      </c>
      <c r="J60" t="s">
        <v>19</v>
      </c>
      <c r="K60" s="6" t="s">
        <v>182</v>
      </c>
      <c r="L60" s="1">
        <v>1</v>
      </c>
      <c r="M60" s="6">
        <v>500</v>
      </c>
      <c r="N60" s="1">
        <v>131.4</v>
      </c>
      <c r="O60" s="18">
        <v>1164844.1611748487</v>
      </c>
      <c r="P60" s="30">
        <v>2.61</v>
      </c>
      <c r="Q60" s="1"/>
      <c r="R60" s="1"/>
      <c r="S60" s="1"/>
      <c r="T60" s="1"/>
      <c r="U60" s="1"/>
      <c r="W60" s="251">
        <f t="shared" si="22"/>
        <v>-12.993297367385255</v>
      </c>
      <c r="X60" s="118">
        <f t="shared" si="23"/>
        <v>8.7743787116878913E-9</v>
      </c>
      <c r="Y60" s="1"/>
      <c r="Z60" s="1"/>
      <c r="AA60" s="1"/>
      <c r="AB60" s="1"/>
      <c r="AC60" s="197"/>
      <c r="AD60" s="244">
        <f>'Lohman 2011'!AD60</f>
        <v>2.2609036075622857</v>
      </c>
      <c r="AE60" s="96">
        <f t="shared" si="24"/>
        <v>182.34909303250424</v>
      </c>
      <c r="AF60" s="248">
        <v>1.5999999999999999E-6</v>
      </c>
      <c r="AG60" s="24">
        <v>28</v>
      </c>
      <c r="AH60" s="32">
        <f>AVERAGE(AH165:AH171)</f>
        <v>0.12642857142857145</v>
      </c>
      <c r="AI60" s="162">
        <v>0.05</v>
      </c>
      <c r="AJ60" s="167">
        <f t="shared" si="1"/>
        <v>1.128747795414462</v>
      </c>
      <c r="AK60" s="168">
        <f t="shared" si="2"/>
        <v>1.0216924730607872E-3</v>
      </c>
      <c r="AL60" s="151">
        <f t="shared" si="25"/>
        <v>24.806250000000002</v>
      </c>
      <c r="AM60" s="175">
        <f t="shared" si="26"/>
        <v>8.9279486642951777</v>
      </c>
      <c r="AN60" s="134">
        <f t="shared" si="3"/>
        <v>0.95075168440741187</v>
      </c>
      <c r="AO60" s="119">
        <f t="shared" si="4"/>
        <v>2.4037550200500225E-5</v>
      </c>
      <c r="AP60">
        <f t="shared" si="5"/>
        <v>13</v>
      </c>
      <c r="AQ60" s="124">
        <f t="shared" si="6"/>
        <v>0.20833333333333334</v>
      </c>
      <c r="AR60">
        <f>_xlfn.RANK.AVG(AM60,(AM$51:AM$60,AM$86:AM$88),1)</f>
        <v>7</v>
      </c>
      <c r="AS60" s="124">
        <f t="shared" si="6"/>
        <v>0.5</v>
      </c>
      <c r="AT60" s="14">
        <f t="shared" si="7"/>
        <v>0</v>
      </c>
      <c r="AU60" s="21" t="s">
        <v>32</v>
      </c>
      <c r="AV60" s="144">
        <f>COUNT(AM79:AM80)</f>
        <v>2</v>
      </c>
      <c r="AW60" s="144">
        <f>MIN(AM79:AM80)</f>
        <v>0.66515495086923637</v>
      </c>
      <c r="AX60" s="144">
        <f>AVERAGE(AM79:AM80)</f>
        <v>14.625850340136049</v>
      </c>
      <c r="AY60" s="144">
        <f>MAX(AM79:AM80)</f>
        <v>28.586545729402861</v>
      </c>
      <c r="AZ60" s="83"/>
      <c r="BA60" s="83"/>
      <c r="BB60" s="83"/>
      <c r="BC60" s="83"/>
      <c r="BD60" s="83"/>
      <c r="BE60" s="8">
        <f t="shared" si="8"/>
        <v>0.40329582217212623</v>
      </c>
      <c r="BF60" s="16">
        <f t="shared" si="29"/>
        <v>2.7988085503467319</v>
      </c>
      <c r="BG60" s="16"/>
      <c r="BH60" s="189"/>
      <c r="BI60" s="6">
        <f t="shared" si="0"/>
        <v>3.6504550228496849E-4</v>
      </c>
      <c r="BJ60" s="151">
        <f t="shared" si="9"/>
        <v>69.427944602038622</v>
      </c>
      <c r="BK60" s="175">
        <f t="shared" si="10"/>
        <v>3.189910457858625</v>
      </c>
      <c r="BL60" s="134">
        <f t="shared" si="11"/>
        <v>0.50377849239771766</v>
      </c>
      <c r="BM60" s="119">
        <f t="shared" si="12"/>
        <v>2.4037550200500225E-5</v>
      </c>
      <c r="BN60">
        <f t="shared" si="13"/>
        <v>14</v>
      </c>
      <c r="BO60" s="124">
        <f t="shared" si="14"/>
        <v>0.22500000000000001</v>
      </c>
      <c r="BP60">
        <f>_xlfn.RANK.AVG(BK60,(BK$51:BK$60,BK$86:BK$88),1)</f>
        <v>9</v>
      </c>
      <c r="BQ60" s="124">
        <f t="shared" si="27"/>
        <v>0.65384615384615385</v>
      </c>
      <c r="BR60" s="14">
        <f t="shared" si="15"/>
        <v>0</v>
      </c>
      <c r="BS60" s="21" t="s">
        <v>32</v>
      </c>
      <c r="BT60" s="144">
        <f>COUNT(BK79:BK80)</f>
        <v>2</v>
      </c>
      <c r="BU60" s="144">
        <f>MIN(BK79:BK80)</f>
        <v>0.23889608280646346</v>
      </c>
      <c r="BV60" s="144">
        <f>AVERAGE(BK79:BK80)</f>
        <v>6.9890553374660751</v>
      </c>
      <c r="BW60" s="144">
        <f>MAX(BK79:BK80)</f>
        <v>13.739214592125686</v>
      </c>
      <c r="BX60" s="83"/>
      <c r="BY60" s="83"/>
      <c r="BZ60" s="83"/>
      <c r="CA60" s="83"/>
      <c r="CB60" s="83"/>
      <c r="CC60" s="151"/>
      <c r="CD60" s="175">
        <f t="shared" si="16"/>
        <v>221.46892655367228</v>
      </c>
      <c r="CE60" s="134">
        <f t="shared" si="17"/>
        <v>2.3453128006586503</v>
      </c>
      <c r="CF60" s="119">
        <f t="shared" si="18"/>
        <v>2.4037550200500225E-5</v>
      </c>
      <c r="CG60">
        <f t="shared" si="19"/>
        <v>8</v>
      </c>
      <c r="CH60" s="124">
        <f t="shared" si="20"/>
        <v>0.125</v>
      </c>
      <c r="CI60">
        <f>_xlfn.RANK.AVG(CD60,(CD$51:CD$60,CD$86:CD$88),1)</f>
        <v>4</v>
      </c>
      <c r="CJ60" s="124">
        <f t="shared" si="20"/>
        <v>0.26923076923076922</v>
      </c>
      <c r="CK60" s="14">
        <f t="shared" si="21"/>
        <v>2</v>
      </c>
      <c r="CL60" s="21" t="s">
        <v>32</v>
      </c>
      <c r="CM60" s="151">
        <f>AVERAGE($P79:$P80)</f>
        <v>2.73</v>
      </c>
      <c r="CN60" s="151">
        <f>AVERAGE($N79:$N80)</f>
        <v>92.14249284505685</v>
      </c>
      <c r="CO60" s="154">
        <f>AVERAGE($AF79:$AF80)</f>
        <v>1.1999999999999999E-6</v>
      </c>
      <c r="CP60" s="144">
        <f>COUNT($CD79:$CD80)</f>
        <v>2</v>
      </c>
      <c r="CQ60" s="83">
        <f>PERCENTILE(($CD79:$CD80),0)</f>
        <v>22</v>
      </c>
      <c r="CR60" s="83">
        <f>PERCENTILE(($CD79:$CD80),0.1)</f>
        <v>114.35000000000007</v>
      </c>
      <c r="CS60" s="83">
        <f>PERCENTILE(($CD79:$CD80),0.5)</f>
        <v>483.74999999999994</v>
      </c>
      <c r="CT60" s="83">
        <f>PERCENTILE(($CD79:$CD80),0.9)</f>
        <v>853.14999999999986</v>
      </c>
      <c r="CU60" s="144">
        <f>COUNT($CD79:$CD80)</f>
        <v>2</v>
      </c>
      <c r="CV60" s="83">
        <f>PERCENTILE(($CD79:$CD80),0)</f>
        <v>22</v>
      </c>
      <c r="CW60" s="83">
        <f>PERCENTILE(($CD79:$CD80),0.1)</f>
        <v>114.35000000000007</v>
      </c>
      <c r="CX60" s="83">
        <f>PERCENTILE(($CD79:$CD80),0.5)</f>
        <v>483.74999999999994</v>
      </c>
      <c r="CY60" s="86">
        <f>PERCENTILE(($CD79:$CD80),0.9)</f>
        <v>853.14999999999986</v>
      </c>
      <c r="CZ60" s="8"/>
      <c r="DD60" s="9"/>
      <c r="DE60" s="144">
        <f t="shared" si="28"/>
        <v>2</v>
      </c>
      <c r="DF60" s="9"/>
    </row>
    <row r="61" spans="1:110" x14ac:dyDescent="0.2">
      <c r="A61" s="8"/>
      <c r="D61" s="1"/>
      <c r="E61" s="1"/>
      <c r="F61" s="6"/>
      <c r="G61" s="1"/>
      <c r="I61" s="11"/>
      <c r="K61" s="6"/>
      <c r="M61" s="9"/>
      <c r="O61" s="31"/>
      <c r="X61" s="9"/>
      <c r="AG61" s="10"/>
      <c r="AH61" s="8"/>
      <c r="AJ61" s="167"/>
      <c r="AK61" s="168"/>
      <c r="AL61" s="8"/>
      <c r="AM61" s="176"/>
      <c r="AN61" s="97"/>
      <c r="AO61" s="97"/>
      <c r="AP61"/>
      <c r="AQ61"/>
      <c r="AR61"/>
      <c r="AT61" s="6"/>
      <c r="AU61" s="21" t="s">
        <v>30</v>
      </c>
      <c r="AV61" s="144">
        <f>COUNT(AM81,AM109:AM110)</f>
        <v>3</v>
      </c>
      <c r="AW61" s="144">
        <f>MIN(AM81,AM109:AM110)</f>
        <v>1.385739480977576</v>
      </c>
      <c r="AX61" s="144">
        <f>AVERAGE(AM81,AM109:AM110)</f>
        <v>130.13353489543962</v>
      </c>
      <c r="AY61" s="144">
        <f>MAX(AM81,AM109:AM110)</f>
        <v>340.13605442176856</v>
      </c>
      <c r="BE61" s="167"/>
      <c r="BF61" s="3"/>
      <c r="BG61" s="3"/>
      <c r="BH61" s="3"/>
      <c r="BI61" s="168"/>
      <c r="BJ61" s="8"/>
      <c r="BK61" s="176"/>
      <c r="BL61" s="97"/>
      <c r="BM61" s="97"/>
      <c r="BN61"/>
      <c r="BO61"/>
      <c r="BP61"/>
      <c r="BR61" s="6"/>
      <c r="BS61" s="21" t="s">
        <v>30</v>
      </c>
      <c r="BT61" s="144">
        <f>COUNT(BK81,BK109:BK110)</f>
        <v>3</v>
      </c>
      <c r="BU61" s="144">
        <f>MIN(BK81,BK109:BK110)</f>
        <v>1.385739480977576</v>
      </c>
      <c r="BV61" s="144">
        <f>AVERAGE(BK81,BK109:BK110)</f>
        <v>130.13353489543962</v>
      </c>
      <c r="BW61" s="144">
        <f>MAX(BK81,BK109:BK110)</f>
        <v>340.13605442176856</v>
      </c>
      <c r="CC61" s="8"/>
      <c r="CD61" s="176"/>
      <c r="CE61" s="97"/>
      <c r="CF61" s="97"/>
      <c r="CG61"/>
      <c r="CH61"/>
      <c r="CI61"/>
      <c r="CK61" s="6"/>
      <c r="CL61" s="21" t="s">
        <v>30</v>
      </c>
      <c r="CM61" s="151">
        <f>AVERAGE($P81,$P109:$P110)</f>
        <v>1.5200000000000002</v>
      </c>
      <c r="CN61" s="151">
        <f>AVERAGE($N81,$N109:$N110)</f>
        <v>62.5</v>
      </c>
      <c r="CO61" s="154">
        <f>AVERAGE($AF81,$AF109:$AF110)</f>
        <v>9.9999999999999995E-7</v>
      </c>
      <c r="CP61" s="144">
        <f>COUNT($CD81,$CD109:$CD110)</f>
        <v>3</v>
      </c>
      <c r="CQ61" s="83">
        <f>PERCENTILE(($CD81,$CD109:$CD110),0)</f>
        <v>55</v>
      </c>
      <c r="CR61" s="83">
        <f>PERCENTILE(($CD81,$CD109:$CD110),0.1)</f>
        <v>431.99999999999994</v>
      </c>
      <c r="CS61" s="83">
        <f>PERCENTILE(($CD81,$CD109:$CD110),0.5)</f>
        <v>1940</v>
      </c>
      <c r="CT61" s="83">
        <f>PERCENTILE(($CD81,$CD109:$CD110),0.9)</f>
        <v>11187.999999999998</v>
      </c>
      <c r="CU61" s="144">
        <f>COUNT($CD81,$CD109:$CD110)</f>
        <v>3</v>
      </c>
      <c r="CV61" s="83">
        <f>PERCENTILE(($CD81,$CD109:$CD110),0)</f>
        <v>55</v>
      </c>
      <c r="CW61" s="83">
        <f>PERCENTILE(($CD81,$CD109:$CD110),0.1)</f>
        <v>431.99999999999994</v>
      </c>
      <c r="CX61" s="83">
        <f>PERCENTILE(($CD81,$CD109:$CD110),0.5)</f>
        <v>1940</v>
      </c>
      <c r="CY61" s="86">
        <f>PERCENTILE(($CD81,$CD109:$CD110),0.9)</f>
        <v>11187.999999999998</v>
      </c>
      <c r="CZ61" s="8"/>
      <c r="DD61" s="9"/>
      <c r="DE61" s="144">
        <f t="shared" si="28"/>
        <v>3</v>
      </c>
      <c r="DF61" s="9"/>
    </row>
    <row r="62" spans="1:110" x14ac:dyDescent="0.2">
      <c r="A62" s="8"/>
      <c r="F62" s="9"/>
      <c r="I62" s="8"/>
      <c r="K62" s="6"/>
      <c r="M62" s="9"/>
      <c r="X62" s="9"/>
      <c r="AG62" s="10"/>
      <c r="AH62" s="8"/>
      <c r="AJ62" s="167"/>
      <c r="AK62" s="168"/>
      <c r="AL62" s="8"/>
      <c r="AN62" s="97"/>
      <c r="AO62" s="97"/>
      <c r="AP62"/>
      <c r="AQ62"/>
      <c r="AR62"/>
      <c r="AT62" s="6"/>
      <c r="AU62" s="5" t="s">
        <v>24</v>
      </c>
      <c r="AV62" s="145">
        <f>COUNT(AM82:AM83,AM111:AM117)</f>
        <v>9</v>
      </c>
      <c r="AW62" s="145">
        <f>MIN(AM82:AM83,AM111:AM117)</f>
        <v>29.730410682791636</v>
      </c>
      <c r="AX62" s="145">
        <f>AVERAGE(AM82:AM83,AM111:AM117)</f>
        <v>4807.9292572996283</v>
      </c>
      <c r="AY62" s="145">
        <f>MAX(AM82:AM83,AM111:AM117)</f>
        <v>26455.026455026451</v>
      </c>
      <c r="BE62" s="167"/>
      <c r="BF62" s="3"/>
      <c r="BG62" s="3"/>
      <c r="BH62" s="3"/>
      <c r="BI62" s="168"/>
      <c r="BJ62" s="8"/>
      <c r="BL62" s="97"/>
      <c r="BM62" s="97"/>
      <c r="BN62"/>
      <c r="BO62"/>
      <c r="BP62"/>
      <c r="BR62" s="6"/>
      <c r="BS62" s="5" t="s">
        <v>24</v>
      </c>
      <c r="BT62" s="145">
        <f>COUNT(BK82:BK83,BK111:BK117)</f>
        <v>9</v>
      </c>
      <c r="BU62" s="145">
        <f>MIN(BK82:BK83,BK111:BK117)</f>
        <v>29.643631545669944</v>
      </c>
      <c r="BV62" s="145">
        <f>AVERAGE(BK82:BK83,BK111:BK117)</f>
        <v>1164.4633866453491</v>
      </c>
      <c r="BW62" s="145">
        <f>MAX(BK82:BK83,BK111:BK117)</f>
        <v>6139.3934415748199</v>
      </c>
      <c r="CC62" s="8"/>
      <c r="CE62" s="97"/>
      <c r="CF62" s="97"/>
      <c r="CG62"/>
      <c r="CH62"/>
      <c r="CI62"/>
      <c r="CK62" s="6"/>
      <c r="CL62" s="5" t="s">
        <v>24</v>
      </c>
      <c r="CM62" s="152">
        <f>AVERAGE($P82:$P83,$P111:$P117)</f>
        <v>3.1566666666666667</v>
      </c>
      <c r="CN62" s="152">
        <f>AVERAGE($N82:$N83,$N111:$N117)</f>
        <v>106.1877763476281</v>
      </c>
      <c r="CO62" s="155">
        <f>AVERAGE($AF82:$AF83,$AF111:$AF117)</f>
        <v>1.2711111111111112E-6</v>
      </c>
      <c r="CP62" s="145">
        <f>COUNT($CD82:$CD83,$CD111:$CD117)</f>
        <v>9</v>
      </c>
      <c r="CQ62" s="85">
        <f>PERCENTILE(($CD82:$CD83,$CD111:$CD117),0)</f>
        <v>5102.0999999999995</v>
      </c>
      <c r="CR62" s="85">
        <f>PERCENTILE(($CD82:$CD83,$CD111:$CD117),0.1)</f>
        <v>9820.42</v>
      </c>
      <c r="CS62" s="85">
        <f>PERCENTILE(($CD82:$CD83,$CD111:$CD117),0.5)</f>
        <v>34500</v>
      </c>
      <c r="CT62" s="85">
        <f>PERCENTILE(($CD82:$CD83,$CD111:$CD117),0.9)</f>
        <v>271999.99999999977</v>
      </c>
      <c r="CU62" s="145">
        <f>COUNT($CD82:$CD83,$CD111:$CD117)</f>
        <v>9</v>
      </c>
      <c r="CV62" s="85">
        <f>PERCENTILE(($CD82:$CD83,$CD111:$CD117),0)</f>
        <v>5102.0999999999995</v>
      </c>
      <c r="CW62" s="85">
        <f>PERCENTILE(($CD82:$CD83,$CD111:$CD117),0.1)</f>
        <v>9820.42</v>
      </c>
      <c r="CX62" s="85">
        <f>PERCENTILE(($CD82:$CD83,$CD111:$CD117),0.5)</f>
        <v>34500</v>
      </c>
      <c r="CY62" s="84">
        <f>PERCENTILE(($CD82:$CD83,$CD111:$CD117),0.9)</f>
        <v>271999.99999999977</v>
      </c>
      <c r="CZ62" s="5"/>
      <c r="DA62" s="4"/>
      <c r="DB62" s="4"/>
      <c r="DC62" s="4"/>
      <c r="DD62" s="93"/>
      <c r="DE62" s="145">
        <f t="shared" si="28"/>
        <v>9</v>
      </c>
      <c r="DF62" s="93"/>
    </row>
    <row r="63" spans="1:110" x14ac:dyDescent="0.2">
      <c r="A63" s="12" t="s">
        <v>42</v>
      </c>
      <c r="B63" s="58"/>
      <c r="F63" s="9"/>
      <c r="I63" s="8"/>
      <c r="K63" s="6"/>
      <c r="M63" s="9"/>
      <c r="X63" s="9"/>
      <c r="AG63" s="10"/>
      <c r="AH63" s="8"/>
      <c r="AJ63" s="167"/>
      <c r="AK63" s="168"/>
      <c r="AL63" s="8"/>
      <c r="AM63" s="13"/>
      <c r="AN63" s="97"/>
      <c r="AO63" s="97"/>
      <c r="AP63"/>
      <c r="AQ63"/>
      <c r="AR63"/>
      <c r="AT63" s="6"/>
      <c r="BE63" s="167"/>
      <c r="BF63" s="3"/>
      <c r="BG63" s="3"/>
      <c r="BH63" s="3"/>
      <c r="BI63" s="168"/>
      <c r="BJ63" s="8"/>
      <c r="BK63" s="13"/>
      <c r="BL63" s="97"/>
      <c r="BM63" s="97"/>
      <c r="BN63"/>
      <c r="BO63"/>
      <c r="BP63"/>
      <c r="BR63" s="6"/>
      <c r="CC63" s="8"/>
      <c r="CD63" s="13"/>
      <c r="CE63" s="97"/>
      <c r="CF63" s="97"/>
      <c r="CG63"/>
      <c r="CH63"/>
      <c r="CI63"/>
      <c r="CK63" s="6"/>
      <c r="CL63" s="16"/>
    </row>
    <row r="64" spans="1:110" x14ac:dyDescent="0.2">
      <c r="A64" s="8">
        <v>22</v>
      </c>
      <c r="B64" t="s">
        <v>143</v>
      </c>
      <c r="C64">
        <v>2</v>
      </c>
      <c r="D64" t="s">
        <v>2</v>
      </c>
      <c r="E64" t="s">
        <v>1</v>
      </c>
      <c r="F64" s="6">
        <v>59</v>
      </c>
      <c r="G64" s="26" t="s">
        <v>29</v>
      </c>
      <c r="H64" s="1">
        <v>9</v>
      </c>
      <c r="I64" s="11">
        <v>200</v>
      </c>
      <c r="J64" s="13" t="s">
        <v>41</v>
      </c>
      <c r="K64" s="6" t="s">
        <v>151</v>
      </c>
      <c r="L64" s="1">
        <v>1</v>
      </c>
      <c r="M64" s="6">
        <v>30</v>
      </c>
      <c r="N64" s="1">
        <v>78.106666524406961</v>
      </c>
      <c r="O64" s="18">
        <v>1988898.8259336799</v>
      </c>
      <c r="P64" s="30">
        <v>2.13</v>
      </c>
      <c r="Q64" s="1"/>
      <c r="R64" s="1"/>
      <c r="S64" s="1"/>
      <c r="T64" s="1"/>
      <c r="U64" s="1"/>
      <c r="W64" s="251">
        <f t="shared" ref="W64:W83" si="30">LOG(X64/(24*60*60))</f>
        <v>-12.23235257448556</v>
      </c>
      <c r="X64" s="118">
        <f t="shared" ref="X64:X83" si="31">AF64/AE64</f>
        <v>5.0601240989697689E-8</v>
      </c>
      <c r="Y64" s="1"/>
      <c r="Z64" s="1"/>
      <c r="AA64" s="1"/>
      <c r="AB64" s="1"/>
      <c r="AC64" s="197"/>
      <c r="AD64" s="244">
        <f>'Lohman 2011'!AD64</f>
        <v>1.4419668676849042</v>
      </c>
      <c r="AE64" s="96">
        <f t="shared" ref="AE64:AE83" si="32">10^AD64</f>
        <v>27.667305635548288</v>
      </c>
      <c r="AF64" s="248">
        <v>1.3999999999999999E-6</v>
      </c>
      <c r="AG64" s="22">
        <v>8.745000000000001</v>
      </c>
      <c r="AH64" s="21"/>
      <c r="AI64" s="162">
        <v>0.05</v>
      </c>
      <c r="AJ64" s="167">
        <f t="shared" ref="AJ64:AJ83" si="33">$E$38*AK64/$E$40</f>
        <v>0.3084656084656085</v>
      </c>
      <c r="AK64" s="168">
        <f t="shared" ref="AK64:AK83" si="34">AF64*AG64*E$41/E$32</f>
        <v>2.792093961536433E-4</v>
      </c>
      <c r="AL64" s="151">
        <f>$AG64/AJ64</f>
        <v>28.35</v>
      </c>
      <c r="AM64" s="177">
        <f>AJ64/$AI64</f>
        <v>6.1693121693121693</v>
      </c>
      <c r="AN64" s="134">
        <f t="shared" ref="AN64:AN83" si="35">LOG(AM64)</f>
        <v>0.79023674624975115</v>
      </c>
      <c r="AO64" s="119">
        <f t="shared" ref="AO64:AO83" si="36">$AG64/$O64</f>
        <v>4.3969054061333151E-6</v>
      </c>
      <c r="AP64">
        <f t="shared" ref="AP64:AP83" si="37">_xlfn.RANK.AVG(AM64,AM$51:AM$117,1)</f>
        <v>10</v>
      </c>
      <c r="AQ64" s="124">
        <f t="shared" ref="AQ64:AQ83" si="38">(AP64-0.5)/MAX(AP$51:AP$117)</f>
        <v>0.15833333333333333</v>
      </c>
      <c r="AR64" s="124"/>
      <c r="AS64" s="124"/>
      <c r="AT64" s="14">
        <f t="shared" ref="AT64:AT83" si="39">IF(AND(AJ64&gt;$AI64,$AH64&gt;$AI64),0,IF(AND(AJ64&gt;$AI64,$AH64&lt;$AI64),1,IF(AND(AJ64&lt;$AI64,$AH64&gt;$AI64),2,3)))</f>
        <v>1</v>
      </c>
      <c r="AZ64" s="83"/>
      <c r="BA64" s="83"/>
      <c r="BB64" s="83"/>
      <c r="BC64" s="83"/>
      <c r="BD64" s="83"/>
      <c r="BE64" s="8">
        <f t="shared" ref="BE64:BE83" si="40">BI64*$E$38/$E$40</f>
        <v>0.23173495420997664</v>
      </c>
      <c r="BF64" s="16">
        <f t="shared" ref="BF64:BF83" si="41">10^(MAX(0,((W64+12.5)/2+AD64)*0.73611+-1.03574))</f>
        <v>1.3311138559878439</v>
      </c>
      <c r="BG64" s="16"/>
      <c r="BH64" s="189"/>
      <c r="BI64" s="6">
        <f t="shared" ref="BI64:BI83" si="42">(1/BF64)*AF64*AG64*E$41/E$32</f>
        <v>2.0975620898066368E-4</v>
      </c>
      <c r="BJ64" s="151">
        <f t="shared" ref="BJ64:BJ83" si="43">$AG64/BE64</f>
        <v>37.737077817255383</v>
      </c>
      <c r="BK64" s="177">
        <f t="shared" ref="BK64:BK83" si="44">BE64/$AI64</f>
        <v>4.6346990841995321</v>
      </c>
      <c r="BL64" s="134">
        <f t="shared" ref="BL64:BL83" si="45">LOG(BK64)</f>
        <v>0.66602154208049913</v>
      </c>
      <c r="BM64" s="119">
        <f t="shared" ref="BM64:BM83" si="46">$AG64/$O64</f>
        <v>4.3969054061333151E-6</v>
      </c>
      <c r="BN64">
        <f t="shared" ref="BN64:BN83" si="47">_xlfn.RANK.AVG(BK64,BK$51:BK$117,1)</f>
        <v>15</v>
      </c>
      <c r="BO64" s="124">
        <f t="shared" ref="BO64:BO83" si="48">(BN64-0.5)/MAX(BN$51:BN$117)</f>
        <v>0.24166666666666667</v>
      </c>
      <c r="BP64" s="124"/>
      <c r="BQ64" s="124"/>
      <c r="BR64" s="14">
        <f t="shared" ref="BR64:BR83" si="49">IF(AND(BE64&gt;$AI64,$AH64&gt;$AI64),0,IF(AND(BE64&gt;$AI64,$AH64&lt;$AI64),1,IF(AND(BE64&lt;$AI64,$AH64&gt;$AI64),2,3)))</f>
        <v>1</v>
      </c>
      <c r="BX64" s="83"/>
      <c r="BY64" s="83"/>
      <c r="BZ64" s="83"/>
      <c r="CA64" s="83"/>
      <c r="CB64" s="83"/>
      <c r="CC64" s="151"/>
      <c r="CD64" s="177">
        <f t="shared" ref="CD64:CD83" si="50">AG64/AI64</f>
        <v>174.9</v>
      </c>
      <c r="CE64" s="134">
        <f t="shared" ref="CE64:CE83" si="51">LOG(CD64)</f>
        <v>2.2427898094786767</v>
      </c>
      <c r="CF64" s="119">
        <f t="shared" ref="CF64:CF83" si="52">$AG64/$O64</f>
        <v>4.3969054061333151E-6</v>
      </c>
      <c r="CG64">
        <f t="shared" ref="CG64:CG83" si="53">_xlfn.RANK.AVG(CD64,CD$51:CD$117,1)</f>
        <v>6</v>
      </c>
      <c r="CH64" s="124">
        <f t="shared" ref="CH64:CH83" si="54">(CG64-0.5)/MAX(CG$51:CG$117)</f>
        <v>9.166666666666666E-2</v>
      </c>
      <c r="CI64" s="124"/>
      <c r="CJ64" s="124"/>
      <c r="CK64" s="14">
        <f t="shared" ref="CK64:CK83" si="55">IF(AND(BC64&gt;$AI64,$AH64&gt;$AI64),0,IF(AND(BC64&gt;$AI64,$AH64&lt;$AI64),1,IF(AND(BC64&lt;$AI64,$AH64&gt;$AI64),2,3)))</f>
        <v>3</v>
      </c>
      <c r="CL64" s="1"/>
      <c r="CP64" s="83">
        <f>SUM(CP51:CP62)</f>
        <v>60</v>
      </c>
      <c r="CU64" s="83">
        <f>SUM(CU51:CU62)</f>
        <v>47</v>
      </c>
      <c r="CZ64" s="83">
        <f>SUM(CZ51:CZ62)</f>
        <v>13</v>
      </c>
    </row>
    <row r="65" spans="1:90" x14ac:dyDescent="0.2">
      <c r="A65" s="8">
        <v>87</v>
      </c>
      <c r="B65" t="s">
        <v>143</v>
      </c>
      <c r="C65">
        <v>8</v>
      </c>
      <c r="D65" s="16" t="s">
        <v>28</v>
      </c>
      <c r="E65" t="s">
        <v>27</v>
      </c>
      <c r="F65" s="14" t="s">
        <v>26</v>
      </c>
      <c r="G65" s="16"/>
      <c r="H65" s="99">
        <v>14</v>
      </c>
      <c r="I65" s="11">
        <v>200</v>
      </c>
      <c r="J65" t="s">
        <v>41</v>
      </c>
      <c r="K65" s="6" t="s">
        <v>151</v>
      </c>
      <c r="L65" s="1">
        <v>1</v>
      </c>
      <c r="M65" s="6">
        <v>30</v>
      </c>
      <c r="N65" s="1">
        <v>78.106666524406961</v>
      </c>
      <c r="O65" s="18">
        <v>1988898.8259336799</v>
      </c>
      <c r="P65" s="30">
        <v>2.13</v>
      </c>
      <c r="Q65" s="1"/>
      <c r="R65" s="1"/>
      <c r="S65" s="1"/>
      <c r="T65" s="1"/>
      <c r="U65" s="1"/>
      <c r="W65" s="251">
        <f t="shared" si="30"/>
        <v>-12.425978961059927</v>
      </c>
      <c r="X65" s="118">
        <f t="shared" si="31"/>
        <v>3.2399236902998486E-8</v>
      </c>
      <c r="Y65" s="1"/>
      <c r="Z65" s="1"/>
      <c r="AA65" s="1"/>
      <c r="AB65" s="1"/>
      <c r="AC65" s="197"/>
      <c r="AD65" s="244">
        <f>'Lohman 2011'!AD65</f>
        <v>1.635593254259271</v>
      </c>
      <c r="AE65" s="96">
        <f t="shared" si="32"/>
        <v>43.210894262464336</v>
      </c>
      <c r="AF65" s="248">
        <v>1.3999999999999999E-6</v>
      </c>
      <c r="AG65" s="22">
        <v>1.75</v>
      </c>
      <c r="AH65" s="21"/>
      <c r="AI65" s="162">
        <v>0.05</v>
      </c>
      <c r="AJ65" s="167">
        <f t="shared" si="33"/>
        <v>6.1728395061728385E-2</v>
      </c>
      <c r="AK65" s="168">
        <f t="shared" si="34"/>
        <v>5.5873807120511795E-5</v>
      </c>
      <c r="AL65" s="151">
        <f t="shared" ref="AL65:AL83" si="56">$AG65/AJ65</f>
        <v>28.350000000000005</v>
      </c>
      <c r="AM65" s="177">
        <f t="shared" ref="AM65:AM83" si="57">AJ65/$AI65</f>
        <v>1.2345679012345676</v>
      </c>
      <c r="AN65" s="134">
        <f t="shared" si="35"/>
        <v>9.1514981121350147E-2</v>
      </c>
      <c r="AO65" s="119">
        <f t="shared" si="36"/>
        <v>8.798838720106691E-7</v>
      </c>
      <c r="AP65">
        <f t="shared" si="37"/>
        <v>3.5</v>
      </c>
      <c r="AQ65" s="124">
        <f t="shared" si="38"/>
        <v>0.05</v>
      </c>
      <c r="AR65" s="124"/>
      <c r="AS65" s="124"/>
      <c r="AT65" s="14">
        <f t="shared" si="39"/>
        <v>1</v>
      </c>
      <c r="AZ65" s="83"/>
      <c r="BA65" s="83"/>
      <c r="BB65" s="83"/>
      <c r="BC65" s="83"/>
      <c r="BD65" s="83"/>
      <c r="BE65" s="8">
        <f t="shared" si="40"/>
        <v>3.9355426347087503E-2</v>
      </c>
      <c r="BF65" s="16">
        <f t="shared" si="41"/>
        <v>1.5684849788521373</v>
      </c>
      <c r="BG65" s="16"/>
      <c r="BH65" s="189"/>
      <c r="BI65" s="6">
        <f t="shared" si="42"/>
        <v>3.5622787513975342E-5</v>
      </c>
      <c r="BJ65" s="151">
        <f t="shared" si="43"/>
        <v>44.466549150458093</v>
      </c>
      <c r="BK65" s="177">
        <f t="shared" si="44"/>
        <v>0.78710852694175004</v>
      </c>
      <c r="BL65" s="134">
        <f t="shared" si="45"/>
        <v>-0.10396538275853012</v>
      </c>
      <c r="BM65" s="119">
        <f t="shared" si="46"/>
        <v>8.798838720106691E-7</v>
      </c>
      <c r="BN65">
        <f t="shared" si="47"/>
        <v>5</v>
      </c>
      <c r="BO65" s="124">
        <f t="shared" si="48"/>
        <v>7.4999999999999997E-2</v>
      </c>
      <c r="BP65" s="124"/>
      <c r="BQ65" s="124"/>
      <c r="BR65" s="14">
        <f t="shared" si="49"/>
        <v>3</v>
      </c>
      <c r="BX65" s="83"/>
      <c r="BY65" s="83"/>
      <c r="BZ65" s="83"/>
      <c r="CA65" s="83"/>
      <c r="CB65" s="83"/>
      <c r="CC65" s="151"/>
      <c r="CD65" s="177">
        <f t="shared" si="50"/>
        <v>35</v>
      </c>
      <c r="CE65" s="134">
        <f t="shared" si="51"/>
        <v>1.5440680443502757</v>
      </c>
      <c r="CF65" s="119">
        <f t="shared" si="52"/>
        <v>8.798838720106691E-7</v>
      </c>
      <c r="CG65">
        <f t="shared" si="53"/>
        <v>2.5</v>
      </c>
      <c r="CH65" s="124">
        <f t="shared" si="54"/>
        <v>3.3333333333333333E-2</v>
      </c>
      <c r="CI65" s="124"/>
      <c r="CJ65" s="124"/>
      <c r="CK65" s="14">
        <f t="shared" si="55"/>
        <v>3</v>
      </c>
      <c r="CL65" s="16"/>
    </row>
    <row r="66" spans="1:90" x14ac:dyDescent="0.2">
      <c r="A66" s="8">
        <v>13</v>
      </c>
      <c r="B66" t="s">
        <v>143</v>
      </c>
      <c r="C66">
        <v>1</v>
      </c>
      <c r="D66" s="23" t="s">
        <v>11</v>
      </c>
      <c r="E66" t="s">
        <v>10</v>
      </c>
      <c r="F66" s="6">
        <v>42</v>
      </c>
      <c r="G66" s="28" t="s">
        <v>33</v>
      </c>
      <c r="H66" s="1">
        <v>9</v>
      </c>
      <c r="I66" s="11">
        <v>410</v>
      </c>
      <c r="J66" t="s">
        <v>8</v>
      </c>
      <c r="K66" s="6" t="s">
        <v>181</v>
      </c>
      <c r="L66" s="1">
        <v>1</v>
      </c>
      <c r="M66" s="6">
        <v>20</v>
      </c>
      <c r="N66" s="1">
        <v>96.95</v>
      </c>
      <c r="O66" s="18">
        <v>775600.00000000012</v>
      </c>
      <c r="P66" s="30">
        <v>1.906666666666667</v>
      </c>
      <c r="Q66" s="1"/>
      <c r="R66" s="1"/>
      <c r="S66" s="1"/>
      <c r="T66" s="1"/>
      <c r="U66" s="1"/>
      <c r="W66" s="251">
        <f t="shared" si="30"/>
        <v>-13.555320618835836</v>
      </c>
      <c r="X66" s="118">
        <f t="shared" si="31"/>
        <v>2.4054322185233312E-9</v>
      </c>
      <c r="Y66" s="1"/>
      <c r="Z66" s="1"/>
      <c r="AA66" s="1"/>
      <c r="AB66" s="1"/>
      <c r="AC66" s="197"/>
      <c r="AD66" s="244">
        <f>'Lohman 2011'!AD66</f>
        <v>1.2208668676849044</v>
      </c>
      <c r="AE66" s="96">
        <f t="shared" si="32"/>
        <v>16.629028118928069</v>
      </c>
      <c r="AF66" s="248">
        <v>4.0000000000000001E-8</v>
      </c>
      <c r="AG66" s="22">
        <v>6857.2571428571437</v>
      </c>
      <c r="AH66" s="21"/>
      <c r="AI66" s="162">
        <v>0.05</v>
      </c>
      <c r="AJ66" s="167">
        <f t="shared" si="33"/>
        <v>6.9108159665982782</v>
      </c>
      <c r="AK66" s="168">
        <f t="shared" si="34"/>
        <v>6.2553642934816628E-3</v>
      </c>
      <c r="AL66" s="151">
        <f t="shared" si="56"/>
        <v>992.25000000000034</v>
      </c>
      <c r="AM66" s="177">
        <f t="shared" si="57"/>
        <v>138.21631933196556</v>
      </c>
      <c r="AN66" s="134">
        <f t="shared" si="35"/>
        <v>2.1405593236271576</v>
      </c>
      <c r="AO66" s="119">
        <f t="shared" si="36"/>
        <v>8.841228910336698E-3</v>
      </c>
      <c r="AP66">
        <f t="shared" si="37"/>
        <v>35</v>
      </c>
      <c r="AQ66" s="124">
        <f t="shared" si="38"/>
        <v>0.57499999999999996</v>
      </c>
      <c r="AR66" s="124"/>
      <c r="AS66" s="124"/>
      <c r="AT66" s="14">
        <f t="shared" si="39"/>
        <v>1</v>
      </c>
      <c r="AV66" t="s">
        <v>191</v>
      </c>
      <c r="AZ66" s="83"/>
      <c r="BA66" s="83"/>
      <c r="BB66" s="83"/>
      <c r="BC66" s="83"/>
      <c r="BD66" s="83"/>
      <c r="BE66" s="8">
        <f t="shared" si="40"/>
        <v>6.9108159665982782</v>
      </c>
      <c r="BF66" s="16">
        <f t="shared" si="41"/>
        <v>1</v>
      </c>
      <c r="BG66" s="16"/>
      <c r="BH66" s="189"/>
      <c r="BI66" s="6">
        <f t="shared" si="42"/>
        <v>6.2553642934816628E-3</v>
      </c>
      <c r="BJ66" s="151">
        <f t="shared" si="43"/>
        <v>992.25000000000034</v>
      </c>
      <c r="BK66" s="177">
        <f t="shared" si="44"/>
        <v>138.21631933196556</v>
      </c>
      <c r="BL66" s="134">
        <f t="shared" si="45"/>
        <v>2.1405593236271576</v>
      </c>
      <c r="BM66" s="119">
        <f t="shared" si="46"/>
        <v>8.841228910336698E-3</v>
      </c>
      <c r="BN66">
        <f t="shared" si="47"/>
        <v>41</v>
      </c>
      <c r="BO66" s="124">
        <f t="shared" si="48"/>
        <v>0.67500000000000004</v>
      </c>
      <c r="BP66" s="124"/>
      <c r="BQ66" s="124"/>
      <c r="BR66" s="14">
        <f t="shared" si="49"/>
        <v>1</v>
      </c>
      <c r="BT66" t="s">
        <v>191</v>
      </c>
      <c r="BX66" s="83"/>
      <c r="BY66" s="83"/>
      <c r="BZ66" s="83"/>
      <c r="CA66" s="83"/>
      <c r="CB66" s="83"/>
      <c r="CC66" s="151"/>
      <c r="CD66" s="177">
        <f t="shared" si="50"/>
        <v>137145.14285714287</v>
      </c>
      <c r="CE66" s="134">
        <f t="shared" si="51"/>
        <v>5.1371804312063585</v>
      </c>
      <c r="CF66" s="119">
        <f t="shared" si="52"/>
        <v>8.841228910336698E-3</v>
      </c>
      <c r="CG66">
        <f t="shared" si="53"/>
        <v>53</v>
      </c>
      <c r="CH66" s="124">
        <f t="shared" si="54"/>
        <v>0.875</v>
      </c>
      <c r="CI66" s="124"/>
      <c r="CJ66" s="124"/>
      <c r="CK66" s="14">
        <f t="shared" si="55"/>
        <v>3</v>
      </c>
      <c r="CL66" s="16"/>
    </row>
    <row r="67" spans="1:90" x14ac:dyDescent="0.2">
      <c r="A67" s="8">
        <v>14</v>
      </c>
      <c r="B67" t="s">
        <v>143</v>
      </c>
      <c r="C67">
        <v>1</v>
      </c>
      <c r="D67" s="23" t="s">
        <v>11</v>
      </c>
      <c r="E67" t="s">
        <v>10</v>
      </c>
      <c r="F67" s="6">
        <v>46</v>
      </c>
      <c r="G67" s="28" t="s">
        <v>33</v>
      </c>
      <c r="H67" s="1">
        <v>9</v>
      </c>
      <c r="I67" s="11">
        <v>410</v>
      </c>
      <c r="J67" t="s">
        <v>8</v>
      </c>
      <c r="K67" s="6" t="s">
        <v>181</v>
      </c>
      <c r="L67" s="1">
        <v>1</v>
      </c>
      <c r="M67" s="6">
        <v>20</v>
      </c>
      <c r="N67" s="1">
        <v>96.95</v>
      </c>
      <c r="O67" s="18">
        <v>775600.00000000012</v>
      </c>
      <c r="P67" s="30">
        <v>1.906666666666667</v>
      </c>
      <c r="Q67" s="1"/>
      <c r="R67" s="1"/>
      <c r="S67" s="1"/>
      <c r="T67" s="1"/>
      <c r="U67" s="1"/>
      <c r="W67" s="251">
        <f t="shared" si="30"/>
        <v>-13.555320618835836</v>
      </c>
      <c r="X67" s="118">
        <f t="shared" si="31"/>
        <v>2.4054322185233312E-9</v>
      </c>
      <c r="Y67" s="1"/>
      <c r="Z67" s="1"/>
      <c r="AA67" s="1"/>
      <c r="AB67" s="1"/>
      <c r="AC67" s="197"/>
      <c r="AD67" s="244">
        <f>'Lohman 2011'!AD67</f>
        <v>1.2208668676849044</v>
      </c>
      <c r="AE67" s="96">
        <f t="shared" si="32"/>
        <v>16.629028118928069</v>
      </c>
      <c r="AF67" s="248">
        <v>4.0000000000000001E-8</v>
      </c>
      <c r="AG67" s="22">
        <v>6857.2571428571437</v>
      </c>
      <c r="AH67" s="21"/>
      <c r="AI67" s="162">
        <v>0.05</v>
      </c>
      <c r="AJ67" s="167">
        <f t="shared" si="33"/>
        <v>6.9108159665982782</v>
      </c>
      <c r="AK67" s="168">
        <f t="shared" si="34"/>
        <v>6.2553642934816628E-3</v>
      </c>
      <c r="AL67" s="151">
        <f t="shared" si="56"/>
        <v>992.25000000000034</v>
      </c>
      <c r="AM67" s="177">
        <f t="shared" si="57"/>
        <v>138.21631933196556</v>
      </c>
      <c r="AN67" s="134">
        <f t="shared" si="35"/>
        <v>2.1405593236271576</v>
      </c>
      <c r="AO67" s="119">
        <f t="shared" si="36"/>
        <v>8.841228910336698E-3</v>
      </c>
      <c r="AP67">
        <f t="shared" si="37"/>
        <v>35</v>
      </c>
      <c r="AQ67" s="124">
        <f t="shared" si="38"/>
        <v>0.57499999999999996</v>
      </c>
      <c r="AR67" s="124"/>
      <c r="AS67" s="124"/>
      <c r="AT67" s="14">
        <f t="shared" si="39"/>
        <v>1</v>
      </c>
      <c r="AV67" s="74">
        <v>4.2361111111111106E-2</v>
      </c>
      <c r="AZ67" s="83"/>
      <c r="BA67" s="83"/>
      <c r="BB67" s="83"/>
      <c r="BC67" s="83"/>
      <c r="BD67" s="83"/>
      <c r="BE67" s="8">
        <f t="shared" si="40"/>
        <v>6.9108159665982782</v>
      </c>
      <c r="BF67" s="16">
        <f t="shared" si="41"/>
        <v>1</v>
      </c>
      <c r="BG67" s="16"/>
      <c r="BH67" s="189"/>
      <c r="BI67" s="6">
        <f t="shared" si="42"/>
        <v>6.2553642934816628E-3</v>
      </c>
      <c r="BJ67" s="151">
        <f t="shared" si="43"/>
        <v>992.25000000000034</v>
      </c>
      <c r="BK67" s="177">
        <f t="shared" si="44"/>
        <v>138.21631933196556</v>
      </c>
      <c r="BL67" s="134">
        <f t="shared" si="45"/>
        <v>2.1405593236271576</v>
      </c>
      <c r="BM67" s="119">
        <f t="shared" si="46"/>
        <v>8.841228910336698E-3</v>
      </c>
      <c r="BN67">
        <f t="shared" si="47"/>
        <v>41</v>
      </c>
      <c r="BO67" s="124">
        <f t="shared" si="48"/>
        <v>0.67500000000000004</v>
      </c>
      <c r="BP67" s="124"/>
      <c r="BQ67" s="124"/>
      <c r="BR67" s="14">
        <f t="shared" si="49"/>
        <v>1</v>
      </c>
      <c r="BT67" s="74">
        <v>4.2361111111111106E-2</v>
      </c>
      <c r="BX67" s="83"/>
      <c r="BY67" s="83"/>
      <c r="BZ67" s="83"/>
      <c r="CA67" s="83"/>
      <c r="CB67" s="83"/>
      <c r="CC67" s="151"/>
      <c r="CD67" s="177">
        <f t="shared" si="50"/>
        <v>137145.14285714287</v>
      </c>
      <c r="CE67" s="134">
        <f t="shared" si="51"/>
        <v>5.1371804312063585</v>
      </c>
      <c r="CF67" s="119">
        <f t="shared" si="52"/>
        <v>8.841228910336698E-3</v>
      </c>
      <c r="CG67">
        <f t="shared" si="53"/>
        <v>53</v>
      </c>
      <c r="CH67" s="124">
        <f t="shared" si="54"/>
        <v>0.875</v>
      </c>
      <c r="CI67" s="124"/>
      <c r="CJ67" s="124"/>
      <c r="CK67" s="14">
        <f t="shared" si="55"/>
        <v>3</v>
      </c>
      <c r="CL67" s="16"/>
    </row>
    <row r="68" spans="1:90" x14ac:dyDescent="0.2">
      <c r="A68" s="8">
        <v>15</v>
      </c>
      <c r="B68" t="s">
        <v>143</v>
      </c>
      <c r="C68">
        <v>1</v>
      </c>
      <c r="D68" s="23" t="s">
        <v>11</v>
      </c>
      <c r="E68" t="s">
        <v>10</v>
      </c>
      <c r="F68" s="6">
        <v>48</v>
      </c>
      <c r="G68" s="28" t="s">
        <v>33</v>
      </c>
      <c r="H68" s="1">
        <v>9</v>
      </c>
      <c r="I68" s="11">
        <v>410</v>
      </c>
      <c r="J68" s="13" t="s">
        <v>8</v>
      </c>
      <c r="K68" s="6" t="s">
        <v>181</v>
      </c>
      <c r="L68" s="1">
        <v>1</v>
      </c>
      <c r="M68" s="6">
        <v>20</v>
      </c>
      <c r="N68" s="1">
        <v>96.95</v>
      </c>
      <c r="O68" s="18">
        <v>775600.00000000012</v>
      </c>
      <c r="P68" s="30">
        <v>1.906666666666667</v>
      </c>
      <c r="Q68" s="1"/>
      <c r="R68" s="1"/>
      <c r="S68" s="1"/>
      <c r="T68" s="1"/>
      <c r="U68" s="1"/>
      <c r="W68" s="251">
        <f t="shared" si="30"/>
        <v>-13.555320618835836</v>
      </c>
      <c r="X68" s="118">
        <f t="shared" si="31"/>
        <v>2.4054322185233312E-9</v>
      </c>
      <c r="Y68" s="1"/>
      <c r="Z68" s="1"/>
      <c r="AA68" s="1"/>
      <c r="AB68" s="1"/>
      <c r="AC68" s="197"/>
      <c r="AD68" s="244">
        <f>'Lohman 2011'!AD68</f>
        <v>1.2208668676849044</v>
      </c>
      <c r="AE68" s="96">
        <f t="shared" si="32"/>
        <v>16.629028118928069</v>
      </c>
      <c r="AF68" s="248">
        <v>4.0000000000000001E-8</v>
      </c>
      <c r="AG68" s="22">
        <v>6857.2571428571437</v>
      </c>
      <c r="AH68" s="21"/>
      <c r="AI68" s="162">
        <v>0.05</v>
      </c>
      <c r="AJ68" s="167">
        <f t="shared" si="33"/>
        <v>6.9108159665982782</v>
      </c>
      <c r="AK68" s="168">
        <f t="shared" si="34"/>
        <v>6.2553642934816628E-3</v>
      </c>
      <c r="AL68" s="151">
        <f t="shared" si="56"/>
        <v>992.25000000000034</v>
      </c>
      <c r="AM68" s="177">
        <f t="shared" si="57"/>
        <v>138.21631933196556</v>
      </c>
      <c r="AN68" s="134">
        <f t="shared" si="35"/>
        <v>2.1405593236271576</v>
      </c>
      <c r="AO68" s="119">
        <f t="shared" si="36"/>
        <v>8.841228910336698E-3</v>
      </c>
      <c r="AP68">
        <f t="shared" si="37"/>
        <v>35</v>
      </c>
      <c r="AQ68" s="124">
        <f t="shared" si="38"/>
        <v>0.57499999999999996</v>
      </c>
      <c r="AR68" s="124"/>
      <c r="AS68" s="124"/>
      <c r="AT68" s="14">
        <f t="shared" si="39"/>
        <v>1</v>
      </c>
      <c r="AV68">
        <v>0.01</v>
      </c>
      <c r="AZ68" s="83"/>
      <c r="BA68" s="83"/>
      <c r="BB68" s="83"/>
      <c r="BC68" s="83"/>
      <c r="BD68" s="83"/>
      <c r="BE68" s="8">
        <f t="shared" si="40"/>
        <v>6.9108159665982782</v>
      </c>
      <c r="BF68" s="16">
        <f t="shared" si="41"/>
        <v>1</v>
      </c>
      <c r="BG68" s="16"/>
      <c r="BH68" s="189"/>
      <c r="BI68" s="6">
        <f t="shared" si="42"/>
        <v>6.2553642934816628E-3</v>
      </c>
      <c r="BJ68" s="151">
        <f t="shared" si="43"/>
        <v>992.25000000000034</v>
      </c>
      <c r="BK68" s="177">
        <f t="shared" si="44"/>
        <v>138.21631933196556</v>
      </c>
      <c r="BL68" s="134">
        <f t="shared" si="45"/>
        <v>2.1405593236271576</v>
      </c>
      <c r="BM68" s="119">
        <f t="shared" si="46"/>
        <v>8.841228910336698E-3</v>
      </c>
      <c r="BN68">
        <f t="shared" si="47"/>
        <v>41</v>
      </c>
      <c r="BO68" s="124">
        <f t="shared" si="48"/>
        <v>0.67500000000000004</v>
      </c>
      <c r="BP68" s="124"/>
      <c r="BQ68" s="124"/>
      <c r="BR68" s="14">
        <f t="shared" si="49"/>
        <v>1</v>
      </c>
      <c r="BT68">
        <v>0.01</v>
      </c>
      <c r="BX68" s="83"/>
      <c r="BY68" s="83"/>
      <c r="BZ68" s="83"/>
      <c r="CA68" s="83"/>
      <c r="CB68" s="83"/>
      <c r="CC68" s="151"/>
      <c r="CD68" s="177">
        <f t="shared" si="50"/>
        <v>137145.14285714287</v>
      </c>
      <c r="CE68" s="134">
        <f t="shared" si="51"/>
        <v>5.1371804312063585</v>
      </c>
      <c r="CF68" s="119">
        <f t="shared" si="52"/>
        <v>8.841228910336698E-3</v>
      </c>
      <c r="CG68">
        <f t="shared" si="53"/>
        <v>53</v>
      </c>
      <c r="CH68" s="124">
        <f t="shared" si="54"/>
        <v>0.875</v>
      </c>
      <c r="CI68" s="124"/>
      <c r="CJ68" s="124"/>
      <c r="CK68" s="14">
        <f t="shared" si="55"/>
        <v>3</v>
      </c>
      <c r="CL68" s="16"/>
    </row>
    <row r="69" spans="1:90" x14ac:dyDescent="0.2">
      <c r="A69" s="8">
        <v>16</v>
      </c>
      <c r="B69" t="s">
        <v>143</v>
      </c>
      <c r="C69">
        <v>1</v>
      </c>
      <c r="D69" s="23" t="s">
        <v>11</v>
      </c>
      <c r="E69" t="s">
        <v>10</v>
      </c>
      <c r="F69" s="6">
        <v>52</v>
      </c>
      <c r="G69" s="28" t="s">
        <v>33</v>
      </c>
      <c r="H69" s="1">
        <v>9</v>
      </c>
      <c r="I69" s="11">
        <v>410</v>
      </c>
      <c r="J69" s="13" t="s">
        <v>8</v>
      </c>
      <c r="K69" s="6" t="s">
        <v>181</v>
      </c>
      <c r="L69" s="1">
        <v>1</v>
      </c>
      <c r="M69" s="6">
        <v>20</v>
      </c>
      <c r="N69" s="1">
        <v>96.95</v>
      </c>
      <c r="O69" s="18">
        <v>775600.00000000012</v>
      </c>
      <c r="P69" s="30">
        <v>1.906666666666667</v>
      </c>
      <c r="Q69" s="1"/>
      <c r="R69" s="1"/>
      <c r="S69" s="1"/>
      <c r="T69" s="1"/>
      <c r="U69" s="1"/>
      <c r="W69" s="251">
        <f t="shared" si="30"/>
        <v>-13.555320618835836</v>
      </c>
      <c r="X69" s="118">
        <f t="shared" si="31"/>
        <v>2.4054322185233312E-9</v>
      </c>
      <c r="Y69" s="1"/>
      <c r="Z69" s="1"/>
      <c r="AA69" s="1"/>
      <c r="AB69" s="1"/>
      <c r="AC69" s="197"/>
      <c r="AD69" s="244">
        <f>'Lohman 2011'!AD69</f>
        <v>1.2208668676849044</v>
      </c>
      <c r="AE69" s="96">
        <f t="shared" si="32"/>
        <v>16.629028118928069</v>
      </c>
      <c r="AF69" s="248">
        <v>4.0000000000000001E-8</v>
      </c>
      <c r="AG69" s="22">
        <v>2743.1428571428573</v>
      </c>
      <c r="AH69" s="21"/>
      <c r="AI69" s="162">
        <v>0.05</v>
      </c>
      <c r="AJ69" s="167">
        <f t="shared" si="33"/>
        <v>2.7645682611669002</v>
      </c>
      <c r="AK69" s="168">
        <f t="shared" si="34"/>
        <v>2.5023646514940353E-3</v>
      </c>
      <c r="AL69" s="151">
        <f t="shared" si="56"/>
        <v>992.25000000000023</v>
      </c>
      <c r="AM69" s="177">
        <f t="shared" si="57"/>
        <v>55.291365223338005</v>
      </c>
      <c r="AN69" s="134">
        <f t="shared" si="35"/>
        <v>1.7426573134265697</v>
      </c>
      <c r="AO69" s="119">
        <f t="shared" si="36"/>
        <v>3.536801001989243E-3</v>
      </c>
      <c r="AP69">
        <f t="shared" si="37"/>
        <v>25.5</v>
      </c>
      <c r="AQ69" s="124">
        <f t="shared" si="38"/>
        <v>0.41666666666666669</v>
      </c>
      <c r="AR69" s="124"/>
      <c r="AS69" s="124"/>
      <c r="AT69" s="14">
        <f t="shared" si="39"/>
        <v>1</v>
      </c>
      <c r="AV69">
        <v>100000</v>
      </c>
      <c r="AZ69" s="83"/>
      <c r="BA69" s="83"/>
      <c r="BB69" s="83"/>
      <c r="BC69" s="83"/>
      <c r="BD69" s="83"/>
      <c r="BE69" s="8">
        <f t="shared" si="40"/>
        <v>2.7645682611669002</v>
      </c>
      <c r="BF69" s="16">
        <f t="shared" si="41"/>
        <v>1</v>
      </c>
      <c r="BG69" s="16"/>
      <c r="BH69" s="189"/>
      <c r="BI69" s="6">
        <f t="shared" si="42"/>
        <v>2.5023646514940353E-3</v>
      </c>
      <c r="BJ69" s="151">
        <f t="shared" si="43"/>
        <v>992.25000000000023</v>
      </c>
      <c r="BK69" s="177">
        <f t="shared" si="44"/>
        <v>55.291365223338005</v>
      </c>
      <c r="BL69" s="134">
        <f t="shared" si="45"/>
        <v>1.7426573134265697</v>
      </c>
      <c r="BM69" s="119">
        <f t="shared" si="46"/>
        <v>3.536801001989243E-3</v>
      </c>
      <c r="BN69">
        <f t="shared" si="47"/>
        <v>32.5</v>
      </c>
      <c r="BO69" s="124">
        <f t="shared" si="48"/>
        <v>0.53333333333333333</v>
      </c>
      <c r="BP69" s="124"/>
      <c r="BQ69" s="124"/>
      <c r="BR69" s="14">
        <f t="shared" si="49"/>
        <v>1</v>
      </c>
      <c r="BT69">
        <v>100000</v>
      </c>
      <c r="BX69" s="83"/>
      <c r="BY69" s="83"/>
      <c r="BZ69" s="83"/>
      <c r="CA69" s="83"/>
      <c r="CB69" s="83"/>
      <c r="CC69" s="151"/>
      <c r="CD69" s="177">
        <f t="shared" si="50"/>
        <v>54862.857142857145</v>
      </c>
      <c r="CE69" s="134">
        <f t="shared" si="51"/>
        <v>4.7392784210057712</v>
      </c>
      <c r="CF69" s="119">
        <f t="shared" si="52"/>
        <v>3.536801001989243E-3</v>
      </c>
      <c r="CG69">
        <f t="shared" si="53"/>
        <v>45.5</v>
      </c>
      <c r="CH69" s="124">
        <f t="shared" si="54"/>
        <v>0.75</v>
      </c>
      <c r="CI69" s="124"/>
      <c r="CJ69" s="124"/>
      <c r="CK69" s="14">
        <f t="shared" si="55"/>
        <v>3</v>
      </c>
      <c r="CL69" s="16"/>
    </row>
    <row r="70" spans="1:90" x14ac:dyDescent="0.2">
      <c r="A70" s="8">
        <v>17</v>
      </c>
      <c r="B70" t="s">
        <v>143</v>
      </c>
      <c r="C70">
        <v>1</v>
      </c>
      <c r="D70" s="23" t="s">
        <v>11</v>
      </c>
      <c r="E70" t="s">
        <v>10</v>
      </c>
      <c r="F70" s="6">
        <v>54</v>
      </c>
      <c r="G70" s="28" t="s">
        <v>33</v>
      </c>
      <c r="H70" s="1">
        <v>9</v>
      </c>
      <c r="I70" s="11">
        <v>410</v>
      </c>
      <c r="J70" s="13" t="s">
        <v>8</v>
      </c>
      <c r="K70" s="6" t="s">
        <v>181</v>
      </c>
      <c r="L70" s="1">
        <v>1</v>
      </c>
      <c r="M70" s="6">
        <v>20</v>
      </c>
      <c r="N70" s="1">
        <v>96.95</v>
      </c>
      <c r="O70" s="18">
        <v>775600.00000000012</v>
      </c>
      <c r="P70" s="30">
        <v>1.906666666666667</v>
      </c>
      <c r="Q70" s="1"/>
      <c r="R70" s="1"/>
      <c r="S70" s="1"/>
      <c r="T70" s="1"/>
      <c r="U70" s="1"/>
      <c r="W70" s="251">
        <f t="shared" si="30"/>
        <v>-13.555320618835836</v>
      </c>
      <c r="X70" s="118">
        <f t="shared" si="31"/>
        <v>2.4054322185233312E-9</v>
      </c>
      <c r="Y70" s="1"/>
      <c r="Z70" s="1"/>
      <c r="AA70" s="1"/>
      <c r="AB70" s="1"/>
      <c r="AC70" s="197"/>
      <c r="AD70" s="244">
        <f>'Lohman 2011'!AD70</f>
        <v>1.2208668676849044</v>
      </c>
      <c r="AE70" s="96">
        <f t="shared" si="32"/>
        <v>16.629028118928069</v>
      </c>
      <c r="AF70" s="248">
        <v>4.0000000000000001E-8</v>
      </c>
      <c r="AG70" s="22">
        <v>2743.1428571428573</v>
      </c>
      <c r="AH70" s="21"/>
      <c r="AI70" s="162">
        <v>0.05</v>
      </c>
      <c r="AJ70" s="167">
        <f t="shared" si="33"/>
        <v>2.7645682611669002</v>
      </c>
      <c r="AK70" s="168">
        <f t="shared" si="34"/>
        <v>2.5023646514940353E-3</v>
      </c>
      <c r="AL70" s="151">
        <f t="shared" si="56"/>
        <v>992.25000000000023</v>
      </c>
      <c r="AM70" s="177">
        <f t="shared" si="57"/>
        <v>55.291365223338005</v>
      </c>
      <c r="AN70" s="134">
        <f t="shared" si="35"/>
        <v>1.7426573134265697</v>
      </c>
      <c r="AO70" s="119">
        <f t="shared" si="36"/>
        <v>3.536801001989243E-3</v>
      </c>
      <c r="AP70">
        <f t="shared" si="37"/>
        <v>25.5</v>
      </c>
      <c r="AQ70" s="124">
        <f t="shared" si="38"/>
        <v>0.41666666666666669</v>
      </c>
      <c r="AR70" s="124"/>
      <c r="AS70" s="124"/>
      <c r="AT70" s="14">
        <f t="shared" si="39"/>
        <v>1</v>
      </c>
      <c r="AZ70" s="83"/>
      <c r="BA70" s="83"/>
      <c r="BB70" s="83"/>
      <c r="BC70" s="83"/>
      <c r="BD70" s="83"/>
      <c r="BE70" s="8">
        <f t="shared" si="40"/>
        <v>2.7645682611669002</v>
      </c>
      <c r="BF70" s="16">
        <f t="shared" si="41"/>
        <v>1</v>
      </c>
      <c r="BG70" s="16"/>
      <c r="BH70" s="189"/>
      <c r="BI70" s="6">
        <f t="shared" si="42"/>
        <v>2.5023646514940353E-3</v>
      </c>
      <c r="BJ70" s="151">
        <f t="shared" si="43"/>
        <v>992.25000000000023</v>
      </c>
      <c r="BK70" s="177">
        <f t="shared" si="44"/>
        <v>55.291365223338005</v>
      </c>
      <c r="BL70" s="134">
        <f t="shared" si="45"/>
        <v>1.7426573134265697</v>
      </c>
      <c r="BM70" s="119">
        <f t="shared" si="46"/>
        <v>3.536801001989243E-3</v>
      </c>
      <c r="BN70">
        <f t="shared" si="47"/>
        <v>32.5</v>
      </c>
      <c r="BO70" s="124">
        <f t="shared" si="48"/>
        <v>0.53333333333333333</v>
      </c>
      <c r="BP70" s="124"/>
      <c r="BQ70" s="124"/>
      <c r="BR70" s="14">
        <f t="shared" si="49"/>
        <v>1</v>
      </c>
      <c r="BX70" s="83"/>
      <c r="BY70" s="83"/>
      <c r="BZ70" s="83"/>
      <c r="CA70" s="83"/>
      <c r="CB70" s="83"/>
      <c r="CC70" s="151"/>
      <c r="CD70" s="177">
        <f t="shared" si="50"/>
        <v>54862.857142857145</v>
      </c>
      <c r="CE70" s="134">
        <f t="shared" si="51"/>
        <v>4.7392784210057712</v>
      </c>
      <c r="CF70" s="119">
        <f t="shared" si="52"/>
        <v>3.536801001989243E-3</v>
      </c>
      <c r="CG70">
        <f t="shared" si="53"/>
        <v>45.5</v>
      </c>
      <c r="CH70" s="124">
        <f t="shared" si="54"/>
        <v>0.75</v>
      </c>
      <c r="CI70" s="124"/>
      <c r="CJ70" s="124"/>
      <c r="CK70" s="14">
        <f t="shared" si="55"/>
        <v>3</v>
      </c>
      <c r="CL70" s="16"/>
    </row>
    <row r="71" spans="1:90" x14ac:dyDescent="0.2">
      <c r="A71" s="8">
        <v>18</v>
      </c>
      <c r="B71" t="s">
        <v>143</v>
      </c>
      <c r="C71">
        <v>1</v>
      </c>
      <c r="D71" s="23" t="s">
        <v>11</v>
      </c>
      <c r="E71" t="s">
        <v>10</v>
      </c>
      <c r="F71" s="6">
        <v>56</v>
      </c>
      <c r="G71" s="28" t="s">
        <v>33</v>
      </c>
      <c r="H71" s="1">
        <v>9</v>
      </c>
      <c r="I71" s="11">
        <v>410</v>
      </c>
      <c r="J71" s="13" t="s">
        <v>8</v>
      </c>
      <c r="K71" s="6" t="s">
        <v>181</v>
      </c>
      <c r="L71" s="1">
        <v>1</v>
      </c>
      <c r="M71" s="6">
        <v>20</v>
      </c>
      <c r="N71" s="1">
        <v>96.95</v>
      </c>
      <c r="O71" s="18">
        <v>775600.00000000012</v>
      </c>
      <c r="P71" s="30">
        <v>1.906666666666667</v>
      </c>
      <c r="Q71" s="1"/>
      <c r="R71" s="1"/>
      <c r="S71" s="1"/>
      <c r="T71" s="1"/>
      <c r="U71" s="1"/>
      <c r="W71" s="251">
        <f t="shared" si="30"/>
        <v>-13.555320618835836</v>
      </c>
      <c r="X71" s="118">
        <f t="shared" si="31"/>
        <v>2.4054322185233312E-9</v>
      </c>
      <c r="Y71" s="1"/>
      <c r="Z71" s="1"/>
      <c r="AA71" s="1"/>
      <c r="AB71" s="1"/>
      <c r="AC71" s="197"/>
      <c r="AD71" s="244">
        <f>'Lohman 2011'!AD71</f>
        <v>1.2208668676849044</v>
      </c>
      <c r="AE71" s="96">
        <f t="shared" si="32"/>
        <v>16.629028118928069</v>
      </c>
      <c r="AF71" s="248">
        <v>4.0000000000000001E-8</v>
      </c>
      <c r="AG71" s="22">
        <v>2743.1428571428573</v>
      </c>
      <c r="AH71" s="21"/>
      <c r="AI71" s="162">
        <v>0.05</v>
      </c>
      <c r="AJ71" s="167">
        <f t="shared" si="33"/>
        <v>2.7645682611669002</v>
      </c>
      <c r="AK71" s="168">
        <f t="shared" si="34"/>
        <v>2.5023646514940353E-3</v>
      </c>
      <c r="AL71" s="151">
        <f t="shared" si="56"/>
        <v>992.25000000000023</v>
      </c>
      <c r="AM71" s="177">
        <f t="shared" si="57"/>
        <v>55.291365223338005</v>
      </c>
      <c r="AN71" s="134">
        <f t="shared" si="35"/>
        <v>1.7426573134265697</v>
      </c>
      <c r="AO71" s="119">
        <f t="shared" si="36"/>
        <v>3.536801001989243E-3</v>
      </c>
      <c r="AP71">
        <f t="shared" si="37"/>
        <v>25.5</v>
      </c>
      <c r="AQ71" s="124">
        <f t="shared" si="38"/>
        <v>0.41666666666666669</v>
      </c>
      <c r="AR71" s="124"/>
      <c r="AS71" s="124"/>
      <c r="AT71" s="14">
        <f t="shared" si="39"/>
        <v>1</v>
      </c>
      <c r="AZ71" s="83"/>
      <c r="BA71" s="83"/>
      <c r="BB71" s="83"/>
      <c r="BC71" s="83"/>
      <c r="BD71" s="83"/>
      <c r="BE71" s="8">
        <f t="shared" si="40"/>
        <v>2.7645682611669002</v>
      </c>
      <c r="BF71" s="16">
        <f t="shared" si="41"/>
        <v>1</v>
      </c>
      <c r="BG71" s="16"/>
      <c r="BH71" s="189"/>
      <c r="BI71" s="6">
        <f t="shared" si="42"/>
        <v>2.5023646514940353E-3</v>
      </c>
      <c r="BJ71" s="151">
        <f t="shared" si="43"/>
        <v>992.25000000000023</v>
      </c>
      <c r="BK71" s="177">
        <f t="shared" si="44"/>
        <v>55.291365223338005</v>
      </c>
      <c r="BL71" s="134">
        <f t="shared" si="45"/>
        <v>1.7426573134265697</v>
      </c>
      <c r="BM71" s="119">
        <f t="shared" si="46"/>
        <v>3.536801001989243E-3</v>
      </c>
      <c r="BN71">
        <f t="shared" si="47"/>
        <v>32.5</v>
      </c>
      <c r="BO71" s="124">
        <f t="shared" si="48"/>
        <v>0.53333333333333333</v>
      </c>
      <c r="BP71" s="124"/>
      <c r="BQ71" s="124"/>
      <c r="BR71" s="14">
        <f t="shared" si="49"/>
        <v>1</v>
      </c>
      <c r="BX71" s="83"/>
      <c r="BY71" s="83"/>
      <c r="BZ71" s="83"/>
      <c r="CA71" s="83"/>
      <c r="CB71" s="83"/>
      <c r="CC71" s="151"/>
      <c r="CD71" s="177">
        <f t="shared" si="50"/>
        <v>54862.857142857145</v>
      </c>
      <c r="CE71" s="134">
        <f t="shared" si="51"/>
        <v>4.7392784210057712</v>
      </c>
      <c r="CF71" s="119">
        <f t="shared" si="52"/>
        <v>3.536801001989243E-3</v>
      </c>
      <c r="CG71">
        <f t="shared" si="53"/>
        <v>45.5</v>
      </c>
      <c r="CH71" s="124">
        <f t="shared" si="54"/>
        <v>0.75</v>
      </c>
      <c r="CI71" s="124"/>
      <c r="CJ71" s="124"/>
      <c r="CK71" s="14">
        <f t="shared" si="55"/>
        <v>3</v>
      </c>
      <c r="CL71" s="16"/>
    </row>
    <row r="72" spans="1:90" x14ac:dyDescent="0.2">
      <c r="A72" s="8">
        <v>19</v>
      </c>
      <c r="B72" t="s">
        <v>143</v>
      </c>
      <c r="C72">
        <v>1</v>
      </c>
      <c r="D72" s="23" t="s">
        <v>11</v>
      </c>
      <c r="E72" t="s">
        <v>10</v>
      </c>
      <c r="F72" s="6" t="s">
        <v>40</v>
      </c>
      <c r="G72" s="28" t="s">
        <v>33</v>
      </c>
      <c r="H72" s="1">
        <v>9</v>
      </c>
      <c r="I72" s="11">
        <v>410</v>
      </c>
      <c r="J72" s="13" t="s">
        <v>8</v>
      </c>
      <c r="K72" s="6" t="s">
        <v>181</v>
      </c>
      <c r="L72" s="1">
        <v>1</v>
      </c>
      <c r="M72" s="6">
        <v>20</v>
      </c>
      <c r="N72" s="1">
        <v>96.95</v>
      </c>
      <c r="O72" s="18">
        <v>775600.00000000012</v>
      </c>
      <c r="P72" s="30">
        <v>1.906666666666667</v>
      </c>
      <c r="Q72" s="1"/>
      <c r="R72" s="1"/>
      <c r="S72" s="1"/>
      <c r="T72" s="1"/>
      <c r="U72" s="1"/>
      <c r="W72" s="251">
        <f t="shared" si="30"/>
        <v>-13.555320618835836</v>
      </c>
      <c r="X72" s="118">
        <f t="shared" si="31"/>
        <v>2.4054322185233312E-9</v>
      </c>
      <c r="Y72" s="1"/>
      <c r="Z72" s="1"/>
      <c r="AA72" s="1"/>
      <c r="AB72" s="1"/>
      <c r="AC72" s="197"/>
      <c r="AD72" s="244">
        <f>'Lohman 2011'!AD72</f>
        <v>1.2208668676849044</v>
      </c>
      <c r="AE72" s="96">
        <f t="shared" si="32"/>
        <v>16.629028118928069</v>
      </c>
      <c r="AF72" s="248">
        <v>4.0000000000000001E-8</v>
      </c>
      <c r="AG72" s="22">
        <v>2743.1428571428573</v>
      </c>
      <c r="AH72" s="21"/>
      <c r="AI72" s="162">
        <v>0.05</v>
      </c>
      <c r="AJ72" s="167">
        <f t="shared" si="33"/>
        <v>2.7645682611669002</v>
      </c>
      <c r="AK72" s="168">
        <f t="shared" si="34"/>
        <v>2.5023646514940353E-3</v>
      </c>
      <c r="AL72" s="151">
        <f t="shared" si="56"/>
        <v>992.25000000000023</v>
      </c>
      <c r="AM72" s="177">
        <f t="shared" si="57"/>
        <v>55.291365223338005</v>
      </c>
      <c r="AN72" s="134">
        <f t="shared" si="35"/>
        <v>1.7426573134265697</v>
      </c>
      <c r="AO72" s="119">
        <f t="shared" si="36"/>
        <v>3.536801001989243E-3</v>
      </c>
      <c r="AP72">
        <f t="shared" si="37"/>
        <v>25.5</v>
      </c>
      <c r="AQ72" s="124">
        <f t="shared" si="38"/>
        <v>0.41666666666666669</v>
      </c>
      <c r="AR72" s="124"/>
      <c r="AS72" s="124"/>
      <c r="AT72" s="14">
        <f t="shared" si="39"/>
        <v>1</v>
      </c>
      <c r="AZ72" s="83"/>
      <c r="BA72" s="83"/>
      <c r="BB72" s="83"/>
      <c r="BC72" s="83"/>
      <c r="BD72" s="83"/>
      <c r="BE72" s="8">
        <f t="shared" si="40"/>
        <v>2.7645682611669002</v>
      </c>
      <c r="BF72" s="16">
        <f t="shared" si="41"/>
        <v>1</v>
      </c>
      <c r="BG72" s="16"/>
      <c r="BH72" s="189"/>
      <c r="BI72" s="6">
        <f t="shared" si="42"/>
        <v>2.5023646514940353E-3</v>
      </c>
      <c r="BJ72" s="151">
        <f t="shared" si="43"/>
        <v>992.25000000000023</v>
      </c>
      <c r="BK72" s="177">
        <f t="shared" si="44"/>
        <v>55.291365223338005</v>
      </c>
      <c r="BL72" s="134">
        <f t="shared" si="45"/>
        <v>1.7426573134265697</v>
      </c>
      <c r="BM72" s="119">
        <f t="shared" si="46"/>
        <v>3.536801001989243E-3</v>
      </c>
      <c r="BN72">
        <f t="shared" si="47"/>
        <v>32.5</v>
      </c>
      <c r="BO72" s="124">
        <f t="shared" si="48"/>
        <v>0.53333333333333333</v>
      </c>
      <c r="BP72" s="124"/>
      <c r="BQ72" s="124"/>
      <c r="BR72" s="14">
        <f t="shared" si="49"/>
        <v>1</v>
      </c>
      <c r="BX72" s="83"/>
      <c r="BY72" s="83"/>
      <c r="BZ72" s="83"/>
      <c r="CA72" s="83"/>
      <c r="CB72" s="83"/>
      <c r="CC72" s="151"/>
      <c r="CD72" s="177">
        <f t="shared" si="50"/>
        <v>54862.857142857145</v>
      </c>
      <c r="CE72" s="134">
        <f t="shared" si="51"/>
        <v>4.7392784210057712</v>
      </c>
      <c r="CF72" s="119">
        <f t="shared" si="52"/>
        <v>3.536801001989243E-3</v>
      </c>
      <c r="CG72">
        <f t="shared" si="53"/>
        <v>45.5</v>
      </c>
      <c r="CH72" s="124">
        <f t="shared" si="54"/>
        <v>0.75</v>
      </c>
      <c r="CI72" s="124"/>
      <c r="CJ72" s="124"/>
      <c r="CK72" s="14">
        <f t="shared" si="55"/>
        <v>3</v>
      </c>
      <c r="CL72" s="16"/>
    </row>
    <row r="73" spans="1:90" x14ac:dyDescent="0.2">
      <c r="A73" s="8">
        <v>24</v>
      </c>
      <c r="B73" t="s">
        <v>143</v>
      </c>
      <c r="C73">
        <v>2</v>
      </c>
      <c r="D73" t="s">
        <v>2</v>
      </c>
      <c r="E73" t="s">
        <v>1</v>
      </c>
      <c r="F73" s="6">
        <v>59</v>
      </c>
      <c r="G73" s="26" t="s">
        <v>29</v>
      </c>
      <c r="H73" s="1">
        <v>9</v>
      </c>
      <c r="I73" s="11">
        <v>201</v>
      </c>
      <c r="J73" s="13" t="s">
        <v>39</v>
      </c>
      <c r="K73" s="6" t="s">
        <v>152</v>
      </c>
      <c r="L73" s="1">
        <v>1</v>
      </c>
      <c r="M73" s="6">
        <v>150</v>
      </c>
      <c r="N73" s="1">
        <v>106.18666499232586</v>
      </c>
      <c r="O73" s="18">
        <v>159449.4296665228</v>
      </c>
      <c r="P73" s="30">
        <v>3.15</v>
      </c>
      <c r="Q73" s="1"/>
      <c r="R73" s="1"/>
      <c r="S73" s="1"/>
      <c r="T73" s="1"/>
      <c r="U73" s="1"/>
      <c r="W73" s="251">
        <f t="shared" si="30"/>
        <v>-13.066061315429879</v>
      </c>
      <c r="X73" s="118">
        <f t="shared" si="31"/>
        <v>7.4208290495537303E-9</v>
      </c>
      <c r="Y73" s="1"/>
      <c r="Z73" s="1"/>
      <c r="AA73" s="1"/>
      <c r="AB73" s="1"/>
      <c r="AC73" s="197"/>
      <c r="AD73" s="244">
        <f>'Lohman 2011'!AD73</f>
        <v>2.4517668676849045</v>
      </c>
      <c r="AE73" s="96">
        <f t="shared" si="32"/>
        <v>282.98724926513279</v>
      </c>
      <c r="AF73" s="248">
        <v>2.0999999999999998E-6</v>
      </c>
      <c r="AG73" s="22">
        <v>604.25</v>
      </c>
      <c r="AH73" s="21"/>
      <c r="AI73" s="162">
        <v>0.05</v>
      </c>
      <c r="AJ73" s="167">
        <f t="shared" si="33"/>
        <v>31.970899470899464</v>
      </c>
      <c r="AK73" s="168">
        <f t="shared" si="34"/>
        <v>2.8938641102202216E-2</v>
      </c>
      <c r="AL73" s="151">
        <f t="shared" si="56"/>
        <v>18.900000000000002</v>
      </c>
      <c r="AM73" s="177">
        <f t="shared" si="57"/>
        <v>639.41798941798925</v>
      </c>
      <c r="AN73" s="134">
        <f t="shared" si="35"/>
        <v>2.8057848505704248</v>
      </c>
      <c r="AO73" s="119">
        <f t="shared" si="36"/>
        <v>3.7896027678728365E-3</v>
      </c>
      <c r="AP73">
        <f t="shared" si="37"/>
        <v>47</v>
      </c>
      <c r="AQ73" s="124">
        <f t="shared" si="38"/>
        <v>0.77500000000000002</v>
      </c>
      <c r="AR73" s="124"/>
      <c r="AS73" s="124"/>
      <c r="AT73" s="14">
        <f t="shared" si="39"/>
        <v>1</v>
      </c>
      <c r="AZ73" s="83"/>
      <c r="BA73" s="83"/>
      <c r="BB73" s="83"/>
      <c r="BC73" s="83"/>
      <c r="BD73" s="83"/>
      <c r="BE73" s="8">
        <f t="shared" si="40"/>
        <v>8.7915701013513452</v>
      </c>
      <c r="BF73" s="16">
        <f t="shared" si="41"/>
        <v>3.6365403565382755</v>
      </c>
      <c r="BG73" s="16"/>
      <c r="BH73" s="189"/>
      <c r="BI73" s="6">
        <f t="shared" si="42"/>
        <v>7.9577395724956899E-3</v>
      </c>
      <c r="BJ73" s="151">
        <f t="shared" si="43"/>
        <v>68.730612738573427</v>
      </c>
      <c r="BK73" s="177">
        <f t="shared" si="44"/>
        <v>175.83140202702688</v>
      </c>
      <c r="BL73" s="134">
        <f t="shared" si="45"/>
        <v>2.2450964390494339</v>
      </c>
      <c r="BM73" s="119">
        <f t="shared" si="46"/>
        <v>3.7896027678728365E-3</v>
      </c>
      <c r="BN73">
        <f t="shared" si="47"/>
        <v>44</v>
      </c>
      <c r="BO73" s="124">
        <f t="shared" si="48"/>
        <v>0.72499999999999998</v>
      </c>
      <c r="BP73" s="124"/>
      <c r="BQ73" s="124"/>
      <c r="BR73" s="14">
        <f t="shared" si="49"/>
        <v>1</v>
      </c>
      <c r="BX73" s="83"/>
      <c r="BY73" s="83"/>
      <c r="BZ73" s="83"/>
      <c r="CA73" s="83"/>
      <c r="CB73" s="83"/>
      <c r="CC73" s="151"/>
      <c r="CD73" s="177">
        <f t="shared" si="50"/>
        <v>12085</v>
      </c>
      <c r="CE73" s="134">
        <f t="shared" si="51"/>
        <v>4.0822466547436695</v>
      </c>
      <c r="CF73" s="119">
        <f t="shared" si="52"/>
        <v>3.7896027678728365E-3</v>
      </c>
      <c r="CG73">
        <f t="shared" si="53"/>
        <v>33</v>
      </c>
      <c r="CH73" s="124">
        <f t="shared" si="54"/>
        <v>0.54166666666666663</v>
      </c>
      <c r="CI73" s="124"/>
      <c r="CJ73" s="124"/>
      <c r="CK73" s="14">
        <f t="shared" si="55"/>
        <v>3</v>
      </c>
      <c r="CL73" s="16"/>
    </row>
    <row r="74" spans="1:90" x14ac:dyDescent="0.2">
      <c r="A74" s="8">
        <v>89</v>
      </c>
      <c r="B74" t="s">
        <v>143</v>
      </c>
      <c r="C74">
        <v>8</v>
      </c>
      <c r="D74" s="16" t="s">
        <v>28</v>
      </c>
      <c r="E74" t="s">
        <v>27</v>
      </c>
      <c r="F74" s="14" t="s">
        <v>26</v>
      </c>
      <c r="G74" s="26" t="s">
        <v>25</v>
      </c>
      <c r="H74" s="16">
        <v>18</v>
      </c>
      <c r="I74" s="11">
        <v>201</v>
      </c>
      <c r="J74" t="s">
        <v>38</v>
      </c>
      <c r="K74" s="6" t="s">
        <v>152</v>
      </c>
      <c r="L74" s="1">
        <v>1</v>
      </c>
      <c r="M74" s="6">
        <v>150</v>
      </c>
      <c r="N74" s="1">
        <v>106.18666499232586</v>
      </c>
      <c r="O74" s="18">
        <v>159449.4296665228</v>
      </c>
      <c r="P74" s="30">
        <v>3.15</v>
      </c>
      <c r="Q74" s="1"/>
      <c r="R74" s="1"/>
      <c r="S74" s="1"/>
      <c r="T74" s="1"/>
      <c r="U74" s="1"/>
      <c r="W74" s="251">
        <f t="shared" si="30"/>
        <v>-13.40979805530726</v>
      </c>
      <c r="X74" s="118">
        <f t="shared" si="31"/>
        <v>3.3629134266297855E-9</v>
      </c>
      <c r="Y74" s="1"/>
      <c r="Z74" s="1"/>
      <c r="AA74" s="1"/>
      <c r="AB74" s="1"/>
      <c r="AC74" s="197"/>
      <c r="AD74" s="244">
        <f>'Lohman 2011'!AD74</f>
        <v>2.7955036075622859</v>
      </c>
      <c r="AE74" s="96">
        <f t="shared" si="32"/>
        <v>624.45853746064438</v>
      </c>
      <c r="AF74" s="248">
        <v>2.0999999999999998E-6</v>
      </c>
      <c r="AG74" s="22">
        <v>125</v>
      </c>
      <c r="AH74" s="21"/>
      <c r="AI74" s="162">
        <v>0.05</v>
      </c>
      <c r="AJ74" s="167">
        <f t="shared" si="33"/>
        <v>6.6137566137566104</v>
      </c>
      <c r="AK74" s="168">
        <f t="shared" si="34"/>
        <v>5.9864793343405486E-3</v>
      </c>
      <c r="AL74" s="151">
        <f t="shared" si="56"/>
        <v>18.900000000000009</v>
      </c>
      <c r="AM74" s="177">
        <f t="shared" si="57"/>
        <v>132.27513227513219</v>
      </c>
      <c r="AN74" s="134">
        <f t="shared" si="35"/>
        <v>2.1214782044987932</v>
      </c>
      <c r="AO74" s="119">
        <f t="shared" si="36"/>
        <v>7.8394761437170803E-4</v>
      </c>
      <c r="AP74">
        <f t="shared" si="37"/>
        <v>32</v>
      </c>
      <c r="AQ74" s="124">
        <f t="shared" si="38"/>
        <v>0.52500000000000002</v>
      </c>
      <c r="AR74" s="124"/>
      <c r="AS74" s="124"/>
      <c r="AT74" s="14">
        <f t="shared" si="39"/>
        <v>1</v>
      </c>
      <c r="AZ74" s="83"/>
      <c r="BA74" s="83"/>
      <c r="BB74" s="83"/>
      <c r="BC74" s="83"/>
      <c r="BD74" s="83"/>
      <c r="BE74" s="8">
        <f t="shared" si="40"/>
        <v>1.3590823470681663</v>
      </c>
      <c r="BF74" s="16">
        <f t="shared" si="41"/>
        <v>4.8663398711813981</v>
      </c>
      <c r="BG74" s="16"/>
      <c r="BH74" s="189"/>
      <c r="BI74" s="6">
        <f t="shared" si="42"/>
        <v>1.2301810997198631E-3</v>
      </c>
      <c r="BJ74" s="151">
        <f t="shared" si="43"/>
        <v>91.973823565328445</v>
      </c>
      <c r="BK74" s="177">
        <f t="shared" si="44"/>
        <v>27.181646941363326</v>
      </c>
      <c r="BL74" s="134">
        <f t="shared" si="45"/>
        <v>1.4342757671822326</v>
      </c>
      <c r="BM74" s="119">
        <f t="shared" si="46"/>
        <v>7.8394761437170803E-4</v>
      </c>
      <c r="BN74">
        <f t="shared" si="47"/>
        <v>23</v>
      </c>
      <c r="BO74" s="124">
        <f t="shared" si="48"/>
        <v>0.375</v>
      </c>
      <c r="BP74" s="124"/>
      <c r="BQ74" s="124"/>
      <c r="BR74" s="14">
        <f t="shared" si="49"/>
        <v>1</v>
      </c>
      <c r="BX74" s="83"/>
      <c r="BY74" s="83"/>
      <c r="BZ74" s="83"/>
      <c r="CA74" s="83"/>
      <c r="CB74" s="83"/>
      <c r="CC74" s="151"/>
      <c r="CD74" s="177">
        <f t="shared" si="50"/>
        <v>2500</v>
      </c>
      <c r="CE74" s="134">
        <f t="shared" si="51"/>
        <v>3.3979400086720375</v>
      </c>
      <c r="CF74" s="119">
        <f t="shared" si="52"/>
        <v>7.8394761437170803E-4</v>
      </c>
      <c r="CG74">
        <f t="shared" si="53"/>
        <v>19</v>
      </c>
      <c r="CH74" s="124">
        <f t="shared" si="54"/>
        <v>0.30833333333333335</v>
      </c>
      <c r="CI74" s="124"/>
      <c r="CJ74" s="124"/>
      <c r="CK74" s="14">
        <f t="shared" si="55"/>
        <v>3</v>
      </c>
      <c r="CL74" s="16"/>
    </row>
    <row r="75" spans="1:90" x14ac:dyDescent="0.2">
      <c r="A75" s="8">
        <v>26</v>
      </c>
      <c r="B75" t="s">
        <v>143</v>
      </c>
      <c r="C75">
        <v>2</v>
      </c>
      <c r="D75" t="s">
        <v>2</v>
      </c>
      <c r="E75" t="s">
        <v>1</v>
      </c>
      <c r="F75" s="6">
        <v>59</v>
      </c>
      <c r="G75" s="26" t="s">
        <v>29</v>
      </c>
      <c r="H75" s="1">
        <v>9</v>
      </c>
      <c r="I75" s="11">
        <v>310</v>
      </c>
      <c r="J75" s="13" t="s">
        <v>35</v>
      </c>
      <c r="K75" s="6"/>
      <c r="L75" s="1">
        <v>0.1</v>
      </c>
      <c r="M75" s="6">
        <v>70</v>
      </c>
      <c r="N75" s="1">
        <v>128.19</v>
      </c>
      <c r="O75" s="18">
        <v>31800.000000000004</v>
      </c>
      <c r="P75" s="30">
        <v>3.3</v>
      </c>
      <c r="Q75" s="1"/>
      <c r="R75" s="1"/>
      <c r="S75" s="1"/>
      <c r="T75" s="1"/>
      <c r="U75" s="1"/>
      <c r="W75" s="251">
        <f t="shared" si="30"/>
        <v>-13.837810605827778</v>
      </c>
      <c r="X75" s="118">
        <f t="shared" si="31"/>
        <v>1.2551716938620463E-9</v>
      </c>
      <c r="Y75" s="1"/>
      <c r="Z75" s="1"/>
      <c r="AA75" s="1"/>
      <c r="AB75" s="1"/>
      <c r="AC75" s="197"/>
      <c r="AD75" s="244">
        <f>'Lohman 2011'!AD75</f>
        <v>2.6002668676849043</v>
      </c>
      <c r="AE75" s="96">
        <f t="shared" si="32"/>
        <v>398.35187683491063</v>
      </c>
      <c r="AF75" s="248">
        <v>4.9999999999999998E-7</v>
      </c>
      <c r="AG75" s="22">
        <v>149.52500000000001</v>
      </c>
      <c r="AH75" s="21"/>
      <c r="AI75" s="162">
        <v>0.05</v>
      </c>
      <c r="AJ75" s="167">
        <f t="shared" si="33"/>
        <v>1.8836608717561094</v>
      </c>
      <c r="AK75" s="168">
        <f t="shared" si="34"/>
        <v>1.7050063285090869E-3</v>
      </c>
      <c r="AL75" s="151">
        <f t="shared" si="56"/>
        <v>79.380000000000024</v>
      </c>
      <c r="AM75" s="177">
        <f t="shared" si="57"/>
        <v>37.673217435122183</v>
      </c>
      <c r="AN75" s="134">
        <f t="shared" si="35"/>
        <v>1.576032712176981</v>
      </c>
      <c r="AO75" s="119">
        <f t="shared" si="36"/>
        <v>4.702044025157232E-3</v>
      </c>
      <c r="AP75">
        <f t="shared" si="37"/>
        <v>19</v>
      </c>
      <c r="AQ75" s="124">
        <f t="shared" si="38"/>
        <v>0.30833333333333335</v>
      </c>
      <c r="AR75" s="124"/>
      <c r="AS75" s="124"/>
      <c r="AT75" s="14">
        <f t="shared" si="39"/>
        <v>1</v>
      </c>
      <c r="AZ75" s="83"/>
      <c r="BA75" s="83"/>
      <c r="BB75" s="83"/>
      <c r="BC75" s="83"/>
      <c r="BD75" s="83"/>
      <c r="BE75" s="8">
        <f t="shared" si="40"/>
        <v>0.77454767577443107</v>
      </c>
      <c r="BF75" s="16">
        <f t="shared" si="41"/>
        <v>2.4319495502620057</v>
      </c>
      <c r="BG75" s="16"/>
      <c r="BH75" s="189"/>
      <c r="BI75" s="6">
        <f t="shared" si="42"/>
        <v>7.0108622455815274E-4</v>
      </c>
      <c r="BJ75" s="151">
        <f t="shared" si="43"/>
        <v>193.04815529979805</v>
      </c>
      <c r="BK75" s="177">
        <f t="shared" si="44"/>
        <v>15.49095351548862</v>
      </c>
      <c r="BL75" s="134">
        <f t="shared" si="45"/>
        <v>1.1900781507333891</v>
      </c>
      <c r="BM75" s="119">
        <f t="shared" si="46"/>
        <v>4.702044025157232E-3</v>
      </c>
      <c r="BN75">
        <f t="shared" si="47"/>
        <v>19</v>
      </c>
      <c r="BO75" s="124">
        <f t="shared" si="48"/>
        <v>0.30833333333333335</v>
      </c>
      <c r="BP75" s="124"/>
      <c r="BQ75" s="124"/>
      <c r="BR75" s="14">
        <f t="shared" si="49"/>
        <v>1</v>
      </c>
      <c r="BX75" s="83"/>
      <c r="BY75" s="83"/>
      <c r="BZ75" s="83"/>
      <c r="CA75" s="83"/>
      <c r="CB75" s="83"/>
      <c r="CC75" s="151"/>
      <c r="CD75" s="177">
        <f t="shared" si="50"/>
        <v>2990.5</v>
      </c>
      <c r="CE75" s="134">
        <f t="shared" si="51"/>
        <v>3.4757438067481257</v>
      </c>
      <c r="CF75" s="119">
        <f t="shared" si="52"/>
        <v>4.702044025157232E-3</v>
      </c>
      <c r="CG75">
        <f t="shared" si="53"/>
        <v>20</v>
      </c>
      <c r="CH75" s="124">
        <f t="shared" si="54"/>
        <v>0.32500000000000001</v>
      </c>
      <c r="CI75" s="124"/>
      <c r="CJ75" s="124"/>
      <c r="CK75" s="14">
        <f t="shared" si="55"/>
        <v>3</v>
      </c>
      <c r="CL75" s="16"/>
    </row>
    <row r="76" spans="1:90" x14ac:dyDescent="0.2">
      <c r="A76" s="8">
        <v>91</v>
      </c>
      <c r="B76" t="s">
        <v>143</v>
      </c>
      <c r="C76">
        <v>8</v>
      </c>
      <c r="D76" s="16" t="s">
        <v>28</v>
      </c>
      <c r="E76" t="s">
        <v>27</v>
      </c>
      <c r="F76" s="14" t="s">
        <v>26</v>
      </c>
      <c r="G76" s="26" t="s">
        <v>25</v>
      </c>
      <c r="H76" s="16">
        <v>18</v>
      </c>
      <c r="I76" s="11">
        <v>310</v>
      </c>
      <c r="J76" t="s">
        <v>35</v>
      </c>
      <c r="K76" s="6"/>
      <c r="L76" s="1">
        <v>0.1</v>
      </c>
      <c r="M76" s="6">
        <v>70</v>
      </c>
      <c r="N76" s="1">
        <v>128.19</v>
      </c>
      <c r="O76" s="18">
        <v>31800.000000000004</v>
      </c>
      <c r="P76" s="30">
        <v>3.3</v>
      </c>
      <c r="Q76" s="1"/>
      <c r="R76" s="1"/>
      <c r="S76" s="1"/>
      <c r="T76" s="1"/>
      <c r="U76" s="1"/>
      <c r="W76" s="251">
        <f t="shared" si="30"/>
        <v>-14.181547345705161</v>
      </c>
      <c r="X76" s="118">
        <f t="shared" si="31"/>
        <v>5.6880891795616489E-10</v>
      </c>
      <c r="Y76" s="1"/>
      <c r="Z76" s="1"/>
      <c r="AA76" s="1"/>
      <c r="AB76" s="1"/>
      <c r="AC76" s="197"/>
      <c r="AD76" s="244">
        <f>'Lohman 2011'!AD76</f>
        <v>2.9440036075622853</v>
      </c>
      <c r="AE76" s="96">
        <f t="shared" si="32"/>
        <v>879.02981865437698</v>
      </c>
      <c r="AF76" s="248">
        <v>4.9999999999999998E-7</v>
      </c>
      <c r="AG76" s="22">
        <v>13</v>
      </c>
      <c r="AH76" s="21"/>
      <c r="AI76" s="162">
        <v>0.05</v>
      </c>
      <c r="AJ76" s="167">
        <f t="shared" si="33"/>
        <v>0.16376921138825898</v>
      </c>
      <c r="AK76" s="168">
        <f t="shared" si="34"/>
        <v>1.482366311360517E-4</v>
      </c>
      <c r="AL76" s="151">
        <f t="shared" si="56"/>
        <v>79.38000000000001</v>
      </c>
      <c r="AM76" s="177">
        <f t="shared" si="57"/>
        <v>3.2753842277651795</v>
      </c>
      <c r="AN76" s="134">
        <f t="shared" si="35"/>
        <v>0.51526225339967324</v>
      </c>
      <c r="AO76" s="119">
        <f t="shared" si="36"/>
        <v>4.0880503144654083E-4</v>
      </c>
      <c r="AP76">
        <f t="shared" si="37"/>
        <v>7</v>
      </c>
      <c r="AQ76" s="124">
        <f t="shared" si="38"/>
        <v>0.10833333333333334</v>
      </c>
      <c r="AR76" s="124"/>
      <c r="AS76" s="124"/>
      <c r="AT76" s="14">
        <f t="shared" si="39"/>
        <v>1</v>
      </c>
      <c r="AZ76" s="83"/>
      <c r="BA76" s="83"/>
      <c r="BB76" s="83"/>
      <c r="BC76" s="83"/>
      <c r="BD76" s="83"/>
      <c r="BE76" s="8">
        <f t="shared" si="40"/>
        <v>5.0322669400468693E-2</v>
      </c>
      <c r="BF76" s="16">
        <f t="shared" si="41"/>
        <v>3.2543824351800721</v>
      </c>
      <c r="BG76" s="16"/>
      <c r="BH76" s="189"/>
      <c r="BI76" s="6">
        <f t="shared" si="42"/>
        <v>4.5549849806711322E-5</v>
      </c>
      <c r="BJ76" s="151">
        <f t="shared" si="43"/>
        <v>258.33287770459413</v>
      </c>
      <c r="BK76" s="177">
        <f t="shared" si="44"/>
        <v>1.0064533880093738</v>
      </c>
      <c r="BL76" s="134">
        <f t="shared" si="45"/>
        <v>2.7936661605122747E-3</v>
      </c>
      <c r="BM76" s="119">
        <f t="shared" si="46"/>
        <v>4.0880503144654083E-4</v>
      </c>
      <c r="BN76">
        <f t="shared" si="47"/>
        <v>6</v>
      </c>
      <c r="BO76" s="124">
        <f t="shared" si="48"/>
        <v>9.166666666666666E-2</v>
      </c>
      <c r="BP76" s="124"/>
      <c r="BQ76" s="124"/>
      <c r="BR76" s="14">
        <f t="shared" si="49"/>
        <v>1</v>
      </c>
      <c r="BX76" s="83"/>
      <c r="BY76" s="83"/>
      <c r="BZ76" s="83"/>
      <c r="CA76" s="83"/>
      <c r="CB76" s="83"/>
      <c r="CC76" s="151"/>
      <c r="CD76" s="177">
        <f t="shared" si="50"/>
        <v>260</v>
      </c>
      <c r="CE76" s="134">
        <f t="shared" si="51"/>
        <v>2.4149733479708178</v>
      </c>
      <c r="CF76" s="119">
        <f t="shared" si="52"/>
        <v>4.0880503144654083E-4</v>
      </c>
      <c r="CG76">
        <f t="shared" si="53"/>
        <v>9</v>
      </c>
      <c r="CH76" s="124">
        <f t="shared" si="54"/>
        <v>0.14166666666666666</v>
      </c>
      <c r="CI76" s="124"/>
      <c r="CJ76" s="124"/>
      <c r="CK76" s="14">
        <f t="shared" si="55"/>
        <v>3</v>
      </c>
      <c r="CL76" s="16"/>
    </row>
    <row r="77" spans="1:90" x14ac:dyDescent="0.2">
      <c r="A77" s="8">
        <v>67</v>
      </c>
      <c r="B77" t="s">
        <v>143</v>
      </c>
      <c r="C77">
        <v>6</v>
      </c>
      <c r="D77" t="s">
        <v>6</v>
      </c>
      <c r="E77" t="s">
        <v>5</v>
      </c>
      <c r="F77" s="9">
        <v>2</v>
      </c>
      <c r="G77" s="26" t="s">
        <v>31</v>
      </c>
      <c r="H77" s="1">
        <v>9</v>
      </c>
      <c r="I77" s="11">
        <v>-401</v>
      </c>
      <c r="J77" s="182" t="s">
        <v>34</v>
      </c>
      <c r="K77" s="6" t="s">
        <v>183</v>
      </c>
      <c r="L77" s="1">
        <v>1</v>
      </c>
      <c r="M77" s="6">
        <v>20</v>
      </c>
      <c r="N77" s="1">
        <v>167.85</v>
      </c>
      <c r="O77" s="18">
        <v>2900000</v>
      </c>
      <c r="P77" s="30">
        <v>2.39</v>
      </c>
      <c r="Q77" s="1"/>
      <c r="R77" s="1"/>
      <c r="S77" s="1"/>
      <c r="T77" s="1"/>
      <c r="U77" s="1"/>
      <c r="W77" s="251">
        <f t="shared" si="30"/>
        <v>-14.033820618835836</v>
      </c>
      <c r="X77" s="118">
        <f t="shared" si="31"/>
        <v>7.9926928461407764E-10</v>
      </c>
      <c r="Y77" s="1"/>
      <c r="Z77" s="1"/>
      <c r="AA77" s="1"/>
      <c r="AB77" s="1"/>
      <c r="AC77" s="197"/>
      <c r="AD77" s="244">
        <f>'Lohman 2011'!AD77</f>
        <v>1.6993668676849047</v>
      </c>
      <c r="AE77" s="96">
        <f t="shared" si="32"/>
        <v>50.045711464207912</v>
      </c>
      <c r="AF77" s="249">
        <f>AF51</f>
        <v>4.0000000000000001E-8</v>
      </c>
      <c r="AG77" s="22">
        <v>74</v>
      </c>
      <c r="AH77" s="21"/>
      <c r="AI77" s="162">
        <v>0.05</v>
      </c>
      <c r="AJ77" s="167">
        <f t="shared" si="33"/>
        <v>7.4577979339884096E-2</v>
      </c>
      <c r="AK77" s="168">
        <f t="shared" si="34"/>
        <v>6.7504681255802011E-5</v>
      </c>
      <c r="AL77" s="151">
        <f t="shared" si="56"/>
        <v>992.25000000000011</v>
      </c>
      <c r="AM77" s="177">
        <f t="shared" si="57"/>
        <v>1.4915595867976819</v>
      </c>
      <c r="AN77" s="134">
        <f t="shared" si="35"/>
        <v>0.17364060781575633</v>
      </c>
      <c r="AO77" s="119">
        <f t="shared" si="36"/>
        <v>2.5517241379310345E-5</v>
      </c>
      <c r="AP77">
        <f t="shared" si="37"/>
        <v>6</v>
      </c>
      <c r="AQ77" s="124">
        <f t="shared" si="38"/>
        <v>9.166666666666666E-2</v>
      </c>
      <c r="AR77" s="124"/>
      <c r="AS77" s="124"/>
      <c r="AT77" s="14">
        <f t="shared" si="39"/>
        <v>1</v>
      </c>
      <c r="AZ77" s="83"/>
      <c r="BA77" s="83"/>
      <c r="BB77" s="83"/>
      <c r="BC77" s="83"/>
      <c r="BD77" s="83"/>
      <c r="BE77" s="8">
        <f t="shared" si="40"/>
        <v>7.4577979339884096E-2</v>
      </c>
      <c r="BF77" s="16">
        <f t="shared" si="41"/>
        <v>1</v>
      </c>
      <c r="BG77" s="16"/>
      <c r="BH77" s="189"/>
      <c r="BI77" s="6">
        <f t="shared" si="42"/>
        <v>6.7504681255802011E-5</v>
      </c>
      <c r="BJ77" s="151">
        <f t="shared" si="43"/>
        <v>992.25000000000011</v>
      </c>
      <c r="BK77" s="177">
        <f t="shared" si="44"/>
        <v>1.4915595867976819</v>
      </c>
      <c r="BL77" s="134">
        <f t="shared" si="45"/>
        <v>0.17364060781575633</v>
      </c>
      <c r="BM77" s="119">
        <f t="shared" si="46"/>
        <v>2.5517241379310345E-5</v>
      </c>
      <c r="BN77">
        <f t="shared" si="47"/>
        <v>9</v>
      </c>
      <c r="BO77" s="124">
        <f t="shared" si="48"/>
        <v>0.14166666666666666</v>
      </c>
      <c r="BP77" s="124"/>
      <c r="BQ77" s="124"/>
      <c r="BR77" s="14">
        <f t="shared" si="49"/>
        <v>1</v>
      </c>
      <c r="BX77" s="83"/>
      <c r="BY77" s="83"/>
      <c r="BZ77" s="83"/>
      <c r="CA77" s="83"/>
      <c r="CB77" s="83"/>
      <c r="CC77" s="151"/>
      <c r="CD77" s="177">
        <f t="shared" si="50"/>
        <v>1480</v>
      </c>
      <c r="CE77" s="134">
        <f t="shared" si="51"/>
        <v>3.1702617153949575</v>
      </c>
      <c r="CF77" s="119">
        <f t="shared" si="52"/>
        <v>2.5517241379310345E-5</v>
      </c>
      <c r="CG77">
        <f t="shared" si="53"/>
        <v>16</v>
      </c>
      <c r="CH77" s="124">
        <f t="shared" si="54"/>
        <v>0.25833333333333336</v>
      </c>
      <c r="CI77" s="124"/>
      <c r="CJ77" s="124"/>
      <c r="CK77" s="14">
        <f t="shared" si="55"/>
        <v>3</v>
      </c>
      <c r="CL77" s="16"/>
    </row>
    <row r="78" spans="1:90" x14ac:dyDescent="0.2">
      <c r="A78" s="8">
        <v>3</v>
      </c>
      <c r="B78" t="s">
        <v>143</v>
      </c>
      <c r="C78">
        <v>1</v>
      </c>
      <c r="D78" s="23" t="s">
        <v>11</v>
      </c>
      <c r="E78" t="s">
        <v>10</v>
      </c>
      <c r="F78" s="6">
        <v>42</v>
      </c>
      <c r="G78" s="28" t="s">
        <v>33</v>
      </c>
      <c r="H78" s="1">
        <v>9</v>
      </c>
      <c r="I78" s="11">
        <v>403</v>
      </c>
      <c r="J78" t="s">
        <v>12</v>
      </c>
      <c r="K78" s="6" t="s">
        <v>153</v>
      </c>
      <c r="L78" s="1">
        <v>10</v>
      </c>
      <c r="M78" s="6">
        <v>40</v>
      </c>
      <c r="N78" s="1">
        <v>165.80749949115744</v>
      </c>
      <c r="O78" s="18">
        <v>118882.50367033854</v>
      </c>
      <c r="P78" s="30">
        <v>3.4</v>
      </c>
      <c r="Q78" s="1"/>
      <c r="R78" s="1"/>
      <c r="S78" s="1"/>
      <c r="T78" s="1"/>
      <c r="U78" s="1"/>
      <c r="W78" s="251">
        <f t="shared" si="30"/>
        <v>-13.732690623171854</v>
      </c>
      <c r="X78" s="118">
        <f t="shared" si="31"/>
        <v>1.5989066887158595E-9</v>
      </c>
      <c r="Y78" s="1"/>
      <c r="Z78" s="1"/>
      <c r="AA78" s="1"/>
      <c r="AB78" s="1"/>
      <c r="AC78" s="197"/>
      <c r="AD78" s="244">
        <f>'Lohman 2011'!AD78</f>
        <v>2.6992668676849045</v>
      </c>
      <c r="AE78" s="96">
        <f t="shared" si="32"/>
        <v>500.34189339873814</v>
      </c>
      <c r="AF78" s="248">
        <v>7.9999999999999996E-7</v>
      </c>
      <c r="AG78" s="22">
        <v>7144.6285714285714</v>
      </c>
      <c r="AH78" s="21"/>
      <c r="AI78" s="162">
        <v>0.05</v>
      </c>
      <c r="AJ78" s="167">
        <f t="shared" si="33"/>
        <v>144.0086383759853</v>
      </c>
      <c r="AK78" s="168">
        <f t="shared" si="34"/>
        <v>0.13035023632577886</v>
      </c>
      <c r="AL78" s="151">
        <f t="shared" si="56"/>
        <v>49.612500000000004</v>
      </c>
      <c r="AM78" s="177">
        <f t="shared" si="57"/>
        <v>2880.1727675197058</v>
      </c>
      <c r="AN78" s="134">
        <f t="shared" si="35"/>
        <v>3.4594185397488189</v>
      </c>
      <c r="AO78" s="119">
        <f t="shared" si="36"/>
        <v>6.0098234398231073E-2</v>
      </c>
      <c r="AP78">
        <f t="shared" si="37"/>
        <v>54</v>
      </c>
      <c r="AQ78" s="124">
        <f t="shared" si="38"/>
        <v>0.89166666666666672</v>
      </c>
      <c r="AR78" s="124"/>
      <c r="AS78" s="124"/>
      <c r="AT78" s="14">
        <f t="shared" si="39"/>
        <v>1</v>
      </c>
      <c r="AZ78" s="83"/>
      <c r="BA78" s="83"/>
      <c r="BB78" s="83"/>
      <c r="BC78" s="83"/>
      <c r="BD78" s="83"/>
      <c r="BE78" s="8">
        <f t="shared" si="40"/>
        <v>45.800388027479954</v>
      </c>
      <c r="BF78" s="16">
        <f t="shared" si="41"/>
        <v>3.1442667754164213</v>
      </c>
      <c r="BG78" s="16"/>
      <c r="BH78" s="189"/>
      <c r="BI78" s="6">
        <f t="shared" si="42"/>
        <v>4.145648115641061E-2</v>
      </c>
      <c r="BJ78" s="151">
        <f t="shared" si="43"/>
        <v>155.99493539534726</v>
      </c>
      <c r="BK78" s="177">
        <f t="shared" si="44"/>
        <v>916.00776054959908</v>
      </c>
      <c r="BL78" s="134">
        <f t="shared" si="45"/>
        <v>2.9618991530888006</v>
      </c>
      <c r="BM78" s="119">
        <f t="shared" si="46"/>
        <v>6.0098234398231073E-2</v>
      </c>
      <c r="BN78">
        <f t="shared" si="47"/>
        <v>54</v>
      </c>
      <c r="BO78" s="124">
        <f t="shared" si="48"/>
        <v>0.89166666666666672</v>
      </c>
      <c r="BP78" s="124"/>
      <c r="BQ78" s="124"/>
      <c r="BR78" s="14">
        <f t="shared" si="49"/>
        <v>1</v>
      </c>
      <c r="BX78" s="83"/>
      <c r="BY78" s="83"/>
      <c r="BZ78" s="83"/>
      <c r="CA78" s="83"/>
      <c r="CB78" s="83"/>
      <c r="CC78" s="151"/>
      <c r="CD78" s="177">
        <f t="shared" si="50"/>
        <v>142892.57142857142</v>
      </c>
      <c r="CE78" s="134">
        <f t="shared" si="51"/>
        <v>5.1550096516640389</v>
      </c>
      <c r="CF78" s="119">
        <f t="shared" si="52"/>
        <v>6.0098234398231073E-2</v>
      </c>
      <c r="CG78">
        <f t="shared" si="53"/>
        <v>55</v>
      </c>
      <c r="CH78" s="124">
        <f t="shared" si="54"/>
        <v>0.90833333333333333</v>
      </c>
      <c r="CI78" s="124"/>
      <c r="CJ78" s="124"/>
      <c r="CK78" s="14">
        <f t="shared" si="55"/>
        <v>3</v>
      </c>
      <c r="CL78" s="16"/>
    </row>
    <row r="79" spans="1:90" x14ac:dyDescent="0.2">
      <c r="A79" s="8">
        <v>23</v>
      </c>
      <c r="B79" t="s">
        <v>143</v>
      </c>
      <c r="C79">
        <v>2</v>
      </c>
      <c r="D79" t="s">
        <v>2</v>
      </c>
      <c r="E79" t="s">
        <v>1</v>
      </c>
      <c r="F79" s="6">
        <v>59</v>
      </c>
      <c r="G79" s="26" t="s">
        <v>29</v>
      </c>
      <c r="H79" s="1">
        <v>9</v>
      </c>
      <c r="I79" s="11">
        <v>204</v>
      </c>
      <c r="J79" s="13" t="s">
        <v>32</v>
      </c>
      <c r="K79" s="6" t="s">
        <v>184</v>
      </c>
      <c r="L79" s="1">
        <v>1</v>
      </c>
      <c r="M79" s="6">
        <v>1000</v>
      </c>
      <c r="N79" s="1">
        <v>92.14249284505685</v>
      </c>
      <c r="O79" s="18">
        <v>610591.05234897148</v>
      </c>
      <c r="P79" s="30">
        <v>2.73</v>
      </c>
      <c r="Q79" s="1"/>
      <c r="R79" s="1"/>
      <c r="S79" s="1"/>
      <c r="T79" s="1"/>
      <c r="U79" s="1"/>
      <c r="W79" s="251">
        <f t="shared" si="30"/>
        <v>-12.893299364116173</v>
      </c>
      <c r="X79" s="118">
        <f t="shared" si="31"/>
        <v>1.1046237546077841E-8</v>
      </c>
      <c r="Y79" s="1"/>
      <c r="Z79" s="1"/>
      <c r="AA79" s="1"/>
      <c r="AB79" s="1"/>
      <c r="AC79" s="197"/>
      <c r="AD79" s="244">
        <f>'Lohman 2011'!AD79</f>
        <v>2.0359668676849045</v>
      </c>
      <c r="AE79" s="96">
        <f t="shared" si="32"/>
        <v>108.63427433950855</v>
      </c>
      <c r="AF79" s="248">
        <v>1.1999999999999999E-6</v>
      </c>
      <c r="AG79" s="22">
        <v>47.274999999999999</v>
      </c>
      <c r="AH79" s="21"/>
      <c r="AI79" s="162">
        <v>0.05</v>
      </c>
      <c r="AJ79" s="167">
        <f t="shared" si="33"/>
        <v>1.4293272864701432</v>
      </c>
      <c r="AK79" s="168">
        <f t="shared" si="34"/>
        <v>1.2937637052843403E-3</v>
      </c>
      <c r="AL79" s="151">
        <f t="shared" si="56"/>
        <v>33.07500000000001</v>
      </c>
      <c r="AM79" s="177">
        <f t="shared" si="57"/>
        <v>28.586545729402861</v>
      </c>
      <c r="AN79" s="134">
        <f t="shared" si="35"/>
        <v>1.4561616803215198</v>
      </c>
      <c r="AO79" s="119">
        <f t="shared" si="36"/>
        <v>7.7424979973307712E-5</v>
      </c>
      <c r="AP79">
        <f t="shared" si="37"/>
        <v>17</v>
      </c>
      <c r="AQ79" s="124">
        <f t="shared" si="38"/>
        <v>0.27500000000000002</v>
      </c>
      <c r="AR79" s="124"/>
      <c r="AS79" s="124"/>
      <c r="AT79" s="14">
        <f t="shared" si="39"/>
        <v>1</v>
      </c>
      <c r="AZ79" s="83"/>
      <c r="BA79" s="83"/>
      <c r="BB79" s="83"/>
      <c r="BC79" s="83"/>
      <c r="BD79" s="83"/>
      <c r="BE79" s="8">
        <f t="shared" si="40"/>
        <v>0.68696072960628429</v>
      </c>
      <c r="BF79" s="16">
        <f t="shared" si="41"/>
        <v>2.0806535583035868</v>
      </c>
      <c r="BG79" s="16"/>
      <c r="BH79" s="189"/>
      <c r="BI79" s="6">
        <f t="shared" si="42"/>
        <v>6.2180640314727894E-4</v>
      </c>
      <c r="BJ79" s="151">
        <f t="shared" si="43"/>
        <v>68.817616440891129</v>
      </c>
      <c r="BK79" s="177">
        <f t="shared" si="44"/>
        <v>13.739214592125686</v>
      </c>
      <c r="BL79" s="134">
        <f t="shared" si="45"/>
        <v>1.1379619068097626</v>
      </c>
      <c r="BM79" s="119">
        <f t="shared" si="46"/>
        <v>7.7424979973307712E-5</v>
      </c>
      <c r="BN79">
        <f t="shared" si="47"/>
        <v>17</v>
      </c>
      <c r="BO79" s="124">
        <f t="shared" si="48"/>
        <v>0.27500000000000002</v>
      </c>
      <c r="BP79" s="124"/>
      <c r="BQ79" s="124"/>
      <c r="BR79" s="14">
        <f t="shared" si="49"/>
        <v>1</v>
      </c>
      <c r="BX79" s="83"/>
      <c r="BY79" s="83"/>
      <c r="BZ79" s="83"/>
      <c r="CA79" s="83"/>
      <c r="CB79" s="83"/>
      <c r="CC79" s="151"/>
      <c r="CD79" s="177">
        <f t="shared" si="50"/>
        <v>945.49999999999989</v>
      </c>
      <c r="CE79" s="134">
        <f t="shared" si="51"/>
        <v>2.9756615331810585</v>
      </c>
      <c r="CF79" s="119">
        <f t="shared" si="52"/>
        <v>7.7424979973307712E-5</v>
      </c>
      <c r="CG79">
        <f t="shared" si="53"/>
        <v>15</v>
      </c>
      <c r="CH79" s="124">
        <f t="shared" si="54"/>
        <v>0.24166666666666667</v>
      </c>
      <c r="CI79" s="124"/>
      <c r="CJ79" s="124"/>
      <c r="CK79" s="14">
        <f t="shared" si="55"/>
        <v>3</v>
      </c>
      <c r="CL79" s="16"/>
    </row>
    <row r="80" spans="1:90" x14ac:dyDescent="0.2">
      <c r="A80" s="8">
        <v>88</v>
      </c>
      <c r="B80" t="s">
        <v>143</v>
      </c>
      <c r="C80">
        <v>8</v>
      </c>
      <c r="D80" s="16" t="s">
        <v>28</v>
      </c>
      <c r="E80" t="s">
        <v>27</v>
      </c>
      <c r="F80" s="14" t="s">
        <v>26</v>
      </c>
      <c r="G80" s="26" t="s">
        <v>25</v>
      </c>
      <c r="H80" s="16">
        <v>18</v>
      </c>
      <c r="I80" s="11">
        <v>204</v>
      </c>
      <c r="J80" t="s">
        <v>32</v>
      </c>
      <c r="K80" s="6" t="s">
        <v>184</v>
      </c>
      <c r="L80" s="1">
        <v>1</v>
      </c>
      <c r="M80" s="6">
        <v>1000</v>
      </c>
      <c r="N80" s="1">
        <v>92.14249284505685</v>
      </c>
      <c r="O80" s="18">
        <v>610591.05234897148</v>
      </c>
      <c r="P80" s="30">
        <v>2.73</v>
      </c>
      <c r="Q80" s="1"/>
      <c r="R80" s="1"/>
      <c r="S80" s="1"/>
      <c r="T80" s="1"/>
      <c r="U80" s="1"/>
      <c r="W80" s="251">
        <f t="shared" si="30"/>
        <v>-13.237036103993555</v>
      </c>
      <c r="X80" s="118">
        <f t="shared" si="31"/>
        <v>5.0058477711033128E-9</v>
      </c>
      <c r="Y80" s="1"/>
      <c r="Z80" s="1"/>
      <c r="AA80" s="1"/>
      <c r="AB80" s="1"/>
      <c r="AC80" s="197"/>
      <c r="AD80" s="244">
        <f>'Lohman 2011'!AD80</f>
        <v>2.3797036075622859</v>
      </c>
      <c r="AE80" s="96">
        <f t="shared" si="32"/>
        <v>239.71963488923959</v>
      </c>
      <c r="AF80" s="248">
        <v>1.1999999999999999E-6</v>
      </c>
      <c r="AG80" s="22">
        <v>1.1000000000000001</v>
      </c>
      <c r="AH80" s="21"/>
      <c r="AI80" s="162">
        <v>0.05</v>
      </c>
      <c r="AJ80" s="167">
        <f t="shared" si="33"/>
        <v>3.3257747543461821E-2</v>
      </c>
      <c r="AK80" s="168">
        <f t="shared" si="34"/>
        <v>3.0103438938398191E-5</v>
      </c>
      <c r="AL80" s="151">
        <f t="shared" si="56"/>
        <v>33.07500000000001</v>
      </c>
      <c r="AM80" s="177">
        <f t="shared" si="57"/>
        <v>0.66515495086923637</v>
      </c>
      <c r="AN80" s="134">
        <f t="shared" si="35"/>
        <v>-0.17707717203733248</v>
      </c>
      <c r="AO80" s="119">
        <f t="shared" si="36"/>
        <v>1.8015331141330194E-6</v>
      </c>
      <c r="AP80">
        <f t="shared" si="37"/>
        <v>2</v>
      </c>
      <c r="AQ80" s="124">
        <f t="shared" si="38"/>
        <v>2.5000000000000001E-2</v>
      </c>
      <c r="AR80" s="124"/>
      <c r="AS80" s="124"/>
      <c r="AT80" s="14">
        <f t="shared" si="39"/>
        <v>3</v>
      </c>
      <c r="AZ80" s="83"/>
      <c r="BA80" s="83"/>
      <c r="BB80" s="83"/>
      <c r="BC80" s="83"/>
      <c r="BD80" s="83"/>
      <c r="BE80" s="8">
        <f t="shared" si="40"/>
        <v>1.1944804140323173E-2</v>
      </c>
      <c r="BF80" s="16">
        <f t="shared" si="41"/>
        <v>2.7842857155933252</v>
      </c>
      <c r="BG80" s="16"/>
      <c r="BH80" s="189"/>
      <c r="BI80" s="6">
        <f t="shared" si="42"/>
        <v>1.0811907258585067E-5</v>
      </c>
      <c r="BJ80" s="151">
        <f t="shared" si="43"/>
        <v>92.09025004324927</v>
      </c>
      <c r="BK80" s="177">
        <f t="shared" si="44"/>
        <v>0.23889608280646346</v>
      </c>
      <c r="BL80" s="134">
        <f t="shared" si="45"/>
        <v>-0.62179097134465899</v>
      </c>
      <c r="BM80" s="119">
        <f t="shared" si="46"/>
        <v>1.8015331141330194E-6</v>
      </c>
      <c r="BN80">
        <f t="shared" si="47"/>
        <v>1</v>
      </c>
      <c r="BO80" s="124">
        <f t="shared" si="48"/>
        <v>8.3333333333333332E-3</v>
      </c>
      <c r="BP80" s="124"/>
      <c r="BQ80" s="124"/>
      <c r="BR80" s="14">
        <f t="shared" si="49"/>
        <v>3</v>
      </c>
      <c r="BX80" s="83"/>
      <c r="BY80" s="83"/>
      <c r="BZ80" s="83"/>
      <c r="CA80" s="83"/>
      <c r="CB80" s="83"/>
      <c r="CC80" s="151"/>
      <c r="CD80" s="177">
        <f t="shared" si="50"/>
        <v>22</v>
      </c>
      <c r="CE80" s="134">
        <f t="shared" si="51"/>
        <v>1.3424226808222062</v>
      </c>
      <c r="CF80" s="119">
        <f t="shared" si="52"/>
        <v>1.8015331141330194E-6</v>
      </c>
      <c r="CG80">
        <f t="shared" si="53"/>
        <v>1</v>
      </c>
      <c r="CH80" s="124">
        <f t="shared" si="54"/>
        <v>8.3333333333333332E-3</v>
      </c>
      <c r="CI80" s="124"/>
      <c r="CJ80" s="124"/>
      <c r="CK80" s="14">
        <f t="shared" si="55"/>
        <v>3</v>
      </c>
      <c r="CL80" s="16"/>
    </row>
    <row r="81" spans="1:90" x14ac:dyDescent="0.2">
      <c r="A81" s="8">
        <v>68</v>
      </c>
      <c r="B81" t="s">
        <v>143</v>
      </c>
      <c r="C81">
        <v>6</v>
      </c>
      <c r="D81" t="s">
        <v>6</v>
      </c>
      <c r="E81" t="s">
        <v>5</v>
      </c>
      <c r="F81" s="9">
        <v>2</v>
      </c>
      <c r="G81" s="26" t="s">
        <v>31</v>
      </c>
      <c r="H81" s="1">
        <v>9</v>
      </c>
      <c r="I81" s="11">
        <v>406</v>
      </c>
      <c r="J81" t="s">
        <v>30</v>
      </c>
      <c r="K81" s="6"/>
      <c r="L81" s="1">
        <v>0.1</v>
      </c>
      <c r="M81" s="6">
        <v>5</v>
      </c>
      <c r="N81" s="1">
        <v>62.5</v>
      </c>
      <c r="O81" s="18">
        <v>428000</v>
      </c>
      <c r="P81" s="30">
        <v>1.52</v>
      </c>
      <c r="Q81" s="1"/>
      <c r="R81" s="1"/>
      <c r="S81" s="1"/>
      <c r="T81" s="1"/>
      <c r="U81" s="1"/>
      <c r="W81" s="251">
        <f t="shared" si="30"/>
        <v>-11.774580610163797</v>
      </c>
      <c r="X81" s="118">
        <f t="shared" si="31"/>
        <v>1.4518880553013248E-7</v>
      </c>
      <c r="Y81" s="1"/>
      <c r="Z81" s="1"/>
      <c r="AA81" s="1"/>
      <c r="AB81" s="1"/>
      <c r="AC81" s="197"/>
      <c r="AD81" s="244">
        <f>'Lohman 2011'!AD81</f>
        <v>0.83806686768490424</v>
      </c>
      <c r="AE81" s="96">
        <f t="shared" si="32"/>
        <v>6.8875833529222055</v>
      </c>
      <c r="AF81" s="248">
        <v>9.9999999999999995E-7</v>
      </c>
      <c r="AG81" s="22">
        <v>97</v>
      </c>
      <c r="AH81" s="21"/>
      <c r="AI81" s="162">
        <v>0.05</v>
      </c>
      <c r="AJ81" s="167">
        <f t="shared" si="33"/>
        <v>2.4439405391786337</v>
      </c>
      <c r="AK81" s="168">
        <f t="shared" si="34"/>
        <v>2.2121466492610793E-3</v>
      </c>
      <c r="AL81" s="151">
        <f t="shared" si="56"/>
        <v>39.690000000000012</v>
      </c>
      <c r="AM81" s="177">
        <f t="shared" si="57"/>
        <v>48.878810783572675</v>
      </c>
      <c r="AN81" s="134">
        <f t="shared" si="35"/>
        <v>1.6891206310230624</v>
      </c>
      <c r="AO81" s="119">
        <f t="shared" si="36"/>
        <v>2.2663551401869158E-4</v>
      </c>
      <c r="AP81">
        <f t="shared" si="37"/>
        <v>22</v>
      </c>
      <c r="AQ81" s="124">
        <f t="shared" si="38"/>
        <v>0.35833333333333334</v>
      </c>
      <c r="AR81" s="124"/>
      <c r="AS81" s="124"/>
      <c r="AT81" s="14">
        <f t="shared" si="39"/>
        <v>1</v>
      </c>
      <c r="AZ81" s="83"/>
      <c r="BA81" s="83"/>
      <c r="BB81" s="83"/>
      <c r="BC81" s="83"/>
      <c r="BD81" s="83"/>
      <c r="BE81" s="8">
        <f t="shared" si="40"/>
        <v>2.4439405391786337</v>
      </c>
      <c r="BF81" s="16">
        <f t="shared" si="41"/>
        <v>1</v>
      </c>
      <c r="BG81" s="16"/>
      <c r="BH81" s="189"/>
      <c r="BI81" s="6">
        <f t="shared" si="42"/>
        <v>2.2121466492610793E-3</v>
      </c>
      <c r="BJ81" s="151">
        <f t="shared" si="43"/>
        <v>39.690000000000012</v>
      </c>
      <c r="BK81" s="177">
        <f t="shared" si="44"/>
        <v>48.878810783572675</v>
      </c>
      <c r="BL81" s="134">
        <f t="shared" si="45"/>
        <v>1.6891206310230624</v>
      </c>
      <c r="BM81" s="119">
        <f t="shared" si="46"/>
        <v>2.2663551401869158E-4</v>
      </c>
      <c r="BN81">
        <f t="shared" si="47"/>
        <v>29</v>
      </c>
      <c r="BO81" s="124">
        <f t="shared" si="48"/>
        <v>0.47499999999999998</v>
      </c>
      <c r="BP81" s="124"/>
      <c r="BQ81" s="124"/>
      <c r="BR81" s="14">
        <f t="shared" si="49"/>
        <v>1</v>
      </c>
      <c r="BX81" s="83"/>
      <c r="BY81" s="83"/>
      <c r="BZ81" s="83"/>
      <c r="CA81" s="83"/>
      <c r="CB81" s="83"/>
      <c r="CC81" s="151"/>
      <c r="CD81" s="177">
        <f t="shared" si="50"/>
        <v>1940</v>
      </c>
      <c r="CE81" s="134">
        <f t="shared" si="51"/>
        <v>3.287801729930226</v>
      </c>
      <c r="CF81" s="119">
        <f t="shared" si="52"/>
        <v>2.2663551401869158E-4</v>
      </c>
      <c r="CG81">
        <f t="shared" si="53"/>
        <v>17</v>
      </c>
      <c r="CH81" s="124">
        <f t="shared" si="54"/>
        <v>0.27500000000000002</v>
      </c>
      <c r="CI81" s="124"/>
      <c r="CJ81" s="124"/>
      <c r="CK81" s="14">
        <f t="shared" si="55"/>
        <v>3</v>
      </c>
      <c r="CL81" s="16"/>
    </row>
    <row r="82" spans="1:90" x14ac:dyDescent="0.2">
      <c r="A82" s="8">
        <v>25</v>
      </c>
      <c r="B82" t="s">
        <v>143</v>
      </c>
      <c r="C82">
        <v>2</v>
      </c>
      <c r="D82" t="s">
        <v>2</v>
      </c>
      <c r="E82" t="s">
        <v>1</v>
      </c>
      <c r="F82" s="6">
        <v>59</v>
      </c>
      <c r="G82" s="26" t="s">
        <v>29</v>
      </c>
      <c r="H82" s="1">
        <v>9</v>
      </c>
      <c r="I82" s="11">
        <v>-200</v>
      </c>
      <c r="J82" s="13" t="s">
        <v>24</v>
      </c>
      <c r="K82" s="6" t="s">
        <v>154</v>
      </c>
      <c r="L82" s="1">
        <v>1</v>
      </c>
      <c r="M82" s="6">
        <v>70</v>
      </c>
      <c r="N82" s="1">
        <v>106.18777634762812</v>
      </c>
      <c r="O82" s="18">
        <v>209092.85927557945</v>
      </c>
      <c r="P82" s="30">
        <v>3.1566666666666667</v>
      </c>
      <c r="Q82" s="1"/>
      <c r="R82" s="1"/>
      <c r="S82" s="1"/>
      <c r="T82" s="1"/>
      <c r="U82" s="1"/>
      <c r="W82" s="251">
        <f t="shared" si="30"/>
        <v>-13.07266131542988</v>
      </c>
      <c r="X82" s="118">
        <f t="shared" si="31"/>
        <v>7.3089068515658889E-9</v>
      </c>
      <c r="Y82" s="1"/>
      <c r="Z82" s="1"/>
      <c r="AA82" s="1"/>
      <c r="AB82" s="1"/>
      <c r="AC82" s="197"/>
      <c r="AD82" s="244">
        <f>'Lohman 2011'!AD82</f>
        <v>2.4583668676849046</v>
      </c>
      <c r="AE82" s="96">
        <f t="shared" si="32"/>
        <v>287.32066814479754</v>
      </c>
      <c r="AF82" s="249">
        <f>AF73</f>
        <v>2.0999999999999998E-6</v>
      </c>
      <c r="AG82" s="22">
        <v>2638</v>
      </c>
      <c r="AH82" s="21"/>
      <c r="AI82" s="162">
        <v>0.05</v>
      </c>
      <c r="AJ82" s="167">
        <f t="shared" si="33"/>
        <v>139.57671957671954</v>
      </c>
      <c r="AK82" s="168">
        <f t="shared" si="34"/>
        <v>0.12633865987192294</v>
      </c>
      <c r="AL82" s="151">
        <f t="shared" si="56"/>
        <v>18.900000000000006</v>
      </c>
      <c r="AM82" s="177">
        <f t="shared" si="57"/>
        <v>2791.5343915343906</v>
      </c>
      <c r="AN82" s="134">
        <f t="shared" si="35"/>
        <v>3.4458429827010835</v>
      </c>
      <c r="AO82" s="119">
        <f t="shared" si="36"/>
        <v>1.2616404066306149E-2</v>
      </c>
      <c r="AP82">
        <f t="shared" si="37"/>
        <v>53</v>
      </c>
      <c r="AQ82" s="124">
        <f t="shared" si="38"/>
        <v>0.875</v>
      </c>
      <c r="AR82" s="124"/>
      <c r="AS82" s="124"/>
      <c r="AT82" s="14">
        <f t="shared" si="39"/>
        <v>1</v>
      </c>
      <c r="AZ82" s="83"/>
      <c r="BA82" s="83"/>
      <c r="BB82" s="83"/>
      <c r="BC82" s="83"/>
      <c r="BD82" s="83"/>
      <c r="BE82" s="8">
        <f t="shared" si="40"/>
        <v>38.167649249251205</v>
      </c>
      <c r="BF82" s="16">
        <f t="shared" si="41"/>
        <v>3.6569378078598289</v>
      </c>
      <c r="BG82" s="16"/>
      <c r="BH82" s="189"/>
      <c r="BI82" s="6">
        <f t="shared" si="42"/>
        <v>3.454766433281535E-2</v>
      </c>
      <c r="BJ82" s="151">
        <f t="shared" si="43"/>
        <v>69.116124568550774</v>
      </c>
      <c r="BK82" s="177">
        <f t="shared" si="44"/>
        <v>763.35298498502402</v>
      </c>
      <c r="BL82" s="134">
        <f t="shared" si="45"/>
        <v>2.8827254081800926</v>
      </c>
      <c r="BM82" s="119">
        <f t="shared" si="46"/>
        <v>1.2616404066306149E-2</v>
      </c>
      <c r="BN82">
        <f t="shared" si="47"/>
        <v>53</v>
      </c>
      <c r="BO82" s="124">
        <f t="shared" si="48"/>
        <v>0.875</v>
      </c>
      <c r="BP82" s="124"/>
      <c r="BQ82" s="124"/>
      <c r="BR82" s="14">
        <f t="shared" si="49"/>
        <v>1</v>
      </c>
      <c r="BX82" s="83"/>
      <c r="BY82" s="83"/>
      <c r="BZ82" s="83"/>
      <c r="CA82" s="83"/>
      <c r="CB82" s="83"/>
      <c r="CC82" s="151"/>
      <c r="CD82" s="177">
        <f t="shared" si="50"/>
        <v>52760</v>
      </c>
      <c r="CE82" s="134">
        <f t="shared" si="51"/>
        <v>4.7223047868743278</v>
      </c>
      <c r="CF82" s="119">
        <f t="shared" si="52"/>
        <v>1.2616404066306149E-2</v>
      </c>
      <c r="CG82">
        <f t="shared" si="53"/>
        <v>43</v>
      </c>
      <c r="CH82" s="124">
        <f t="shared" si="54"/>
        <v>0.70833333333333337</v>
      </c>
      <c r="CI82" s="124"/>
      <c r="CJ82" s="124"/>
      <c r="CK82" s="14">
        <f t="shared" si="55"/>
        <v>3</v>
      </c>
      <c r="CL82" s="16"/>
    </row>
    <row r="83" spans="1:90" x14ac:dyDescent="0.2">
      <c r="A83" s="8">
        <v>90</v>
      </c>
      <c r="B83" t="s">
        <v>143</v>
      </c>
      <c r="C83">
        <v>8</v>
      </c>
      <c r="D83" s="16" t="s">
        <v>28</v>
      </c>
      <c r="E83" t="s">
        <v>27</v>
      </c>
      <c r="F83" s="14" t="s">
        <v>26</v>
      </c>
      <c r="G83" s="26" t="s">
        <v>25</v>
      </c>
      <c r="H83" s="16">
        <v>18</v>
      </c>
      <c r="I83" s="11">
        <v>-200</v>
      </c>
      <c r="J83" t="s">
        <v>24</v>
      </c>
      <c r="K83" s="6" t="s">
        <v>154</v>
      </c>
      <c r="L83" s="1">
        <v>1</v>
      </c>
      <c r="M83" s="6">
        <v>70</v>
      </c>
      <c r="N83" s="1">
        <v>106.18777634762812</v>
      </c>
      <c r="O83" s="18">
        <v>209092.85927557945</v>
      </c>
      <c r="P83" s="30">
        <v>3.1566666666666667</v>
      </c>
      <c r="Q83" s="1"/>
      <c r="R83" s="1"/>
      <c r="S83" s="1"/>
      <c r="T83" s="1"/>
      <c r="U83" s="1"/>
      <c r="W83" s="251">
        <f t="shared" si="30"/>
        <v>-13.41639805530726</v>
      </c>
      <c r="X83" s="118">
        <f t="shared" si="31"/>
        <v>3.3121933979324763E-9</v>
      </c>
      <c r="Y83" s="1"/>
      <c r="Z83" s="1"/>
      <c r="AA83" s="1"/>
      <c r="AB83" s="1"/>
      <c r="AC83" s="197"/>
      <c r="AD83" s="244">
        <f>'Lohman 2011'!AD83</f>
        <v>2.8021036075622856</v>
      </c>
      <c r="AE83" s="96">
        <f t="shared" si="32"/>
        <v>634.02094856865938</v>
      </c>
      <c r="AF83" s="249">
        <f>AF73</f>
        <v>2.0999999999999998E-6</v>
      </c>
      <c r="AG83" s="22">
        <v>255.10499999999999</v>
      </c>
      <c r="AH83" s="21"/>
      <c r="AI83" s="162">
        <v>0.05</v>
      </c>
      <c r="AJ83" s="167">
        <f t="shared" si="33"/>
        <v>13.497619047619041</v>
      </c>
      <c r="AK83" s="168">
        <f t="shared" si="34"/>
        <v>1.2217446484695565E-2</v>
      </c>
      <c r="AL83" s="151">
        <f t="shared" si="56"/>
        <v>18.900000000000009</v>
      </c>
      <c r="AM83" s="177">
        <f t="shared" si="57"/>
        <v>269.95238095238079</v>
      </c>
      <c r="AN83" s="134">
        <f t="shared" si="35"/>
        <v>2.4312871622570507</v>
      </c>
      <c r="AO83" s="119">
        <f t="shared" si="36"/>
        <v>1.2200560118783284E-3</v>
      </c>
      <c r="AP83">
        <f t="shared" si="37"/>
        <v>40</v>
      </c>
      <c r="AQ83" s="124">
        <f t="shared" si="38"/>
        <v>0.65833333333333333</v>
      </c>
      <c r="AR83" s="124"/>
      <c r="AS83" s="124"/>
      <c r="AT83" s="14">
        <f t="shared" si="39"/>
        <v>1</v>
      </c>
      <c r="AZ83" s="83"/>
      <c r="BA83" s="83"/>
      <c r="BB83" s="83"/>
      <c r="BC83" s="83"/>
      <c r="BD83" s="83"/>
      <c r="BE83" s="8">
        <f t="shared" si="40"/>
        <v>2.7581988069194709</v>
      </c>
      <c r="BF83" s="16">
        <f t="shared" si="41"/>
        <v>4.893635300601856</v>
      </c>
      <c r="BG83" s="16"/>
      <c r="BH83" s="189"/>
      <c r="BI83" s="6">
        <f t="shared" si="42"/>
        <v>2.4965993038330776E-3</v>
      </c>
      <c r="BJ83" s="151">
        <f t="shared" si="43"/>
        <v>92.489707181375081</v>
      </c>
      <c r="BK83" s="177">
        <f t="shared" si="44"/>
        <v>55.163976138389415</v>
      </c>
      <c r="BL83" s="134">
        <f t="shared" si="45"/>
        <v>1.7416555619404903</v>
      </c>
      <c r="BM83" s="119">
        <f t="shared" si="46"/>
        <v>1.2200560118783284E-3</v>
      </c>
      <c r="BN83">
        <f t="shared" si="47"/>
        <v>30</v>
      </c>
      <c r="BO83" s="124">
        <f t="shared" si="48"/>
        <v>0.49166666666666664</v>
      </c>
      <c r="BP83" s="124"/>
      <c r="BQ83" s="124"/>
      <c r="BR83" s="14">
        <f t="shared" si="49"/>
        <v>1</v>
      </c>
      <c r="BX83" s="83"/>
      <c r="BY83" s="83"/>
      <c r="BZ83" s="83"/>
      <c r="CA83" s="83"/>
      <c r="CB83" s="83"/>
      <c r="CC83" s="151"/>
      <c r="CD83" s="177">
        <f t="shared" si="50"/>
        <v>5102.0999999999995</v>
      </c>
      <c r="CE83" s="134">
        <f t="shared" si="51"/>
        <v>3.7077489664302949</v>
      </c>
      <c r="CF83" s="119">
        <f t="shared" si="52"/>
        <v>1.2200560118783284E-3</v>
      </c>
      <c r="CG83">
        <f t="shared" si="53"/>
        <v>26</v>
      </c>
      <c r="CH83" s="124">
        <f t="shared" si="54"/>
        <v>0.42499999999999999</v>
      </c>
      <c r="CI83" s="124"/>
      <c r="CJ83" s="124"/>
      <c r="CK83" s="14">
        <f t="shared" si="55"/>
        <v>3</v>
      </c>
      <c r="CL83" s="16"/>
    </row>
    <row r="84" spans="1:90" x14ac:dyDescent="0.2">
      <c r="A84" s="8"/>
      <c r="F84" s="9"/>
      <c r="I84" s="8"/>
      <c r="K84" s="14"/>
      <c r="M84" s="9"/>
      <c r="N84" s="16"/>
      <c r="O84" s="16"/>
      <c r="X84" s="19"/>
      <c r="AF84" s="13"/>
      <c r="AG84" s="10"/>
      <c r="AH84" s="8"/>
      <c r="AJ84" s="167"/>
      <c r="AK84" s="168"/>
      <c r="AL84" s="8"/>
      <c r="AM84" s="92"/>
      <c r="AN84" s="97"/>
      <c r="AO84" s="97"/>
      <c r="AP84"/>
      <c r="AQ84"/>
      <c r="AR84"/>
      <c r="AT84" s="6"/>
      <c r="BE84" s="167"/>
      <c r="BF84" s="3"/>
      <c r="BG84" s="3"/>
      <c r="BH84" s="3"/>
      <c r="BI84" s="168"/>
      <c r="BJ84" s="8"/>
      <c r="BK84" s="92"/>
      <c r="BL84" s="97"/>
      <c r="BM84" s="97"/>
      <c r="BN84"/>
      <c r="BO84"/>
      <c r="BP84"/>
      <c r="BR84" s="6"/>
      <c r="CC84" s="8"/>
      <c r="CD84" s="92"/>
      <c r="CE84" s="97"/>
      <c r="CF84" s="97"/>
      <c r="CG84"/>
      <c r="CH84"/>
      <c r="CI84"/>
      <c r="CK84" s="6"/>
      <c r="CL84" s="1"/>
    </row>
    <row r="85" spans="1:90" x14ac:dyDescent="0.2">
      <c r="A85" s="12" t="s">
        <v>45</v>
      </c>
      <c r="F85" s="9"/>
      <c r="I85" s="8"/>
      <c r="K85" s="14"/>
      <c r="M85" s="9"/>
      <c r="N85" s="16"/>
      <c r="O85" s="16"/>
      <c r="X85" s="19"/>
      <c r="AF85" s="13"/>
      <c r="AG85" s="10"/>
      <c r="AH85" s="8"/>
      <c r="AJ85" s="167"/>
      <c r="AK85" s="168"/>
      <c r="AL85" s="8"/>
      <c r="AM85" s="92"/>
      <c r="AN85" s="97"/>
      <c r="AO85" s="97"/>
      <c r="AP85"/>
      <c r="AQ85"/>
      <c r="AR85"/>
      <c r="AT85" s="6"/>
      <c r="BE85" s="167"/>
      <c r="BF85" s="188"/>
      <c r="BG85" s="189"/>
      <c r="BH85" s="189"/>
      <c r="BI85" s="168"/>
      <c r="BJ85" s="8"/>
      <c r="BK85" s="92"/>
      <c r="BL85" s="97"/>
      <c r="BM85" s="97"/>
      <c r="BN85"/>
      <c r="BO85"/>
      <c r="BP85"/>
      <c r="BR85" s="6"/>
      <c r="CC85" s="8"/>
      <c r="CD85" s="92"/>
      <c r="CE85" s="97"/>
      <c r="CF85" s="97"/>
      <c r="CG85"/>
      <c r="CH85"/>
      <c r="CI85"/>
      <c r="CK85" s="6"/>
      <c r="CL85" s="1"/>
    </row>
    <row r="86" spans="1:90" x14ac:dyDescent="0.2">
      <c r="A86" s="8"/>
      <c r="B86" t="s">
        <v>149</v>
      </c>
      <c r="C86">
        <v>1</v>
      </c>
      <c r="D86" t="s">
        <v>138</v>
      </c>
      <c r="F86" s="9"/>
      <c r="G86" t="s">
        <v>111</v>
      </c>
      <c r="H86" s="1">
        <v>14</v>
      </c>
      <c r="I86" s="8">
        <v>403</v>
      </c>
      <c r="J86" t="s">
        <v>14</v>
      </c>
      <c r="K86" s="9"/>
      <c r="L86" s="1">
        <v>10</v>
      </c>
      <c r="M86" s="6">
        <v>40</v>
      </c>
      <c r="N86" s="1">
        <v>165.80749949115744</v>
      </c>
      <c r="O86" s="18">
        <v>118882.50367033854</v>
      </c>
      <c r="P86" s="30">
        <v>3.4</v>
      </c>
      <c r="R86" s="1"/>
      <c r="S86" s="1"/>
      <c r="T86" s="1"/>
      <c r="U86" s="1"/>
      <c r="W86" s="251">
        <f t="shared" ref="W86:W88" si="58">LOG(X86/(24*60*60))</f>
        <v>-13.926317009746221</v>
      </c>
      <c r="X86" s="118">
        <f t="shared" ref="X86:X88" si="59">AF86/AE86</f>
        <v>1.0237566427282099E-9</v>
      </c>
      <c r="Y86" s="1"/>
      <c r="Z86" s="1"/>
      <c r="AA86" s="1"/>
      <c r="AB86" s="1"/>
      <c r="AC86" s="197"/>
      <c r="AD86" s="244">
        <f>'Lohman 2011'!AD86</f>
        <v>2.8928932542592714</v>
      </c>
      <c r="AE86" s="96">
        <f t="shared" ref="AE86:AE88" si="60">10^AD86</f>
        <v>781.43571099873827</v>
      </c>
      <c r="AF86" s="248">
        <v>7.9999999999999996E-7</v>
      </c>
      <c r="AG86" s="22">
        <v>27000</v>
      </c>
      <c r="AH86" s="95">
        <v>47</v>
      </c>
      <c r="AI86" s="162">
        <v>0.02</v>
      </c>
      <c r="AJ86" s="167">
        <f>$E$38*AK86/$E$40</f>
        <v>544.21768707482977</v>
      </c>
      <c r="AK86" s="168">
        <f>AF86*AG86*E$41/E$32</f>
        <v>0.49260172808287944</v>
      </c>
      <c r="AL86" s="151">
        <f t="shared" ref="AL86:AL88" si="61">$AG86/AJ86</f>
        <v>49.612500000000011</v>
      </c>
      <c r="AM86" s="175">
        <f t="shared" ref="AM86:AM88" si="62">AJ86/$AH86</f>
        <v>11.579099724996379</v>
      </c>
      <c r="AN86" s="134">
        <f t="shared" ref="AN86:AN88" si="63">LOG(AM86)</f>
        <v>1.06367479430805</v>
      </c>
      <c r="AO86" s="119">
        <f>$AG86/$O86</f>
        <v>0.22711500150494024</v>
      </c>
      <c r="AP86">
        <f>_xlfn.RANK.AVG(AM86,AM$51:AM$117,1)</f>
        <v>15</v>
      </c>
      <c r="AQ86" s="124">
        <f t="shared" ref="AQ86:AQ88" si="64">(AP86-0.5)/MAX(AP$51:AP$117)</f>
        <v>0.24166666666666667</v>
      </c>
      <c r="AR86">
        <f>_xlfn.RANK.AVG(AM86,(AM$51:AM$60,AM$86:AM$88),1)</f>
        <v>9</v>
      </c>
      <c r="AS86" s="124">
        <f t="shared" ref="AS86:AS88" si="65">(AR86-0.5)/MAX(AR$51:AR$117)</f>
        <v>0.65384615384615385</v>
      </c>
      <c r="AT86" s="14">
        <f>IF(AND(AJ86&gt;$AI86,$AH86&gt;$AI86),0,IF(AND(AJ86&gt;$AI86,$AH86&lt;$AI86),1,IF(AND(AJ86&lt;$AI86,$AH86&gt;$AI86),2,3)))</f>
        <v>0</v>
      </c>
      <c r="AZ86" s="83"/>
      <c r="BA86" s="83"/>
      <c r="BB86" s="83"/>
      <c r="BC86" s="83"/>
      <c r="BD86" s="83"/>
      <c r="BE86" s="8">
        <f t="shared" ref="BE86:BE88" si="66">BI86*$E$38/$E$40</f>
        <v>146.88860483593518</v>
      </c>
      <c r="BF86" s="16">
        <f t="shared" ref="BF86:BF88" si="67">10^(MAX(0,((W86+12.5)/2+AD86)*0.73611+-1.03574))</f>
        <v>3.7049687256726616</v>
      </c>
      <c r="BG86" s="16"/>
      <c r="BH86" s="189"/>
      <c r="BI86" s="6">
        <f>(1/BF86)*AF86*AG86*E$41/E$32</f>
        <v>0.13295705431182675</v>
      </c>
      <c r="BJ86" s="151">
        <f>$AG86/BE86</f>
        <v>183.81276090243492</v>
      </c>
      <c r="BK86" s="175">
        <f>BE86/$AH86</f>
        <v>3.1252894645943656</v>
      </c>
      <c r="BL86" s="134">
        <f t="shared" ref="BL86:BL88" si="68">LOG(BK86)</f>
        <v>0.49489024793740299</v>
      </c>
      <c r="BM86" s="119">
        <f>$AG86/$O86</f>
        <v>0.22711500150494024</v>
      </c>
      <c r="BN86">
        <f>_xlfn.RANK.AVG(BK86,BK$51:BK$117,1)</f>
        <v>13</v>
      </c>
      <c r="BO86" s="124">
        <f t="shared" ref="BO86:BO88" si="69">(BN86-0.5)/MAX(BN$51:BN$117)</f>
        <v>0.20833333333333334</v>
      </c>
      <c r="BP86">
        <f>_xlfn.RANK.AVG(BK86,(BK$51:BK$60,BK$86:BK$88),1)</f>
        <v>8</v>
      </c>
      <c r="BQ86" s="124">
        <f t="shared" ref="BQ86:BQ88" si="70">(BP86-0.5)/MAX(BP$51:BP$117)</f>
        <v>0.57692307692307687</v>
      </c>
      <c r="BR86" s="14">
        <f>IF(AND(BE86&gt;$AI86,$AH86&gt;$AI86),0,IF(AND(BE86&gt;$AI86,$AH86&lt;$AI86),1,IF(AND(BE86&lt;$AI86,$AH86&gt;$AI86),2,3)))</f>
        <v>0</v>
      </c>
      <c r="BX86" s="83"/>
      <c r="BY86" s="83"/>
      <c r="BZ86" s="83"/>
      <c r="CA86" s="83"/>
      <c r="CB86" s="83"/>
      <c r="CC86" s="151"/>
      <c r="CD86" s="175">
        <f>AG86/AH86</f>
        <v>574.468085106383</v>
      </c>
      <c r="CE86" s="134">
        <f>LOG(CD86)</f>
        <v>2.7592659062232698</v>
      </c>
      <c r="CF86" s="119">
        <f>$AG86/$O86</f>
        <v>0.22711500150494024</v>
      </c>
      <c r="CG86">
        <f>_xlfn.RANK.AVG(CD86,CD$51:CD$117,1)</f>
        <v>14</v>
      </c>
      <c r="CH86" s="124">
        <f t="shared" ref="CH86:CJ88" si="71">(CG86-0.5)/MAX(CG$51:CG$117)</f>
        <v>0.22500000000000001</v>
      </c>
      <c r="CI86">
        <f>_xlfn.RANK.AVG(CD86,(CD$51:CD$60,CD$86:CD$88),1)</f>
        <v>9</v>
      </c>
      <c r="CJ86" s="124">
        <f t="shared" si="71"/>
        <v>0.65384615384615385</v>
      </c>
      <c r="CK86" s="14">
        <f>IF(AND(BC86&gt;$AI86,$AH86&gt;$AI86),0,IF(AND(BC86&gt;$AI86,$AH86&lt;$AI86),1,IF(AND(BC86&lt;$AI86,$AH86&gt;$AI86),2,3)))</f>
        <v>2</v>
      </c>
      <c r="CL86" s="16"/>
    </row>
    <row r="87" spans="1:90" x14ac:dyDescent="0.2">
      <c r="A87" s="8"/>
      <c r="B87" t="s">
        <v>149</v>
      </c>
      <c r="C87" t="s">
        <v>136</v>
      </c>
      <c r="D87" t="s">
        <v>137</v>
      </c>
      <c r="F87" s="9"/>
      <c r="G87" t="s">
        <v>136</v>
      </c>
      <c r="H87" s="1">
        <v>18</v>
      </c>
      <c r="I87" s="8">
        <v>200</v>
      </c>
      <c r="J87" t="s">
        <v>41</v>
      </c>
      <c r="K87" s="9"/>
      <c r="L87" s="1">
        <v>1</v>
      </c>
      <c r="M87" s="6">
        <v>30</v>
      </c>
      <c r="N87" s="1">
        <v>78.106666524406961</v>
      </c>
      <c r="O87" s="18">
        <v>1988898.8259336799</v>
      </c>
      <c r="P87" s="30">
        <v>2.13</v>
      </c>
      <c r="R87" s="1"/>
      <c r="S87" s="1"/>
      <c r="T87" s="1"/>
      <c r="U87" s="1"/>
      <c r="W87" s="251">
        <f t="shared" si="58"/>
        <v>-12.576089314362941</v>
      </c>
      <c r="X87" s="118">
        <f t="shared" si="59"/>
        <v>2.2931075704892768E-8</v>
      </c>
      <c r="Y87" s="1"/>
      <c r="Z87" s="1"/>
      <c r="AA87" s="1"/>
      <c r="AB87" s="1"/>
      <c r="AC87" s="197"/>
      <c r="AD87" s="244">
        <f>'Lohman 2011'!AD87</f>
        <v>1.7857036075622854</v>
      </c>
      <c r="AE87" s="96">
        <f t="shared" si="60"/>
        <v>61.052521827455486</v>
      </c>
      <c r="AF87" s="248">
        <v>1.3999999999999999E-6</v>
      </c>
      <c r="AG87" s="183">
        <v>14</v>
      </c>
      <c r="AH87" s="95">
        <v>0.4</v>
      </c>
      <c r="AI87" s="162">
        <v>0.02</v>
      </c>
      <c r="AJ87" s="167">
        <f>$E$38*AK87/$E$40</f>
        <v>0.49382716049382708</v>
      </c>
      <c r="AK87" s="168">
        <f>AF87*AG87*E$41/E$32</f>
        <v>4.4699045696409436E-4</v>
      </c>
      <c r="AL87" s="151">
        <f t="shared" si="61"/>
        <v>28.350000000000005</v>
      </c>
      <c r="AM87" s="175">
        <f t="shared" si="62"/>
        <v>1.2345679012345676</v>
      </c>
      <c r="AN87" s="134">
        <f t="shared" si="63"/>
        <v>9.1514981121350147E-2</v>
      </c>
      <c r="AO87" s="119">
        <f>$AG87/$O87</f>
        <v>7.0390709760853528E-6</v>
      </c>
      <c r="AP87">
        <f>_xlfn.RANK.AVG(AM87,AM$51:AM$117,1)</f>
        <v>3.5</v>
      </c>
      <c r="AQ87" s="124">
        <f t="shared" si="64"/>
        <v>0.05</v>
      </c>
      <c r="AR87">
        <f>_xlfn.RANK.AVG(AM87,(AM$51:AM$60,AM$86:AM$88),1)</f>
        <v>2</v>
      </c>
      <c r="AS87" s="124">
        <f t="shared" si="65"/>
        <v>0.11538461538461539</v>
      </c>
      <c r="AT87" s="14">
        <f>IF(AND(AJ87&gt;$AI87,$AH87&gt;$AI87),0,IF(AND(AJ87&gt;$AI87,$AH87&lt;$AI87),1,IF(AND(AJ87&lt;$AI87,$AH87&gt;$AI87),2,3)))</f>
        <v>0</v>
      </c>
      <c r="AZ87" s="83"/>
      <c r="BA87" s="83"/>
      <c r="BB87" s="83"/>
      <c r="BC87" s="83"/>
      <c r="BD87" s="83"/>
      <c r="BE87" s="8">
        <f t="shared" si="66"/>
        <v>0.2772335221077365</v>
      </c>
      <c r="BF87" s="16">
        <f t="shared" si="67"/>
        <v>1.7812678522401759</v>
      </c>
      <c r="BG87" s="16"/>
      <c r="BH87" s="189"/>
      <c r="BI87" s="6">
        <f>(1/BF87)*AF87*AG87*E$41/E$32</f>
        <v>2.5093949593372257E-4</v>
      </c>
      <c r="BJ87" s="151">
        <f>$AG87/BE87</f>
        <v>50.49894361100899</v>
      </c>
      <c r="BK87" s="175">
        <f>BE87/$AH87</f>
        <v>0.69308380526934121</v>
      </c>
      <c r="BL87" s="134">
        <f t="shared" si="68"/>
        <v>-0.15921424884347166</v>
      </c>
      <c r="BM87" s="119">
        <f>$AG87/$O87</f>
        <v>7.0390709760853528E-6</v>
      </c>
      <c r="BN87">
        <f>_xlfn.RANK.AVG(BK87,BK$51:BK$117,1)</f>
        <v>4</v>
      </c>
      <c r="BO87" s="124">
        <f t="shared" si="69"/>
        <v>5.8333333333333334E-2</v>
      </c>
      <c r="BP87">
        <f>_xlfn.RANK.AVG(BK87,(BK$51:BK$60,BK$86:BK$88),1)</f>
        <v>3</v>
      </c>
      <c r="BQ87" s="124">
        <f t="shared" si="70"/>
        <v>0.19230769230769232</v>
      </c>
      <c r="BR87" s="14">
        <f>IF(AND(BE87&gt;$AI87,$AH87&gt;$AI87),0,IF(AND(BE87&gt;$AI87,$AH87&lt;$AI87),1,IF(AND(BE87&lt;$AI87,$AH87&gt;$AI87),2,3)))</f>
        <v>0</v>
      </c>
      <c r="BX87" s="83"/>
      <c r="BY87" s="83"/>
      <c r="BZ87" s="83"/>
      <c r="CA87" s="83"/>
      <c r="CB87" s="83"/>
      <c r="CC87" s="151"/>
      <c r="CD87" s="175">
        <f>AG87/AH87</f>
        <v>35</v>
      </c>
      <c r="CE87" s="134">
        <f>LOG(CD87)</f>
        <v>1.5440680443502757</v>
      </c>
      <c r="CF87" s="119">
        <f>$AG87/$O87</f>
        <v>7.0390709760853528E-6</v>
      </c>
      <c r="CG87">
        <f>_xlfn.RANK.AVG(CD87,CD$51:CD$117,1)</f>
        <v>2.5</v>
      </c>
      <c r="CH87" s="124">
        <f t="shared" si="71"/>
        <v>3.3333333333333333E-2</v>
      </c>
      <c r="CI87">
        <f>_xlfn.RANK.AVG(CD87,(CD$51:CD$60,CD$86:CD$88),1)</f>
        <v>1</v>
      </c>
      <c r="CJ87" s="124">
        <f t="shared" si="71"/>
        <v>3.8461538461538464E-2</v>
      </c>
      <c r="CK87" s="14">
        <f>IF(AND(BC87&gt;$AI87,$AH87&gt;$AI87),0,IF(AND(BC87&gt;$AI87,$AH87&lt;$AI87),1,IF(AND(BC87&lt;$AI87,$AH87&gt;$AI87),2,3)))</f>
        <v>2</v>
      </c>
      <c r="CL87" s="16"/>
    </row>
    <row r="88" spans="1:90" x14ac:dyDescent="0.2">
      <c r="A88" s="8"/>
      <c r="B88" t="s">
        <v>149</v>
      </c>
      <c r="C88">
        <v>4</v>
      </c>
      <c r="D88" t="s">
        <v>126</v>
      </c>
      <c r="F88" s="9"/>
      <c r="G88" t="s">
        <v>111</v>
      </c>
      <c r="H88" s="1">
        <v>14</v>
      </c>
      <c r="I88" s="8">
        <v>305</v>
      </c>
      <c r="J88" t="s">
        <v>135</v>
      </c>
      <c r="K88" s="9" t="s">
        <v>150</v>
      </c>
      <c r="L88" s="1">
        <v>1</v>
      </c>
      <c r="M88" s="6">
        <v>5</v>
      </c>
      <c r="N88" s="1">
        <v>178.21</v>
      </c>
      <c r="O88" s="18">
        <v>850</v>
      </c>
      <c r="P88" s="30">
        <v>4.47</v>
      </c>
      <c r="R88" s="1"/>
      <c r="S88" s="1"/>
      <c r="T88" s="1"/>
      <c r="U88" s="1"/>
      <c r="W88" s="251">
        <f t="shared" si="58"/>
        <v>-14.566487702004245</v>
      </c>
      <c r="X88" s="118">
        <f t="shared" si="59"/>
        <v>2.3443693804519937E-10</v>
      </c>
      <c r="Y88" s="1"/>
      <c r="Z88" s="1"/>
      <c r="AA88" s="1"/>
      <c r="AB88" s="1"/>
      <c r="AC88" s="197"/>
      <c r="AD88" s="244">
        <f>'Lohman 2011'!AD88</f>
        <v>3.9521932542592708</v>
      </c>
      <c r="AE88" s="96">
        <f t="shared" si="60"/>
        <v>8957.6327754081158</v>
      </c>
      <c r="AF88" s="249">
        <f>AF73</f>
        <v>2.0999999999999998E-6</v>
      </c>
      <c r="AG88" s="123">
        <v>1700</v>
      </c>
      <c r="AH88" s="94">
        <v>18</v>
      </c>
      <c r="AI88" s="162">
        <v>0.02</v>
      </c>
      <c r="AJ88" s="167">
        <f>$E$38*AK88/$E$40</f>
        <v>89.947089947089935</v>
      </c>
      <c r="AK88" s="168">
        <f>AF88*AG88*E$41/E$32</f>
        <v>8.1416118947031477E-2</v>
      </c>
      <c r="AL88" s="151">
        <f t="shared" si="61"/>
        <v>18.900000000000002</v>
      </c>
      <c r="AM88" s="175">
        <f t="shared" si="62"/>
        <v>4.9970605526161078</v>
      </c>
      <c r="AN88" s="134">
        <f t="shared" si="63"/>
        <v>0.6987146121017237</v>
      </c>
      <c r="AO88" s="119">
        <f>$AG88/$O88</f>
        <v>2</v>
      </c>
      <c r="AP88">
        <f>_xlfn.RANK.AVG(AM88,AM$51:AM$117,1)</f>
        <v>9</v>
      </c>
      <c r="AQ88" s="124">
        <f t="shared" si="64"/>
        <v>0.14166666666666666</v>
      </c>
      <c r="AR88">
        <f>_xlfn.RANK.AVG(AM88,(AM$51:AM$60,AM$86:AM$88),1)</f>
        <v>4</v>
      </c>
      <c r="AS88" s="124">
        <f t="shared" si="65"/>
        <v>0.26923076923076922</v>
      </c>
      <c r="AT88" s="14">
        <f>IF(AND(AJ88&gt;$AI88,$AH88&gt;$AI88),0,IF(AND(AJ88&gt;$AI88,$AH88&lt;$AI88),1,IF(AND(AJ88&lt;$AI88,$AH88&gt;$AI88),2,3)))</f>
        <v>0</v>
      </c>
      <c r="AZ88" s="83"/>
      <c r="BA88" s="83"/>
      <c r="BB88" s="83"/>
      <c r="BC88" s="83"/>
      <c r="BD88" s="83"/>
      <c r="BE88" s="8">
        <f t="shared" si="66"/>
        <v>6.9352045037072045</v>
      </c>
      <c r="BF88" s="16">
        <f t="shared" si="67"/>
        <v>12.969637722868709</v>
      </c>
      <c r="BG88" s="16"/>
      <c r="BH88" s="189"/>
      <c r="BI88" s="6">
        <f>(1/BF88)*AF88*AG88*E$41/E$32</f>
        <v>6.2774397162593471E-3</v>
      </c>
      <c r="BJ88" s="151">
        <f>$AG88/BE88</f>
        <v>245.12615296221867</v>
      </c>
      <c r="BK88" s="175">
        <f>BE88/$AH88</f>
        <v>0.38528913909484469</v>
      </c>
      <c r="BL88" s="134">
        <f t="shared" si="68"/>
        <v>-0.41421323312989583</v>
      </c>
      <c r="BM88" s="119">
        <f>$AG88/$O88</f>
        <v>2</v>
      </c>
      <c r="BN88">
        <f>_xlfn.RANK.AVG(BK88,BK$51:BK$117,1)</f>
        <v>3</v>
      </c>
      <c r="BO88" s="124">
        <f t="shared" si="69"/>
        <v>4.1666666666666664E-2</v>
      </c>
      <c r="BP88">
        <f>_xlfn.RANK.AVG(BK88,(BK$51:BK$60,BK$86:BK$88),1)</f>
        <v>2</v>
      </c>
      <c r="BQ88" s="124">
        <f t="shared" si="70"/>
        <v>0.11538461538461539</v>
      </c>
      <c r="BR88" s="14">
        <f>IF(AND(BE88&gt;$AI88,$AH88&gt;$AI88),0,IF(AND(BE88&gt;$AI88,$AH88&lt;$AI88),1,IF(AND(BE88&lt;$AI88,$AH88&gt;$AI88),2,3)))</f>
        <v>0</v>
      </c>
      <c r="BX88" s="83"/>
      <c r="BY88" s="83"/>
      <c r="BZ88" s="83"/>
      <c r="CA88" s="83"/>
      <c r="CB88" s="83"/>
      <c r="CC88" s="151"/>
      <c r="CD88" s="175">
        <f>AG88/AH88</f>
        <v>94.444444444444443</v>
      </c>
      <c r="CE88" s="134">
        <f>LOG(CD88)</f>
        <v>1.9751764162749679</v>
      </c>
      <c r="CF88" s="119">
        <f>$AG88/$O88</f>
        <v>2</v>
      </c>
      <c r="CG88">
        <f>_xlfn.RANK.AVG(CD88,CD$51:CD$117,1)</f>
        <v>5</v>
      </c>
      <c r="CH88" s="124">
        <f t="shared" si="71"/>
        <v>7.4999999999999997E-2</v>
      </c>
      <c r="CI88">
        <f>_xlfn.RANK.AVG(CD88,(CD$51:CD$60,CD$86:CD$88),1)</f>
        <v>2</v>
      </c>
      <c r="CJ88" s="124">
        <f t="shared" si="71"/>
        <v>0.11538461538461539</v>
      </c>
      <c r="CK88" s="14">
        <f>IF(AND(BC88&gt;$AI88,$AH88&gt;$AI88),0,IF(AND(BC88&gt;$AI88,$AH88&lt;$AI88),1,IF(AND(BC88&lt;$AI88,$AH88&gt;$AI88),2,3)))</f>
        <v>2</v>
      </c>
      <c r="CL88" s="16"/>
    </row>
    <row r="89" spans="1:90" x14ac:dyDescent="0.2">
      <c r="A89" s="8"/>
      <c r="F89" s="9"/>
      <c r="I89" s="8"/>
      <c r="K89" s="9"/>
      <c r="M89" s="9"/>
      <c r="N89"/>
      <c r="O89"/>
      <c r="X89" s="9"/>
      <c r="AG89" s="123"/>
      <c r="AH89" s="103"/>
      <c r="AI89" s="16"/>
      <c r="AJ89" s="167"/>
      <c r="AK89" s="169"/>
      <c r="AL89" s="8"/>
      <c r="AN89" s="97"/>
      <c r="AO89" s="97"/>
      <c r="AP89"/>
      <c r="AQ89"/>
      <c r="AR89"/>
      <c r="AT89" s="14"/>
      <c r="BE89" s="167"/>
      <c r="BF89" s="3"/>
      <c r="BG89" s="3"/>
      <c r="BH89" s="3"/>
      <c r="BI89" s="169"/>
      <c r="BJ89" s="8"/>
      <c r="BL89" s="97"/>
      <c r="BM89" s="97"/>
      <c r="BN89"/>
      <c r="BO89"/>
      <c r="BP89"/>
      <c r="BR89" s="14"/>
      <c r="CC89" s="8"/>
      <c r="CE89" s="97"/>
      <c r="CF89" s="97"/>
      <c r="CG89"/>
      <c r="CH89"/>
      <c r="CI89"/>
      <c r="CK89" s="14"/>
      <c r="CL89" s="16"/>
    </row>
    <row r="90" spans="1:90" x14ac:dyDescent="0.2">
      <c r="A90" s="12" t="s">
        <v>42</v>
      </c>
      <c r="F90" s="9"/>
      <c r="I90" s="8"/>
      <c r="K90" s="9"/>
      <c r="M90" s="9"/>
      <c r="N90"/>
      <c r="O90"/>
      <c r="X90" s="9"/>
      <c r="AG90" s="22"/>
      <c r="AH90" s="8"/>
      <c r="AJ90" s="167"/>
      <c r="AK90" s="169"/>
      <c r="AL90" s="8"/>
      <c r="AN90" s="97"/>
      <c r="AO90" s="97"/>
      <c r="AP90"/>
      <c r="AQ90"/>
      <c r="AR90"/>
      <c r="AT90" s="14"/>
      <c r="BE90" s="167"/>
      <c r="BF90" s="3"/>
      <c r="BG90" s="3"/>
      <c r="BH90" s="3"/>
      <c r="BI90" s="169"/>
      <c r="BJ90" s="8"/>
      <c r="BL90" s="97"/>
      <c r="BM90" s="97"/>
      <c r="BN90"/>
      <c r="BO90"/>
      <c r="BP90"/>
      <c r="BR90" s="14"/>
      <c r="CC90" s="8"/>
      <c r="CE90" s="97"/>
      <c r="CF90" s="97"/>
      <c r="CG90"/>
      <c r="CH90"/>
      <c r="CI90"/>
      <c r="CK90" s="14"/>
      <c r="CL90" s="16"/>
    </row>
    <row r="91" spans="1:90" x14ac:dyDescent="0.2">
      <c r="A91" s="8"/>
      <c r="B91" t="s">
        <v>149</v>
      </c>
      <c r="C91">
        <v>15</v>
      </c>
      <c r="D91" t="s">
        <v>134</v>
      </c>
      <c r="F91" s="9"/>
      <c r="G91" t="s">
        <v>111</v>
      </c>
      <c r="H91" s="1">
        <v>14</v>
      </c>
      <c r="I91" s="8">
        <v>200</v>
      </c>
      <c r="J91" t="s">
        <v>41</v>
      </c>
      <c r="K91" s="9" t="s">
        <v>151</v>
      </c>
      <c r="L91" s="1">
        <v>1</v>
      </c>
      <c r="M91" s="6">
        <v>30</v>
      </c>
      <c r="N91" s="1">
        <v>78.106666524406961</v>
      </c>
      <c r="O91" s="18">
        <v>1988898.8259336799</v>
      </c>
      <c r="P91" s="30">
        <v>2.13</v>
      </c>
      <c r="R91" s="1"/>
      <c r="S91" s="1"/>
      <c r="T91" s="1"/>
      <c r="U91" s="1"/>
      <c r="W91" s="251">
        <f t="shared" ref="W91:W117" si="72">LOG(X91/(24*60*60))</f>
        <v>-12.425978961059927</v>
      </c>
      <c r="X91" s="118">
        <f t="shared" ref="X91:X117" si="73">AF91/AE91</f>
        <v>3.2399236902998486E-8</v>
      </c>
      <c r="Y91" s="1"/>
      <c r="Z91" s="1"/>
      <c r="AA91" s="1"/>
      <c r="AB91" s="1"/>
      <c r="AC91" s="197"/>
      <c r="AD91" s="244">
        <f>'Lohman 2011'!AD91</f>
        <v>1.635593254259271</v>
      </c>
      <c r="AE91" s="96">
        <f t="shared" ref="AE91:AE117" si="74">10^AD91</f>
        <v>43.210894262464336</v>
      </c>
      <c r="AF91" s="248">
        <v>1.3999999999999999E-6</v>
      </c>
      <c r="AG91" s="22">
        <v>2400</v>
      </c>
      <c r="AH91" s="8"/>
      <c r="AI91" s="162">
        <v>0.02</v>
      </c>
      <c r="AJ91" s="167">
        <f t="shared" ref="AJ91:AJ117" si="75">$E$38*AK91/$E$40</f>
        <v>84.65608465608463</v>
      </c>
      <c r="AK91" s="168">
        <f t="shared" ref="AK91:AK117" si="76">AF91*AG91*E$41/E$32</f>
        <v>7.6626935479559025E-2</v>
      </c>
      <c r="AL91" s="151">
        <f t="shared" ref="AL91:AL117" si="77">$AG91/AJ91</f>
        <v>28.350000000000009</v>
      </c>
      <c r="AM91" s="177">
        <f t="shared" ref="AM91:AM117" si="78">AJ91/$AI91</f>
        <v>4232.8042328042311</v>
      </c>
      <c r="AN91" s="134">
        <f t="shared" ref="AN91:AN117" si="79">LOG(AM91)</f>
        <v>3.6266281828186995</v>
      </c>
      <c r="AO91" s="119">
        <f t="shared" ref="AO91:AO117" si="80">$AG91/$O91</f>
        <v>1.2066978816146318E-3</v>
      </c>
      <c r="AP91">
        <f t="shared" ref="AP91:AP117" si="81">_xlfn.RANK.AVG(AM91,AM$51:AM$117,1)</f>
        <v>55</v>
      </c>
      <c r="AQ91" s="124">
        <f t="shared" ref="AQ91:AQ117" si="82">(AP91-0.5)/MAX(AP$51:AP$117)</f>
        <v>0.90833333333333333</v>
      </c>
      <c r="AR91" s="124"/>
      <c r="AS91" s="124"/>
      <c r="AT91" s="14">
        <f t="shared" ref="AT91:AT117" si="83">IF(AND(AJ91&gt;$AI91,$AH91&gt;$AI91),0,IF(AND(AJ91&gt;$AI91,$AH91&lt;$AI91),1,IF(AND(AJ91&lt;$AI91,$AH91&gt;$AI91),2,3)))</f>
        <v>1</v>
      </c>
      <c r="AZ91" s="83"/>
      <c r="BA91" s="83"/>
      <c r="BB91" s="83"/>
      <c r="BC91" s="83"/>
      <c r="BD91" s="83"/>
      <c r="BE91" s="8">
        <f t="shared" ref="BE91:BE117" si="84">BI91*$E$38/$E$40</f>
        <v>53.973156133148571</v>
      </c>
      <c r="BF91" s="16">
        <f t="shared" ref="BF91:BF117" si="85">10^(MAX(0,((W91+12.5)/2+AD91)*0.73611+-1.03574))</f>
        <v>1.5684849788521373</v>
      </c>
      <c r="BG91" s="16"/>
      <c r="BH91" s="189"/>
      <c r="BI91" s="6">
        <f t="shared" ref="BI91:BI117" si="86">(1/BF91)*AF91*AG91*E$41/E$32</f>
        <v>4.8854108590594754E-2</v>
      </c>
      <c r="BJ91" s="151">
        <f t="shared" ref="BJ91:BJ117" si="87">$AG91/BE91</f>
        <v>44.4665491504581</v>
      </c>
      <c r="BK91" s="177">
        <f t="shared" ref="BK91:BK117" si="88">BE91/$AI91</f>
        <v>2698.6578066574284</v>
      </c>
      <c r="BL91" s="134">
        <f t="shared" ref="BL91:BL117" si="89">LOG(BK91)</f>
        <v>3.4311478189388191</v>
      </c>
      <c r="BM91" s="119">
        <f t="shared" ref="BM91:BM117" si="90">$AG91/$O91</f>
        <v>1.2066978816146318E-3</v>
      </c>
      <c r="BN91">
        <f t="shared" ref="BN91:BN117" si="91">_xlfn.RANK.AVG(BK91,BK$51:BK$117,1)</f>
        <v>58</v>
      </c>
      <c r="BO91" s="124">
        <f t="shared" ref="BO91:BO117" si="92">(BN91-0.5)/MAX(BN$51:BN$117)</f>
        <v>0.95833333333333337</v>
      </c>
      <c r="BP91" s="124"/>
      <c r="BQ91" s="124"/>
      <c r="BR91" s="14">
        <f t="shared" ref="BR91:BR117" si="93">IF(AND(BE91&gt;$AI91,$AH91&gt;$AI91),0,IF(AND(BE91&gt;$AI91,$AH91&lt;$AI91),1,IF(AND(BE91&lt;$AI91,$AH91&gt;$AI91),2,3)))</f>
        <v>1</v>
      </c>
      <c r="BX91" s="83"/>
      <c r="BY91" s="83"/>
      <c r="BZ91" s="83"/>
      <c r="CA91" s="83"/>
      <c r="CB91" s="83"/>
      <c r="CC91" s="151"/>
      <c r="CD91" s="177">
        <f t="shared" ref="CD91:CD117" si="94">AG91/AI91</f>
        <v>120000</v>
      </c>
      <c r="CE91" s="134">
        <f t="shared" ref="CE91:CE117" si="95">LOG(CD91)</f>
        <v>5.0791812460476251</v>
      </c>
      <c r="CF91" s="119">
        <f t="shared" ref="CF91:CF117" si="96">$AG91/$O91</f>
        <v>1.2066978816146318E-3</v>
      </c>
      <c r="CG91">
        <f t="shared" ref="CG91:CG117" si="97">_xlfn.RANK.AVG(CD91,CD$51:CD$117,1)</f>
        <v>50</v>
      </c>
      <c r="CH91" s="124">
        <f t="shared" ref="CH91:CH117" si="98">(CG91-0.5)/MAX(CG$51:CG$117)</f>
        <v>0.82499999999999996</v>
      </c>
      <c r="CI91" s="124"/>
      <c r="CJ91" s="124"/>
      <c r="CK91" s="14">
        <f t="shared" ref="CK91:CK117" si="99">IF(AND(BC91&gt;$AI91,$AH91&gt;$AI91),0,IF(AND(BC91&gt;$AI91,$AH91&lt;$AI91),1,IF(AND(BC91&lt;$AI91,$AH91&gt;$AI91),2,3)))</f>
        <v>3</v>
      </c>
      <c r="CL91" s="16"/>
    </row>
    <row r="92" spans="1:90" x14ac:dyDescent="0.2">
      <c r="A92" s="8"/>
      <c r="B92" t="s">
        <v>149</v>
      </c>
      <c r="C92">
        <v>27</v>
      </c>
      <c r="D92" t="s">
        <v>123</v>
      </c>
      <c r="F92" s="9"/>
      <c r="G92" t="s">
        <v>111</v>
      </c>
      <c r="H92" s="1">
        <v>14</v>
      </c>
      <c r="I92" s="8">
        <v>200</v>
      </c>
      <c r="J92" t="s">
        <v>41</v>
      </c>
      <c r="K92" s="9" t="s">
        <v>151</v>
      </c>
      <c r="L92" s="1">
        <v>1</v>
      </c>
      <c r="M92" s="6">
        <v>30</v>
      </c>
      <c r="N92" s="1">
        <v>78.106666524406961</v>
      </c>
      <c r="O92" s="18">
        <v>1988898.8259336799</v>
      </c>
      <c r="P92" s="30">
        <v>2.13</v>
      </c>
      <c r="R92" s="1"/>
      <c r="S92" s="1"/>
      <c r="T92" s="1"/>
      <c r="U92" s="1"/>
      <c r="W92" s="251">
        <f t="shared" si="72"/>
        <v>-12.425978961059927</v>
      </c>
      <c r="X92" s="118">
        <f t="shared" si="73"/>
        <v>3.2399236902998486E-8</v>
      </c>
      <c r="Y92" s="1"/>
      <c r="Z92" s="1"/>
      <c r="AA92" s="1"/>
      <c r="AB92" s="1"/>
      <c r="AC92" s="197"/>
      <c r="AD92" s="244">
        <f>'Lohman 2011'!AD92</f>
        <v>1.635593254259271</v>
      </c>
      <c r="AE92" s="96">
        <f t="shared" si="74"/>
        <v>43.210894262464336</v>
      </c>
      <c r="AF92" s="248">
        <v>1.3999999999999999E-6</v>
      </c>
      <c r="AG92" s="22">
        <v>230</v>
      </c>
      <c r="AH92" s="8"/>
      <c r="AI92" s="162">
        <v>0.02</v>
      </c>
      <c r="AJ92" s="167">
        <f t="shared" si="75"/>
        <v>8.1128747795414444</v>
      </c>
      <c r="AK92" s="168">
        <f t="shared" si="76"/>
        <v>7.3434146501244069E-3</v>
      </c>
      <c r="AL92" s="151">
        <f t="shared" si="77"/>
        <v>28.350000000000005</v>
      </c>
      <c r="AM92" s="177">
        <f t="shared" si="78"/>
        <v>405.64373897707219</v>
      </c>
      <c r="AN92" s="134">
        <f t="shared" si="79"/>
        <v>2.6081447771246862</v>
      </c>
      <c r="AO92" s="119">
        <f t="shared" si="80"/>
        <v>1.1564188032140221E-4</v>
      </c>
      <c r="AP92">
        <f t="shared" si="81"/>
        <v>44</v>
      </c>
      <c r="AQ92" s="124">
        <f t="shared" si="82"/>
        <v>0.72499999999999998</v>
      </c>
      <c r="AR92" s="124"/>
      <c r="AS92" s="124"/>
      <c r="AT92" s="14">
        <f t="shared" si="83"/>
        <v>1</v>
      </c>
      <c r="AZ92" s="83"/>
      <c r="BA92" s="83"/>
      <c r="BB92" s="83"/>
      <c r="BC92" s="83"/>
      <c r="BD92" s="83"/>
      <c r="BE92" s="8">
        <f t="shared" si="84"/>
        <v>5.172427462760071</v>
      </c>
      <c r="BF92" s="16">
        <f t="shared" si="85"/>
        <v>1.5684849788521373</v>
      </c>
      <c r="BG92" s="16"/>
      <c r="BH92" s="189"/>
      <c r="BI92" s="6">
        <f t="shared" si="86"/>
        <v>4.6818520732653307E-3</v>
      </c>
      <c r="BJ92" s="151">
        <f t="shared" si="87"/>
        <v>44.4665491504581</v>
      </c>
      <c r="BK92" s="177">
        <f t="shared" si="88"/>
        <v>258.62137313800355</v>
      </c>
      <c r="BL92" s="134">
        <f t="shared" si="89"/>
        <v>2.4126644132448058</v>
      </c>
      <c r="BM92" s="119">
        <f t="shared" si="90"/>
        <v>1.1564188032140221E-4</v>
      </c>
      <c r="BN92">
        <f t="shared" si="91"/>
        <v>48</v>
      </c>
      <c r="BO92" s="124">
        <f t="shared" si="92"/>
        <v>0.79166666666666663</v>
      </c>
      <c r="BP92" s="124"/>
      <c r="BQ92" s="124"/>
      <c r="BR92" s="14">
        <f t="shared" si="93"/>
        <v>1</v>
      </c>
      <c r="BX92" s="83"/>
      <c r="BY92" s="83"/>
      <c r="BZ92" s="83"/>
      <c r="CA92" s="83"/>
      <c r="CB92" s="83"/>
      <c r="CC92" s="151"/>
      <c r="CD92" s="177">
        <f t="shared" si="94"/>
        <v>11500</v>
      </c>
      <c r="CE92" s="134">
        <f t="shared" si="95"/>
        <v>4.0606978403536118</v>
      </c>
      <c r="CF92" s="119">
        <f t="shared" si="96"/>
        <v>1.1564188032140221E-4</v>
      </c>
      <c r="CG92">
        <f t="shared" si="97"/>
        <v>32</v>
      </c>
      <c r="CH92" s="124">
        <f t="shared" si="98"/>
        <v>0.52500000000000002</v>
      </c>
      <c r="CI92" s="124"/>
      <c r="CJ92" s="124"/>
      <c r="CK92" s="14">
        <f t="shared" si="99"/>
        <v>3</v>
      </c>
      <c r="CL92" s="16"/>
    </row>
    <row r="93" spans="1:90" x14ac:dyDescent="0.2">
      <c r="A93" s="8"/>
      <c r="B93" t="s">
        <v>149</v>
      </c>
      <c r="C93">
        <v>3</v>
      </c>
      <c r="D93" t="s">
        <v>131</v>
      </c>
      <c r="F93" s="9"/>
      <c r="G93" t="s">
        <v>111</v>
      </c>
      <c r="H93" s="1">
        <v>14</v>
      </c>
      <c r="I93" s="8">
        <v>200</v>
      </c>
      <c r="J93" t="s">
        <v>41</v>
      </c>
      <c r="K93" s="9" t="s">
        <v>151</v>
      </c>
      <c r="L93" s="1">
        <v>1</v>
      </c>
      <c r="M93" s="6">
        <v>30</v>
      </c>
      <c r="N93" s="1">
        <v>78.106666524406961</v>
      </c>
      <c r="O93" s="18">
        <v>1988898.8259336799</v>
      </c>
      <c r="P93" s="30">
        <v>2.13</v>
      </c>
      <c r="R93" s="1"/>
      <c r="S93" s="1"/>
      <c r="T93" s="1"/>
      <c r="U93" s="1"/>
      <c r="W93" s="251">
        <f t="shared" si="72"/>
        <v>-12.425978961059927</v>
      </c>
      <c r="X93" s="118">
        <f t="shared" si="73"/>
        <v>3.2399236902998486E-8</v>
      </c>
      <c r="Y93" s="1"/>
      <c r="Z93" s="1"/>
      <c r="AA93" s="1"/>
      <c r="AB93" s="1"/>
      <c r="AC93" s="197"/>
      <c r="AD93" s="244">
        <f>'Lohman 2011'!AD93</f>
        <v>1.635593254259271</v>
      </c>
      <c r="AE93" s="96">
        <f t="shared" si="74"/>
        <v>43.210894262464336</v>
      </c>
      <c r="AF93" s="248">
        <v>1.3999999999999999E-6</v>
      </c>
      <c r="AG93" s="22">
        <v>98</v>
      </c>
      <c r="AH93" s="8"/>
      <c r="AI93" s="162">
        <v>0.02</v>
      </c>
      <c r="AJ93" s="167">
        <f t="shared" si="75"/>
        <v>3.4567901234567895</v>
      </c>
      <c r="AK93" s="168">
        <f t="shared" si="76"/>
        <v>3.1289331987486607E-3</v>
      </c>
      <c r="AL93" s="151">
        <f t="shared" si="77"/>
        <v>28.350000000000005</v>
      </c>
      <c r="AM93" s="177">
        <f t="shared" si="78"/>
        <v>172.83950617283946</v>
      </c>
      <c r="AN93" s="134">
        <f t="shared" si="79"/>
        <v>2.2376430167995882</v>
      </c>
      <c r="AO93" s="119">
        <f t="shared" si="80"/>
        <v>4.927349683259747E-5</v>
      </c>
      <c r="AP93">
        <f t="shared" si="81"/>
        <v>37</v>
      </c>
      <c r="AQ93" s="124">
        <f t="shared" si="82"/>
        <v>0.60833333333333328</v>
      </c>
      <c r="AR93" s="124"/>
      <c r="AS93" s="124"/>
      <c r="AT93" s="14">
        <f t="shared" si="83"/>
        <v>1</v>
      </c>
      <c r="AZ93" s="83"/>
      <c r="BA93" s="83"/>
      <c r="BB93" s="83"/>
      <c r="BC93" s="83"/>
      <c r="BD93" s="83"/>
      <c r="BE93" s="8">
        <f t="shared" si="84"/>
        <v>2.2039038754368998</v>
      </c>
      <c r="BF93" s="16">
        <f t="shared" si="85"/>
        <v>1.5684849788521373</v>
      </c>
      <c r="BG93" s="16"/>
      <c r="BH93" s="189"/>
      <c r="BI93" s="6">
        <f t="shared" si="86"/>
        <v>1.9948761007826188E-3</v>
      </c>
      <c r="BJ93" s="151">
        <f t="shared" si="87"/>
        <v>44.466549150458107</v>
      </c>
      <c r="BK93" s="177">
        <f t="shared" si="88"/>
        <v>110.19519377184498</v>
      </c>
      <c r="BL93" s="134">
        <f t="shared" si="89"/>
        <v>2.0421626529197079</v>
      </c>
      <c r="BM93" s="119">
        <f t="shared" si="90"/>
        <v>4.927349683259747E-5</v>
      </c>
      <c r="BN93">
        <f t="shared" si="91"/>
        <v>38</v>
      </c>
      <c r="BO93" s="124">
        <f t="shared" si="92"/>
        <v>0.625</v>
      </c>
      <c r="BP93" s="124"/>
      <c r="BQ93" s="124"/>
      <c r="BR93" s="14">
        <f t="shared" si="93"/>
        <v>1</v>
      </c>
      <c r="BX93" s="83"/>
      <c r="BY93" s="83"/>
      <c r="BZ93" s="83"/>
      <c r="CA93" s="83"/>
      <c r="CB93" s="83"/>
      <c r="CC93" s="151"/>
      <c r="CD93" s="177">
        <f t="shared" si="94"/>
        <v>4900</v>
      </c>
      <c r="CE93" s="134">
        <f t="shared" si="95"/>
        <v>3.6901960800285138</v>
      </c>
      <c r="CF93" s="119">
        <f t="shared" si="96"/>
        <v>4.927349683259747E-5</v>
      </c>
      <c r="CG93">
        <f t="shared" si="97"/>
        <v>25</v>
      </c>
      <c r="CH93" s="124">
        <f t="shared" si="98"/>
        <v>0.40833333333333333</v>
      </c>
      <c r="CI93" s="124"/>
      <c r="CJ93" s="124"/>
      <c r="CK93" s="14">
        <f t="shared" si="99"/>
        <v>3</v>
      </c>
      <c r="CL93" s="16"/>
    </row>
    <row r="94" spans="1:90" x14ac:dyDescent="0.2">
      <c r="A94" s="8"/>
      <c r="B94" t="s">
        <v>149</v>
      </c>
      <c r="C94">
        <v>9</v>
      </c>
      <c r="D94" t="s">
        <v>131</v>
      </c>
      <c r="F94" s="9"/>
      <c r="G94" t="s">
        <v>111</v>
      </c>
      <c r="H94" s="1">
        <v>14</v>
      </c>
      <c r="I94" s="8">
        <v>201</v>
      </c>
      <c r="J94" t="s">
        <v>39</v>
      </c>
      <c r="K94" s="9" t="s">
        <v>152</v>
      </c>
      <c r="L94" s="1">
        <v>1</v>
      </c>
      <c r="M94" s="6">
        <v>150</v>
      </c>
      <c r="N94" s="1">
        <v>106.18666499232586</v>
      </c>
      <c r="O94" s="18">
        <v>159449.4296665228</v>
      </c>
      <c r="P94" s="30">
        <v>3.15</v>
      </c>
      <c r="R94" s="1"/>
      <c r="S94" s="1"/>
      <c r="T94" s="1"/>
      <c r="U94" s="1"/>
      <c r="W94" s="251">
        <f t="shared" si="72"/>
        <v>-13.259687702004246</v>
      </c>
      <c r="X94" s="118">
        <f t="shared" si="73"/>
        <v>4.7514486540378579E-9</v>
      </c>
      <c r="Y94" s="1"/>
      <c r="Z94" s="1"/>
      <c r="AA94" s="1"/>
      <c r="AB94" s="1"/>
      <c r="AC94" s="197"/>
      <c r="AD94" s="244">
        <f>'Lohman 2011'!AD94</f>
        <v>2.6453932542592713</v>
      </c>
      <c r="AE94" s="96">
        <f t="shared" si="74"/>
        <v>441.97047109314457</v>
      </c>
      <c r="AF94" s="248">
        <v>2.0999999999999998E-6</v>
      </c>
      <c r="AG94" s="22">
        <v>17000</v>
      </c>
      <c r="AH94" s="8"/>
      <c r="AI94" s="162">
        <v>0.02</v>
      </c>
      <c r="AJ94" s="167">
        <f t="shared" si="75"/>
        <v>899.47089947089921</v>
      </c>
      <c r="AK94" s="168">
        <f t="shared" si="76"/>
        <v>0.81416118947031457</v>
      </c>
      <c r="AL94" s="151">
        <f t="shared" si="77"/>
        <v>18.900000000000006</v>
      </c>
      <c r="AM94" s="177">
        <f t="shared" si="78"/>
        <v>44973.544973544958</v>
      </c>
      <c r="AN94" s="134">
        <f t="shared" si="79"/>
        <v>4.6529571215410481</v>
      </c>
      <c r="AO94" s="119">
        <f t="shared" si="80"/>
        <v>0.10661687555455229</v>
      </c>
      <c r="AP94">
        <f t="shared" si="81"/>
        <v>60</v>
      </c>
      <c r="AQ94" s="124">
        <f t="shared" si="82"/>
        <v>0.9916666666666667</v>
      </c>
      <c r="AR94" s="124"/>
      <c r="AS94" s="124"/>
      <c r="AT94" s="14">
        <f t="shared" si="83"/>
        <v>1</v>
      </c>
      <c r="AZ94" s="83"/>
      <c r="BA94" s="83"/>
      <c r="BB94" s="83"/>
      <c r="BC94" s="83"/>
      <c r="BD94" s="83"/>
      <c r="BE94" s="8">
        <f t="shared" si="84"/>
        <v>209.91020171616847</v>
      </c>
      <c r="BF94" s="16">
        <f t="shared" si="85"/>
        <v>4.2850270835675017</v>
      </c>
      <c r="BG94" s="16"/>
      <c r="BH94" s="189"/>
      <c r="BI94" s="6">
        <f t="shared" si="86"/>
        <v>0.19000141039773416</v>
      </c>
      <c r="BJ94" s="151">
        <f t="shared" si="87"/>
        <v>80.987011879425793</v>
      </c>
      <c r="BK94" s="177">
        <f t="shared" si="88"/>
        <v>10495.510085808424</v>
      </c>
      <c r="BL94" s="134">
        <f t="shared" si="89"/>
        <v>4.0210035503094295</v>
      </c>
      <c r="BM94" s="119">
        <f t="shared" si="90"/>
        <v>0.10661687555455229</v>
      </c>
      <c r="BN94">
        <f t="shared" si="91"/>
        <v>60</v>
      </c>
      <c r="BO94" s="124">
        <f t="shared" si="92"/>
        <v>0.9916666666666667</v>
      </c>
      <c r="BP94" s="124"/>
      <c r="BQ94" s="124"/>
      <c r="BR94" s="14">
        <f t="shared" si="93"/>
        <v>1</v>
      </c>
      <c r="BX94" s="83"/>
      <c r="BY94" s="83"/>
      <c r="BZ94" s="83"/>
      <c r="CA94" s="83"/>
      <c r="CB94" s="83"/>
      <c r="CC94" s="151"/>
      <c r="CD94" s="177">
        <f t="shared" si="94"/>
        <v>850000</v>
      </c>
      <c r="CE94" s="134">
        <f t="shared" si="95"/>
        <v>5.9294189257142929</v>
      </c>
      <c r="CF94" s="119">
        <f t="shared" si="96"/>
        <v>0.10661687555455229</v>
      </c>
      <c r="CG94">
        <f t="shared" si="97"/>
        <v>60</v>
      </c>
      <c r="CH94" s="124">
        <f t="shared" si="98"/>
        <v>0.9916666666666667</v>
      </c>
      <c r="CI94" s="124"/>
      <c r="CJ94" s="124"/>
      <c r="CK94" s="14">
        <f t="shared" si="99"/>
        <v>3</v>
      </c>
      <c r="CL94" s="16"/>
    </row>
    <row r="95" spans="1:90" x14ac:dyDescent="0.2">
      <c r="A95" s="8"/>
      <c r="B95" t="s">
        <v>149</v>
      </c>
      <c r="C95">
        <v>5</v>
      </c>
      <c r="D95" t="s">
        <v>131</v>
      </c>
      <c r="F95" s="9"/>
      <c r="G95" t="s">
        <v>111</v>
      </c>
      <c r="H95" s="1">
        <v>14</v>
      </c>
      <c r="I95" s="8">
        <v>310</v>
      </c>
      <c r="J95" t="s">
        <v>35</v>
      </c>
      <c r="K95" s="9">
        <v>0</v>
      </c>
      <c r="L95" s="1">
        <v>0.1</v>
      </c>
      <c r="M95" s="6">
        <v>70</v>
      </c>
      <c r="N95" s="1">
        <v>128.19</v>
      </c>
      <c r="O95" s="18">
        <v>31800.000000000004</v>
      </c>
      <c r="P95" s="30">
        <v>3.3</v>
      </c>
      <c r="R95" s="1"/>
      <c r="S95" s="1"/>
      <c r="T95" s="1"/>
      <c r="U95" s="1"/>
      <c r="W95" s="251">
        <f t="shared" si="72"/>
        <v>-14.031436992402146</v>
      </c>
      <c r="X95" s="118">
        <f t="shared" si="73"/>
        <v>8.0366813674893789E-10</v>
      </c>
      <c r="Y95" s="1"/>
      <c r="Z95" s="1"/>
      <c r="AA95" s="1"/>
      <c r="AB95" s="1"/>
      <c r="AC95" s="197"/>
      <c r="AD95" s="244">
        <f>'Lohman 2011'!AD95</f>
        <v>2.7938932542592712</v>
      </c>
      <c r="AE95" s="96">
        <f t="shared" si="74"/>
        <v>622.14734806165097</v>
      </c>
      <c r="AF95" s="248">
        <v>4.9999999999999998E-7</v>
      </c>
      <c r="AG95" s="22">
        <v>11000</v>
      </c>
      <c r="AH95" s="8"/>
      <c r="AI95" s="162">
        <v>0.02</v>
      </c>
      <c r="AJ95" s="167">
        <f t="shared" si="75"/>
        <v>138.57394809775758</v>
      </c>
      <c r="AK95" s="168">
        <f t="shared" si="76"/>
        <v>0.12543099557665913</v>
      </c>
      <c r="AL95" s="151">
        <f t="shared" si="77"/>
        <v>79.380000000000024</v>
      </c>
      <c r="AM95" s="177">
        <f t="shared" si="78"/>
        <v>6928.6974048878792</v>
      </c>
      <c r="AN95" s="134">
        <f t="shared" si="79"/>
        <v>3.840651594923099</v>
      </c>
      <c r="AO95" s="119">
        <f t="shared" si="80"/>
        <v>0.34591194968553457</v>
      </c>
      <c r="AP95">
        <f t="shared" si="81"/>
        <v>57</v>
      </c>
      <c r="AQ95" s="124">
        <f t="shared" si="82"/>
        <v>0.94166666666666665</v>
      </c>
      <c r="AR95" s="124"/>
      <c r="AS95" s="124"/>
      <c r="AT95" s="14">
        <f t="shared" si="83"/>
        <v>1</v>
      </c>
      <c r="AZ95" s="83"/>
      <c r="BA95" s="83"/>
      <c r="BB95" s="83"/>
      <c r="BC95" s="83"/>
      <c r="BD95" s="83"/>
      <c r="BE95" s="8">
        <f t="shared" si="84"/>
        <v>48.357280528962498</v>
      </c>
      <c r="BF95" s="16">
        <f t="shared" si="85"/>
        <v>2.8656274005061531</v>
      </c>
      <c r="BG95" s="16"/>
      <c r="BH95" s="189"/>
      <c r="BI95" s="6">
        <f t="shared" si="86"/>
        <v>4.3770866915393253E-2</v>
      </c>
      <c r="BJ95" s="151">
        <f t="shared" si="87"/>
        <v>227.47350305217844</v>
      </c>
      <c r="BK95" s="177">
        <f t="shared" si="88"/>
        <v>2417.8640264481251</v>
      </c>
      <c r="BL95" s="134">
        <f t="shared" si="89"/>
        <v>3.3834318737688789</v>
      </c>
      <c r="BM95" s="119">
        <f t="shared" si="90"/>
        <v>0.34591194968553457</v>
      </c>
      <c r="BN95">
        <f t="shared" si="91"/>
        <v>56</v>
      </c>
      <c r="BO95" s="124">
        <f t="shared" si="92"/>
        <v>0.92500000000000004</v>
      </c>
      <c r="BP95" s="124"/>
      <c r="BQ95" s="124"/>
      <c r="BR95" s="14">
        <f t="shared" si="93"/>
        <v>1</v>
      </c>
      <c r="BX95" s="83"/>
      <c r="BY95" s="83"/>
      <c r="BZ95" s="83"/>
      <c r="CA95" s="83"/>
      <c r="CB95" s="83"/>
      <c r="CC95" s="151"/>
      <c r="CD95" s="177">
        <f t="shared" si="94"/>
        <v>550000</v>
      </c>
      <c r="CE95" s="134">
        <f t="shared" si="95"/>
        <v>5.7403626894942441</v>
      </c>
      <c r="CF95" s="119">
        <f t="shared" si="96"/>
        <v>0.34591194968553457</v>
      </c>
      <c r="CG95">
        <f t="shared" si="97"/>
        <v>59</v>
      </c>
      <c r="CH95" s="124">
        <f t="shared" si="98"/>
        <v>0.97499999999999998</v>
      </c>
      <c r="CI95" s="124"/>
      <c r="CJ95" s="124"/>
      <c r="CK95" s="14">
        <f t="shared" si="99"/>
        <v>3</v>
      </c>
      <c r="CL95" s="16"/>
    </row>
    <row r="96" spans="1:90" x14ac:dyDescent="0.2">
      <c r="A96" s="8"/>
      <c r="B96" t="s">
        <v>149</v>
      </c>
      <c r="C96">
        <v>6</v>
      </c>
      <c r="D96" t="s">
        <v>133</v>
      </c>
      <c r="F96" s="9"/>
      <c r="G96" t="s">
        <v>111</v>
      </c>
      <c r="H96" s="1">
        <v>14</v>
      </c>
      <c r="I96" s="8">
        <v>310</v>
      </c>
      <c r="J96" t="s">
        <v>35</v>
      </c>
      <c r="K96" s="9">
        <v>0</v>
      </c>
      <c r="L96" s="1">
        <v>0.1</v>
      </c>
      <c r="M96" s="6">
        <v>70</v>
      </c>
      <c r="N96" s="1">
        <v>128.19</v>
      </c>
      <c r="O96" s="18">
        <v>31800.000000000004</v>
      </c>
      <c r="P96" s="30">
        <v>3.3</v>
      </c>
      <c r="R96" s="1"/>
      <c r="S96" s="1"/>
      <c r="T96" s="1"/>
      <c r="U96" s="1"/>
      <c r="W96" s="251">
        <f t="shared" si="72"/>
        <v>-14.031436992402146</v>
      </c>
      <c r="X96" s="118">
        <f t="shared" si="73"/>
        <v>8.0366813674893789E-10</v>
      </c>
      <c r="Y96" s="1"/>
      <c r="Z96" s="1"/>
      <c r="AA96" s="1"/>
      <c r="AB96" s="1"/>
      <c r="AC96" s="197"/>
      <c r="AD96" s="244">
        <f>'Lohman 2011'!AD96</f>
        <v>2.7938932542592712</v>
      </c>
      <c r="AE96" s="96">
        <f t="shared" si="74"/>
        <v>622.14734806165097</v>
      </c>
      <c r="AF96" s="248">
        <v>4.9999999999999998E-7</v>
      </c>
      <c r="AG96" s="22">
        <v>7100</v>
      </c>
      <c r="AH96" s="8"/>
      <c r="AI96" s="162">
        <v>0.02</v>
      </c>
      <c r="AJ96" s="167">
        <f t="shared" si="75"/>
        <v>89.443184681279902</v>
      </c>
      <c r="AK96" s="168">
        <f t="shared" si="76"/>
        <v>8.0960006235843623E-2</v>
      </c>
      <c r="AL96" s="151">
        <f t="shared" si="77"/>
        <v>79.38000000000001</v>
      </c>
      <c r="AM96" s="177">
        <f t="shared" si="78"/>
        <v>4472.1592340639954</v>
      </c>
      <c r="AN96" s="134">
        <f t="shared" si="79"/>
        <v>3.6505172584839496</v>
      </c>
      <c r="AO96" s="119">
        <f t="shared" si="80"/>
        <v>0.22327044025157231</v>
      </c>
      <c r="AP96">
        <f t="shared" si="81"/>
        <v>56</v>
      </c>
      <c r="AQ96" s="124">
        <f t="shared" si="82"/>
        <v>0.92500000000000004</v>
      </c>
      <c r="AR96" s="124"/>
      <c r="AS96" s="124"/>
      <c r="AT96" s="14">
        <f t="shared" si="83"/>
        <v>1</v>
      </c>
      <c r="AZ96" s="83"/>
      <c r="BA96" s="83"/>
      <c r="BB96" s="83"/>
      <c r="BC96" s="83"/>
      <c r="BD96" s="83"/>
      <c r="BE96" s="8">
        <f t="shared" si="84"/>
        <v>31.212426523239429</v>
      </c>
      <c r="BF96" s="16">
        <f t="shared" si="85"/>
        <v>2.8656274005061531</v>
      </c>
      <c r="BG96" s="16"/>
      <c r="BH96" s="189"/>
      <c r="BI96" s="6">
        <f t="shared" si="86"/>
        <v>2.8252105009026553E-2</v>
      </c>
      <c r="BJ96" s="151">
        <f t="shared" si="87"/>
        <v>227.47350305217844</v>
      </c>
      <c r="BK96" s="177">
        <f t="shared" si="88"/>
        <v>1560.6213261619714</v>
      </c>
      <c r="BL96" s="134">
        <f t="shared" si="89"/>
        <v>3.193297537329729</v>
      </c>
      <c r="BM96" s="119">
        <f t="shared" si="90"/>
        <v>0.22327044025157231</v>
      </c>
      <c r="BN96">
        <f t="shared" si="91"/>
        <v>55</v>
      </c>
      <c r="BO96" s="124">
        <f t="shared" si="92"/>
        <v>0.90833333333333333</v>
      </c>
      <c r="BP96" s="124"/>
      <c r="BQ96" s="124"/>
      <c r="BR96" s="14">
        <f t="shared" si="93"/>
        <v>1</v>
      </c>
      <c r="BX96" s="83"/>
      <c r="BY96" s="83"/>
      <c r="BZ96" s="83"/>
      <c r="CA96" s="83"/>
      <c r="CB96" s="83"/>
      <c r="CC96" s="151"/>
      <c r="CD96" s="177">
        <f t="shared" si="94"/>
        <v>355000</v>
      </c>
      <c r="CE96" s="134">
        <f t="shared" si="95"/>
        <v>5.5502283530550942</v>
      </c>
      <c r="CF96" s="119">
        <f t="shared" si="96"/>
        <v>0.22327044025157231</v>
      </c>
      <c r="CG96">
        <f t="shared" si="97"/>
        <v>57</v>
      </c>
      <c r="CH96" s="124">
        <f t="shared" si="98"/>
        <v>0.94166666666666665</v>
      </c>
      <c r="CI96" s="124"/>
      <c r="CJ96" s="124"/>
      <c r="CK96" s="14">
        <f t="shared" si="99"/>
        <v>3</v>
      </c>
      <c r="CL96" s="16"/>
    </row>
    <row r="97" spans="1:90" x14ac:dyDescent="0.2">
      <c r="A97" s="8"/>
      <c r="B97" t="s">
        <v>149</v>
      </c>
      <c r="C97">
        <v>7</v>
      </c>
      <c r="D97" t="s">
        <v>132</v>
      </c>
      <c r="F97" s="9"/>
      <c r="G97" t="s">
        <v>111</v>
      </c>
      <c r="H97" s="1">
        <v>14</v>
      </c>
      <c r="I97" s="8">
        <v>310</v>
      </c>
      <c r="J97" t="s">
        <v>35</v>
      </c>
      <c r="K97" s="9">
        <v>0</v>
      </c>
      <c r="L97" s="1">
        <v>0.1</v>
      </c>
      <c r="M97" s="6">
        <v>70</v>
      </c>
      <c r="N97" s="1">
        <v>128.19</v>
      </c>
      <c r="O97" s="18">
        <v>31800.000000000004</v>
      </c>
      <c r="P97" s="30">
        <v>3.3</v>
      </c>
      <c r="R97" s="1"/>
      <c r="S97" s="1"/>
      <c r="T97" s="1"/>
      <c r="U97" s="1"/>
      <c r="W97" s="251">
        <f t="shared" si="72"/>
        <v>-14.031436992402146</v>
      </c>
      <c r="X97" s="118">
        <f t="shared" si="73"/>
        <v>8.0366813674893789E-10</v>
      </c>
      <c r="Y97" s="1"/>
      <c r="Z97" s="1"/>
      <c r="AA97" s="1"/>
      <c r="AB97" s="1"/>
      <c r="AC97" s="197"/>
      <c r="AD97" s="244">
        <f>'Lohman 2011'!AD97</f>
        <v>2.7938932542592712</v>
      </c>
      <c r="AE97" s="96">
        <f t="shared" si="74"/>
        <v>622.14734806165097</v>
      </c>
      <c r="AF97" s="248">
        <v>4.9999999999999998E-7</v>
      </c>
      <c r="AG97" s="22">
        <v>2500</v>
      </c>
      <c r="AH97" s="8"/>
      <c r="AI97" s="162">
        <v>0.02</v>
      </c>
      <c r="AJ97" s="167">
        <f t="shared" si="75"/>
        <v>31.494079113126723</v>
      </c>
      <c r="AK97" s="168">
        <f t="shared" si="76"/>
        <v>2.8507044449240713E-2</v>
      </c>
      <c r="AL97" s="151">
        <f t="shared" si="77"/>
        <v>79.380000000000024</v>
      </c>
      <c r="AM97" s="177">
        <f t="shared" si="78"/>
        <v>1574.7039556563361</v>
      </c>
      <c r="AN97" s="134">
        <f t="shared" si="79"/>
        <v>3.1971989184369116</v>
      </c>
      <c r="AO97" s="119">
        <f t="shared" si="80"/>
        <v>7.8616352201257858E-2</v>
      </c>
      <c r="AP97">
        <f t="shared" si="81"/>
        <v>52</v>
      </c>
      <c r="AQ97" s="124">
        <f t="shared" si="82"/>
        <v>0.85833333333333328</v>
      </c>
      <c r="AR97" s="124"/>
      <c r="AS97" s="124"/>
      <c r="AT97" s="14">
        <f t="shared" si="83"/>
        <v>1</v>
      </c>
      <c r="AZ97" s="83"/>
      <c r="BA97" s="83"/>
      <c r="BB97" s="83"/>
      <c r="BC97" s="83"/>
      <c r="BD97" s="83"/>
      <c r="BE97" s="8">
        <f t="shared" si="84"/>
        <v>10.990291029309658</v>
      </c>
      <c r="BF97" s="16">
        <f t="shared" si="85"/>
        <v>2.8656274005061531</v>
      </c>
      <c r="BG97" s="16"/>
      <c r="BH97" s="189"/>
      <c r="BI97" s="6">
        <f t="shared" si="86"/>
        <v>9.947924298953012E-3</v>
      </c>
      <c r="BJ97" s="151">
        <f t="shared" si="87"/>
        <v>227.47350305217847</v>
      </c>
      <c r="BK97" s="177">
        <f t="shared" si="88"/>
        <v>549.5145514654829</v>
      </c>
      <c r="BL97" s="134">
        <f t="shared" si="89"/>
        <v>2.7399791972826915</v>
      </c>
      <c r="BM97" s="119">
        <f t="shared" si="90"/>
        <v>7.8616352201257858E-2</v>
      </c>
      <c r="BN97">
        <f t="shared" si="91"/>
        <v>52</v>
      </c>
      <c r="BO97" s="124">
        <f t="shared" si="92"/>
        <v>0.85833333333333328</v>
      </c>
      <c r="BP97" s="124"/>
      <c r="BQ97" s="124"/>
      <c r="BR97" s="14">
        <f t="shared" si="93"/>
        <v>1</v>
      </c>
      <c r="BX97" s="83"/>
      <c r="BY97" s="83"/>
      <c r="BZ97" s="83"/>
      <c r="CA97" s="83"/>
      <c r="CB97" s="83"/>
      <c r="CC97" s="151"/>
      <c r="CD97" s="177">
        <f t="shared" si="94"/>
        <v>125000</v>
      </c>
      <c r="CE97" s="134">
        <f t="shared" si="95"/>
        <v>5.0969100130080562</v>
      </c>
      <c r="CF97" s="119">
        <f t="shared" si="96"/>
        <v>7.8616352201257858E-2</v>
      </c>
      <c r="CG97">
        <f t="shared" si="97"/>
        <v>51</v>
      </c>
      <c r="CH97" s="124">
        <f t="shared" si="98"/>
        <v>0.84166666666666667</v>
      </c>
      <c r="CI97" s="124"/>
      <c r="CJ97" s="124"/>
      <c r="CK97" s="14">
        <f t="shared" si="99"/>
        <v>3</v>
      </c>
      <c r="CL97" s="16"/>
    </row>
    <row r="98" spans="1:90" x14ac:dyDescent="0.2">
      <c r="A98" s="8"/>
      <c r="B98" t="s">
        <v>149</v>
      </c>
      <c r="C98">
        <v>8</v>
      </c>
      <c r="D98" t="s">
        <v>131</v>
      </c>
      <c r="F98" s="9"/>
      <c r="G98" t="s">
        <v>111</v>
      </c>
      <c r="H98" s="1">
        <v>14</v>
      </c>
      <c r="I98" s="8">
        <v>310</v>
      </c>
      <c r="J98" t="s">
        <v>35</v>
      </c>
      <c r="K98" s="9">
        <v>0</v>
      </c>
      <c r="L98" s="1">
        <v>0.1</v>
      </c>
      <c r="M98" s="6">
        <v>70</v>
      </c>
      <c r="N98" s="1">
        <v>128.19</v>
      </c>
      <c r="O98" s="18">
        <v>31800.000000000004</v>
      </c>
      <c r="P98" s="30">
        <v>3.3</v>
      </c>
      <c r="R98" s="1"/>
      <c r="S98" s="1"/>
      <c r="T98" s="1"/>
      <c r="U98" s="1"/>
      <c r="W98" s="251">
        <f t="shared" si="72"/>
        <v>-14.031436992402146</v>
      </c>
      <c r="X98" s="118">
        <f t="shared" si="73"/>
        <v>8.0366813674893789E-10</v>
      </c>
      <c r="Y98" s="1"/>
      <c r="Z98" s="1"/>
      <c r="AA98" s="1"/>
      <c r="AB98" s="1"/>
      <c r="AC98" s="197"/>
      <c r="AD98" s="244">
        <f>'Lohman 2011'!AD98</f>
        <v>2.7938932542592712</v>
      </c>
      <c r="AE98" s="96">
        <f t="shared" si="74"/>
        <v>622.14734806165097</v>
      </c>
      <c r="AF98" s="248">
        <v>4.9999999999999998E-7</v>
      </c>
      <c r="AG98" s="22">
        <v>1200</v>
      </c>
      <c r="AH98" s="8"/>
      <c r="AI98" s="162">
        <v>0.02</v>
      </c>
      <c r="AJ98" s="167">
        <f t="shared" si="75"/>
        <v>15.117157974300827</v>
      </c>
      <c r="AK98" s="168">
        <f t="shared" si="76"/>
        <v>1.3683381335635542E-2</v>
      </c>
      <c r="AL98" s="151">
        <f t="shared" si="77"/>
        <v>79.380000000000024</v>
      </c>
      <c r="AM98" s="177">
        <f t="shared" si="78"/>
        <v>755.8578987150413</v>
      </c>
      <c r="AN98" s="134">
        <f t="shared" si="79"/>
        <v>2.8784401558124988</v>
      </c>
      <c r="AO98" s="119">
        <f t="shared" si="80"/>
        <v>3.7735849056603772E-2</v>
      </c>
      <c r="AP98">
        <f t="shared" si="81"/>
        <v>49</v>
      </c>
      <c r="AQ98" s="124">
        <f t="shared" si="82"/>
        <v>0.80833333333333335</v>
      </c>
      <c r="AR98" s="124"/>
      <c r="AS98" s="124"/>
      <c r="AT98" s="14">
        <f t="shared" si="83"/>
        <v>1</v>
      </c>
      <c r="AZ98" s="83"/>
      <c r="BA98" s="83"/>
      <c r="BB98" s="83"/>
      <c r="BC98" s="83"/>
      <c r="BD98" s="83"/>
      <c r="BE98" s="8">
        <f t="shared" si="84"/>
        <v>5.2753396940686352</v>
      </c>
      <c r="BF98" s="16">
        <f t="shared" si="85"/>
        <v>2.8656274005061531</v>
      </c>
      <c r="BG98" s="16"/>
      <c r="BH98" s="189"/>
      <c r="BI98" s="6">
        <f t="shared" si="86"/>
        <v>4.7750036634974452E-3</v>
      </c>
      <c r="BJ98" s="151">
        <f t="shared" si="87"/>
        <v>227.47350305217847</v>
      </c>
      <c r="BK98" s="177">
        <f t="shared" si="88"/>
        <v>263.76698470343177</v>
      </c>
      <c r="BL98" s="134">
        <f t="shared" si="89"/>
        <v>2.4212204346582786</v>
      </c>
      <c r="BM98" s="119">
        <f t="shared" si="90"/>
        <v>3.7735849056603772E-2</v>
      </c>
      <c r="BN98">
        <f t="shared" si="91"/>
        <v>49</v>
      </c>
      <c r="BO98" s="124">
        <f t="shared" si="92"/>
        <v>0.80833333333333335</v>
      </c>
      <c r="BP98" s="124"/>
      <c r="BQ98" s="124"/>
      <c r="BR98" s="14">
        <f t="shared" si="93"/>
        <v>1</v>
      </c>
      <c r="BX98" s="83"/>
      <c r="BY98" s="83"/>
      <c r="BZ98" s="83"/>
      <c r="CA98" s="83"/>
      <c r="CB98" s="83"/>
      <c r="CC98" s="151"/>
      <c r="CD98" s="177">
        <f t="shared" si="94"/>
        <v>60000</v>
      </c>
      <c r="CE98" s="134">
        <f t="shared" si="95"/>
        <v>4.7781512503836439</v>
      </c>
      <c r="CF98" s="119">
        <f t="shared" si="96"/>
        <v>3.7735849056603772E-2</v>
      </c>
      <c r="CG98">
        <f t="shared" si="97"/>
        <v>48</v>
      </c>
      <c r="CH98" s="124">
        <f t="shared" si="98"/>
        <v>0.79166666666666663</v>
      </c>
      <c r="CI98" s="124"/>
      <c r="CJ98" s="124"/>
      <c r="CK98" s="14">
        <f t="shared" si="99"/>
        <v>3</v>
      </c>
      <c r="CL98" s="16"/>
    </row>
    <row r="99" spans="1:90" x14ac:dyDescent="0.2">
      <c r="A99" s="8"/>
      <c r="B99" t="s">
        <v>149</v>
      </c>
      <c r="C99">
        <v>11</v>
      </c>
      <c r="D99" t="s">
        <v>119</v>
      </c>
      <c r="F99" s="9"/>
      <c r="G99" t="s">
        <v>111</v>
      </c>
      <c r="H99" s="1">
        <v>14</v>
      </c>
      <c r="I99" s="8">
        <v>310</v>
      </c>
      <c r="J99" t="s">
        <v>35</v>
      </c>
      <c r="K99" s="9">
        <v>0</v>
      </c>
      <c r="L99" s="1">
        <v>0.1</v>
      </c>
      <c r="M99" s="6">
        <v>70</v>
      </c>
      <c r="N99" s="1">
        <v>128.19</v>
      </c>
      <c r="O99" s="18">
        <v>31800.000000000004</v>
      </c>
      <c r="P99" s="30">
        <v>3.3</v>
      </c>
      <c r="R99" s="1"/>
      <c r="S99" s="1"/>
      <c r="T99" s="1"/>
      <c r="U99" s="1"/>
      <c r="W99" s="251">
        <f t="shared" si="72"/>
        <v>-14.031436992402146</v>
      </c>
      <c r="X99" s="118">
        <f t="shared" si="73"/>
        <v>8.0366813674893789E-10</v>
      </c>
      <c r="Y99" s="1"/>
      <c r="Z99" s="1"/>
      <c r="AA99" s="1"/>
      <c r="AB99" s="1"/>
      <c r="AC99" s="197"/>
      <c r="AD99" s="244">
        <f>'Lohman 2011'!AD99</f>
        <v>2.7938932542592712</v>
      </c>
      <c r="AE99" s="96">
        <f t="shared" si="74"/>
        <v>622.14734806165097</v>
      </c>
      <c r="AF99" s="248">
        <v>4.9999999999999998E-7</v>
      </c>
      <c r="AG99" s="22">
        <v>370</v>
      </c>
      <c r="AH99" s="8"/>
      <c r="AI99" s="162">
        <v>0.02</v>
      </c>
      <c r="AJ99" s="167">
        <f t="shared" si="75"/>
        <v>4.6611237087427551</v>
      </c>
      <c r="AK99" s="168">
        <f t="shared" si="76"/>
        <v>4.2190425784876251E-3</v>
      </c>
      <c r="AL99" s="151">
        <f t="shared" si="77"/>
        <v>79.380000000000024</v>
      </c>
      <c r="AM99" s="177">
        <f t="shared" si="78"/>
        <v>233.05618543713774</v>
      </c>
      <c r="AN99" s="134">
        <f t="shared" si="79"/>
        <v>2.3674606338318691</v>
      </c>
      <c r="AO99" s="119">
        <f t="shared" si="80"/>
        <v>1.1635220125786163E-2</v>
      </c>
      <c r="AP99">
        <f t="shared" si="81"/>
        <v>38</v>
      </c>
      <c r="AQ99" s="124">
        <f t="shared" si="82"/>
        <v>0.625</v>
      </c>
      <c r="AR99" s="124"/>
      <c r="AS99" s="124"/>
      <c r="AT99" s="14">
        <f t="shared" si="83"/>
        <v>1</v>
      </c>
      <c r="AZ99" s="83"/>
      <c r="BA99" s="83"/>
      <c r="BB99" s="83"/>
      <c r="BC99" s="83"/>
      <c r="BD99" s="83"/>
      <c r="BE99" s="8">
        <f t="shared" si="84"/>
        <v>1.6265630723378295</v>
      </c>
      <c r="BF99" s="16">
        <f t="shared" si="85"/>
        <v>2.8656274005061531</v>
      </c>
      <c r="BG99" s="16"/>
      <c r="BH99" s="189"/>
      <c r="BI99" s="6">
        <f t="shared" si="86"/>
        <v>1.4722927962450459E-3</v>
      </c>
      <c r="BJ99" s="151">
        <f t="shared" si="87"/>
        <v>227.47350305217844</v>
      </c>
      <c r="BK99" s="177">
        <f t="shared" si="88"/>
        <v>81.32815361689147</v>
      </c>
      <c r="BL99" s="134">
        <f t="shared" si="89"/>
        <v>1.9102409126776487</v>
      </c>
      <c r="BM99" s="119">
        <f t="shared" si="90"/>
        <v>1.1635220125786163E-2</v>
      </c>
      <c r="BN99">
        <f t="shared" si="91"/>
        <v>36</v>
      </c>
      <c r="BO99" s="124">
        <f t="shared" si="92"/>
        <v>0.59166666666666667</v>
      </c>
      <c r="BP99" s="124"/>
      <c r="BQ99" s="124"/>
      <c r="BR99" s="14">
        <f t="shared" si="93"/>
        <v>1</v>
      </c>
      <c r="BX99" s="83"/>
      <c r="BY99" s="83"/>
      <c r="BZ99" s="83"/>
      <c r="CA99" s="83"/>
      <c r="CB99" s="83"/>
      <c r="CC99" s="151"/>
      <c r="CD99" s="177">
        <f t="shared" si="94"/>
        <v>18500</v>
      </c>
      <c r="CE99" s="134">
        <f t="shared" si="95"/>
        <v>4.2671717284030137</v>
      </c>
      <c r="CF99" s="119">
        <f t="shared" si="96"/>
        <v>1.1635220125786163E-2</v>
      </c>
      <c r="CG99">
        <f t="shared" si="97"/>
        <v>36</v>
      </c>
      <c r="CH99" s="124">
        <f t="shared" si="98"/>
        <v>0.59166666666666667</v>
      </c>
      <c r="CI99" s="124"/>
      <c r="CJ99" s="124"/>
      <c r="CK99" s="14">
        <f t="shared" si="99"/>
        <v>3</v>
      </c>
      <c r="CL99" s="16"/>
    </row>
    <row r="100" spans="1:90" x14ac:dyDescent="0.2">
      <c r="A100" s="8"/>
      <c r="B100" t="s">
        <v>149</v>
      </c>
      <c r="C100">
        <v>13</v>
      </c>
      <c r="D100" t="s">
        <v>131</v>
      </c>
      <c r="F100" s="9"/>
      <c r="G100" t="s">
        <v>111</v>
      </c>
      <c r="H100" s="1">
        <v>14</v>
      </c>
      <c r="I100" s="8">
        <v>310</v>
      </c>
      <c r="J100" t="s">
        <v>35</v>
      </c>
      <c r="K100" s="9">
        <v>0</v>
      </c>
      <c r="L100" s="1">
        <v>0.1</v>
      </c>
      <c r="M100" s="6">
        <v>70</v>
      </c>
      <c r="N100" s="1">
        <v>128.19</v>
      </c>
      <c r="O100" s="18">
        <v>31800.000000000004</v>
      </c>
      <c r="P100" s="30">
        <v>3.3</v>
      </c>
      <c r="R100" s="1"/>
      <c r="S100" s="1"/>
      <c r="T100" s="1"/>
      <c r="U100" s="1"/>
      <c r="W100" s="251">
        <f t="shared" si="72"/>
        <v>-14.031436992402146</v>
      </c>
      <c r="X100" s="118">
        <f t="shared" si="73"/>
        <v>8.0366813674893789E-10</v>
      </c>
      <c r="Y100" s="1"/>
      <c r="Z100" s="1"/>
      <c r="AA100" s="1"/>
      <c r="AB100" s="1"/>
      <c r="AC100" s="197"/>
      <c r="AD100" s="244">
        <f>'Lohman 2011'!AD100</f>
        <v>2.7938932542592712</v>
      </c>
      <c r="AE100" s="96">
        <f t="shared" si="74"/>
        <v>622.14734806165097</v>
      </c>
      <c r="AF100" s="248">
        <v>4.9999999999999998E-7</v>
      </c>
      <c r="AG100" s="22">
        <v>190</v>
      </c>
      <c r="AH100" s="8"/>
      <c r="AI100" s="162">
        <v>0.02</v>
      </c>
      <c r="AJ100" s="167">
        <f t="shared" si="75"/>
        <v>2.3935500125976312</v>
      </c>
      <c r="AK100" s="168">
        <f t="shared" si="76"/>
        <v>2.1665353781422942E-3</v>
      </c>
      <c r="AL100" s="151">
        <f t="shared" si="77"/>
        <v>79.38000000000001</v>
      </c>
      <c r="AM100" s="177">
        <f t="shared" si="78"/>
        <v>119.67750062988156</v>
      </c>
      <c r="AN100" s="134">
        <f t="shared" si="79"/>
        <v>2.078012510717703</v>
      </c>
      <c r="AO100" s="119">
        <f t="shared" si="80"/>
        <v>5.974842767295597E-3</v>
      </c>
      <c r="AP100">
        <f t="shared" si="81"/>
        <v>31</v>
      </c>
      <c r="AQ100" s="124">
        <f t="shared" si="82"/>
        <v>0.5083333333333333</v>
      </c>
      <c r="AR100" s="124"/>
      <c r="AS100" s="124"/>
      <c r="AT100" s="14">
        <f t="shared" si="83"/>
        <v>1</v>
      </c>
      <c r="AZ100" s="83"/>
      <c r="BA100" s="83"/>
      <c r="BB100" s="83"/>
      <c r="BC100" s="83"/>
      <c r="BD100" s="83"/>
      <c r="BE100" s="8">
        <f t="shared" si="84"/>
        <v>0.83526211822753393</v>
      </c>
      <c r="BF100" s="16">
        <f t="shared" si="85"/>
        <v>2.8656274005061531</v>
      </c>
      <c r="BG100" s="16"/>
      <c r="BH100" s="189"/>
      <c r="BI100" s="6">
        <f t="shared" si="86"/>
        <v>7.5604224672042887E-4</v>
      </c>
      <c r="BJ100" s="151">
        <f t="shared" si="87"/>
        <v>227.47350305217847</v>
      </c>
      <c r="BK100" s="177">
        <f t="shared" si="88"/>
        <v>41.763105911376698</v>
      </c>
      <c r="BL100" s="134">
        <f t="shared" si="89"/>
        <v>1.6207927895634826</v>
      </c>
      <c r="BM100" s="119">
        <f t="shared" si="90"/>
        <v>5.974842767295597E-3</v>
      </c>
      <c r="BN100">
        <f t="shared" si="91"/>
        <v>27</v>
      </c>
      <c r="BO100" s="124">
        <f t="shared" si="92"/>
        <v>0.44166666666666665</v>
      </c>
      <c r="BP100" s="124"/>
      <c r="BQ100" s="124"/>
      <c r="BR100" s="14">
        <f t="shared" si="93"/>
        <v>1</v>
      </c>
      <c r="BX100" s="83"/>
      <c r="BY100" s="83"/>
      <c r="BZ100" s="83"/>
      <c r="CA100" s="83"/>
      <c r="CB100" s="83"/>
      <c r="CC100" s="151"/>
      <c r="CD100" s="177">
        <f t="shared" si="94"/>
        <v>9500</v>
      </c>
      <c r="CE100" s="134">
        <f t="shared" si="95"/>
        <v>3.9777236052888476</v>
      </c>
      <c r="CF100" s="119">
        <f t="shared" si="96"/>
        <v>5.974842767295597E-3</v>
      </c>
      <c r="CG100">
        <f t="shared" si="97"/>
        <v>30</v>
      </c>
      <c r="CH100" s="124">
        <f t="shared" si="98"/>
        <v>0.49166666666666664</v>
      </c>
      <c r="CI100" s="124"/>
      <c r="CJ100" s="124"/>
      <c r="CK100" s="14">
        <f t="shared" si="99"/>
        <v>3</v>
      </c>
      <c r="CL100" s="16"/>
    </row>
    <row r="101" spans="1:90" x14ac:dyDescent="0.2">
      <c r="A101" s="8"/>
      <c r="B101" t="s">
        <v>149</v>
      </c>
      <c r="C101">
        <v>14</v>
      </c>
      <c r="D101" t="s">
        <v>131</v>
      </c>
      <c r="F101" s="9"/>
      <c r="G101" t="s">
        <v>111</v>
      </c>
      <c r="H101" s="1">
        <v>14</v>
      </c>
      <c r="I101" s="8">
        <v>310</v>
      </c>
      <c r="J101" t="s">
        <v>35</v>
      </c>
      <c r="K101" s="9">
        <v>0</v>
      </c>
      <c r="L101" s="1">
        <v>0.1</v>
      </c>
      <c r="M101" s="6">
        <v>70</v>
      </c>
      <c r="N101" s="1">
        <v>128.19</v>
      </c>
      <c r="O101" s="18">
        <v>31800.000000000004</v>
      </c>
      <c r="P101" s="30">
        <v>3.3</v>
      </c>
      <c r="R101" s="1"/>
      <c r="S101" s="1"/>
      <c r="T101" s="1"/>
      <c r="U101" s="1"/>
      <c r="W101" s="251">
        <f t="shared" si="72"/>
        <v>-14.031436992402146</v>
      </c>
      <c r="X101" s="118">
        <f t="shared" si="73"/>
        <v>8.0366813674893789E-10</v>
      </c>
      <c r="Y101" s="1"/>
      <c r="Z101" s="1"/>
      <c r="AA101" s="1"/>
      <c r="AB101" s="1"/>
      <c r="AC101" s="197"/>
      <c r="AD101" s="244">
        <f>'Lohman 2011'!AD101</f>
        <v>2.7938932542592712</v>
      </c>
      <c r="AE101" s="96">
        <f t="shared" si="74"/>
        <v>622.14734806165097</v>
      </c>
      <c r="AF101" s="248">
        <v>4.9999999999999998E-7</v>
      </c>
      <c r="AG101" s="22">
        <v>180</v>
      </c>
      <c r="AH101" s="8"/>
      <c r="AI101" s="162">
        <v>0.02</v>
      </c>
      <c r="AJ101" s="167">
        <f t="shared" si="75"/>
        <v>2.2675736961451243</v>
      </c>
      <c r="AK101" s="168">
        <f t="shared" si="76"/>
        <v>2.0525072003453313E-3</v>
      </c>
      <c r="AL101" s="151">
        <f t="shared" si="77"/>
        <v>79.38000000000001</v>
      </c>
      <c r="AM101" s="177">
        <f t="shared" si="78"/>
        <v>113.37868480725621</v>
      </c>
      <c r="AN101" s="134">
        <f t="shared" si="79"/>
        <v>2.0545314148681801</v>
      </c>
      <c r="AO101" s="119">
        <f t="shared" si="80"/>
        <v>5.6603773584905656E-3</v>
      </c>
      <c r="AP101">
        <f t="shared" si="81"/>
        <v>30</v>
      </c>
      <c r="AQ101" s="124">
        <f t="shared" si="82"/>
        <v>0.49166666666666664</v>
      </c>
      <c r="AR101" s="124"/>
      <c r="AS101" s="124"/>
      <c r="AT101" s="14">
        <f t="shared" si="83"/>
        <v>1</v>
      </c>
      <c r="AZ101" s="83"/>
      <c r="BA101" s="83"/>
      <c r="BB101" s="83"/>
      <c r="BC101" s="83"/>
      <c r="BD101" s="83"/>
      <c r="BE101" s="8">
        <f t="shared" si="84"/>
        <v>0.79130095411029533</v>
      </c>
      <c r="BF101" s="16">
        <f t="shared" si="85"/>
        <v>2.8656274005061531</v>
      </c>
      <c r="BG101" s="16"/>
      <c r="BH101" s="189"/>
      <c r="BI101" s="6">
        <f t="shared" si="86"/>
        <v>7.1625054952461687E-4</v>
      </c>
      <c r="BJ101" s="151">
        <f t="shared" si="87"/>
        <v>227.47350305217847</v>
      </c>
      <c r="BK101" s="177">
        <f t="shared" si="88"/>
        <v>39.565047705514765</v>
      </c>
      <c r="BL101" s="134">
        <f t="shared" si="89"/>
        <v>1.5973116937139598</v>
      </c>
      <c r="BM101" s="119">
        <f t="shared" si="90"/>
        <v>5.6603773584905656E-3</v>
      </c>
      <c r="BN101">
        <f t="shared" si="91"/>
        <v>26</v>
      </c>
      <c r="BO101" s="124">
        <f t="shared" si="92"/>
        <v>0.42499999999999999</v>
      </c>
      <c r="BP101" s="124"/>
      <c r="BQ101" s="124"/>
      <c r="BR101" s="14">
        <f t="shared" si="93"/>
        <v>1</v>
      </c>
      <c r="BX101" s="83"/>
      <c r="BY101" s="83"/>
      <c r="BZ101" s="83"/>
      <c r="CA101" s="83"/>
      <c r="CB101" s="83"/>
      <c r="CC101" s="151"/>
      <c r="CD101" s="177">
        <f t="shared" si="94"/>
        <v>9000</v>
      </c>
      <c r="CE101" s="134">
        <f t="shared" si="95"/>
        <v>3.9542425094393248</v>
      </c>
      <c r="CF101" s="119">
        <f t="shared" si="96"/>
        <v>5.6603773584905656E-3</v>
      </c>
      <c r="CG101">
        <f t="shared" si="97"/>
        <v>29</v>
      </c>
      <c r="CH101" s="124">
        <f t="shared" si="98"/>
        <v>0.47499999999999998</v>
      </c>
      <c r="CI101" s="124"/>
      <c r="CJ101" s="124"/>
      <c r="CK101" s="14">
        <f t="shared" si="99"/>
        <v>3</v>
      </c>
      <c r="CL101" s="16"/>
    </row>
    <row r="102" spans="1:90" x14ac:dyDescent="0.2">
      <c r="A102" s="8"/>
      <c r="B102" t="s">
        <v>149</v>
      </c>
      <c r="C102">
        <v>17</v>
      </c>
      <c r="D102" t="s">
        <v>130</v>
      </c>
      <c r="F102" s="9"/>
      <c r="G102" t="s">
        <v>111</v>
      </c>
      <c r="H102" s="1">
        <v>14</v>
      </c>
      <c r="I102" s="8">
        <v>310</v>
      </c>
      <c r="J102" t="s">
        <v>35</v>
      </c>
      <c r="K102" s="9">
        <v>0</v>
      </c>
      <c r="L102" s="1">
        <v>0.1</v>
      </c>
      <c r="M102" s="6">
        <v>70</v>
      </c>
      <c r="N102" s="1">
        <v>128.19</v>
      </c>
      <c r="O102" s="18">
        <v>31800.000000000004</v>
      </c>
      <c r="P102" s="30">
        <v>3.3</v>
      </c>
      <c r="R102" s="1"/>
      <c r="S102" s="1"/>
      <c r="T102" s="1"/>
      <c r="U102" s="1"/>
      <c r="W102" s="251">
        <f t="shared" si="72"/>
        <v>-14.031436992402146</v>
      </c>
      <c r="X102" s="118">
        <f t="shared" si="73"/>
        <v>8.0366813674893789E-10</v>
      </c>
      <c r="Y102" s="1"/>
      <c r="Z102" s="1"/>
      <c r="AA102" s="1"/>
      <c r="AB102" s="1"/>
      <c r="AC102" s="197"/>
      <c r="AD102" s="244">
        <f>'Lohman 2011'!AD102</f>
        <v>2.7938932542592712</v>
      </c>
      <c r="AE102" s="96">
        <f t="shared" si="74"/>
        <v>622.14734806165097</v>
      </c>
      <c r="AF102" s="248">
        <v>4.9999999999999998E-7</v>
      </c>
      <c r="AG102" s="22">
        <v>93</v>
      </c>
      <c r="AH102" s="8"/>
      <c r="AI102" s="162">
        <v>0.02</v>
      </c>
      <c r="AJ102" s="167">
        <f t="shared" si="75"/>
        <v>1.1715797430083144</v>
      </c>
      <c r="AK102" s="168">
        <f t="shared" si="76"/>
        <v>1.0604620535117546E-3</v>
      </c>
      <c r="AL102" s="151">
        <f t="shared" si="77"/>
        <v>79.38000000000001</v>
      </c>
      <c r="AM102" s="177">
        <f t="shared" si="78"/>
        <v>58.578987150415713</v>
      </c>
      <c r="AN102" s="134">
        <f t="shared" si="79"/>
        <v>1.7677418583188091</v>
      </c>
      <c r="AO102" s="119">
        <f t="shared" si="80"/>
        <v>2.9245283018867921E-3</v>
      </c>
      <c r="AP102">
        <f t="shared" si="81"/>
        <v>28</v>
      </c>
      <c r="AQ102" s="124">
        <f t="shared" si="82"/>
        <v>0.45833333333333331</v>
      </c>
      <c r="AR102" s="124"/>
      <c r="AS102" s="124"/>
      <c r="AT102" s="14">
        <f t="shared" si="83"/>
        <v>1</v>
      </c>
      <c r="AZ102" s="83"/>
      <c r="BA102" s="83"/>
      <c r="BB102" s="83"/>
      <c r="BC102" s="83"/>
      <c r="BD102" s="83"/>
      <c r="BE102" s="8">
        <f t="shared" si="84"/>
        <v>0.40883882629031926</v>
      </c>
      <c r="BF102" s="16">
        <f t="shared" si="85"/>
        <v>2.8656274005061531</v>
      </c>
      <c r="BG102" s="16"/>
      <c r="BH102" s="189"/>
      <c r="BI102" s="6">
        <f t="shared" si="86"/>
        <v>3.7006278392105204E-4</v>
      </c>
      <c r="BJ102" s="151">
        <f t="shared" si="87"/>
        <v>227.47350305217847</v>
      </c>
      <c r="BK102" s="177">
        <f t="shared" si="88"/>
        <v>20.441941314515962</v>
      </c>
      <c r="BL102" s="134">
        <f t="shared" si="89"/>
        <v>1.3105221371645888</v>
      </c>
      <c r="BM102" s="119">
        <f t="shared" si="90"/>
        <v>2.9245283018867921E-3</v>
      </c>
      <c r="BN102">
        <f t="shared" si="91"/>
        <v>22</v>
      </c>
      <c r="BO102" s="124">
        <f t="shared" si="92"/>
        <v>0.35833333333333334</v>
      </c>
      <c r="BP102" s="124"/>
      <c r="BQ102" s="124"/>
      <c r="BR102" s="14">
        <f t="shared" si="93"/>
        <v>1</v>
      </c>
      <c r="BX102" s="83"/>
      <c r="BY102" s="83"/>
      <c r="BZ102" s="83"/>
      <c r="CA102" s="83"/>
      <c r="CB102" s="83"/>
      <c r="CC102" s="151"/>
      <c r="CD102" s="177">
        <f t="shared" si="94"/>
        <v>4650</v>
      </c>
      <c r="CE102" s="134">
        <f t="shared" si="95"/>
        <v>3.667452952889954</v>
      </c>
      <c r="CF102" s="119">
        <f t="shared" si="96"/>
        <v>2.9245283018867921E-3</v>
      </c>
      <c r="CG102">
        <f t="shared" si="97"/>
        <v>24</v>
      </c>
      <c r="CH102" s="124">
        <f t="shared" si="98"/>
        <v>0.39166666666666666</v>
      </c>
      <c r="CI102" s="124"/>
      <c r="CJ102" s="124"/>
      <c r="CK102" s="14">
        <f t="shared" si="99"/>
        <v>3</v>
      </c>
      <c r="CL102" s="16"/>
    </row>
    <row r="103" spans="1:90" x14ac:dyDescent="0.2">
      <c r="A103" s="8"/>
      <c r="B103" t="s">
        <v>149</v>
      </c>
      <c r="C103">
        <v>18</v>
      </c>
      <c r="D103" t="s">
        <v>126</v>
      </c>
      <c r="F103" s="9"/>
      <c r="G103" t="s">
        <v>111</v>
      </c>
      <c r="H103" s="1">
        <v>14</v>
      </c>
      <c r="I103" s="8">
        <v>310</v>
      </c>
      <c r="J103" t="s">
        <v>35</v>
      </c>
      <c r="K103" s="9">
        <v>0</v>
      </c>
      <c r="L103" s="1">
        <v>0.1</v>
      </c>
      <c r="M103" s="6">
        <v>70</v>
      </c>
      <c r="N103" s="1">
        <v>128.19</v>
      </c>
      <c r="O103" s="18">
        <v>31800.000000000004</v>
      </c>
      <c r="P103" s="30">
        <v>3.3</v>
      </c>
      <c r="R103" s="1"/>
      <c r="S103" s="1"/>
      <c r="T103" s="1"/>
      <c r="U103" s="1"/>
      <c r="W103" s="251">
        <f t="shared" si="72"/>
        <v>-14.031436992402146</v>
      </c>
      <c r="X103" s="118">
        <f t="shared" si="73"/>
        <v>8.0366813674893789E-10</v>
      </c>
      <c r="Y103" s="1"/>
      <c r="Z103" s="1"/>
      <c r="AA103" s="1"/>
      <c r="AB103" s="1"/>
      <c r="AC103" s="197"/>
      <c r="AD103" s="244">
        <f>'Lohman 2011'!AD103</f>
        <v>2.7938932542592712</v>
      </c>
      <c r="AE103" s="96">
        <f t="shared" si="74"/>
        <v>622.14734806165097</v>
      </c>
      <c r="AF103" s="248">
        <v>4.9999999999999998E-7</v>
      </c>
      <c r="AG103" s="22">
        <v>84</v>
      </c>
      <c r="AH103" s="8"/>
      <c r="AI103" s="162">
        <v>0.02</v>
      </c>
      <c r="AJ103" s="167">
        <f t="shared" si="75"/>
        <v>1.0582010582010581</v>
      </c>
      <c r="AK103" s="168">
        <f t="shared" si="76"/>
        <v>9.5783669349448796E-4</v>
      </c>
      <c r="AL103" s="151">
        <f t="shared" si="77"/>
        <v>79.38000000000001</v>
      </c>
      <c r="AM103" s="177">
        <f t="shared" si="78"/>
        <v>52.910052910052904</v>
      </c>
      <c r="AN103" s="134">
        <f t="shared" si="79"/>
        <v>1.7235381958267557</v>
      </c>
      <c r="AO103" s="119">
        <f t="shared" si="80"/>
        <v>2.6415094339622639E-3</v>
      </c>
      <c r="AP103">
        <f t="shared" si="81"/>
        <v>23</v>
      </c>
      <c r="AQ103" s="124">
        <f t="shared" si="82"/>
        <v>0.375</v>
      </c>
      <c r="AR103" s="124"/>
      <c r="AS103" s="124"/>
      <c r="AT103" s="14">
        <f t="shared" si="83"/>
        <v>1</v>
      </c>
      <c r="AZ103" s="83"/>
      <c r="BA103" s="83"/>
      <c r="BB103" s="83"/>
      <c r="BC103" s="83"/>
      <c r="BD103" s="83"/>
      <c r="BE103" s="8">
        <f t="shared" si="84"/>
        <v>0.36927377858480448</v>
      </c>
      <c r="BF103" s="16">
        <f t="shared" si="85"/>
        <v>2.8656274005061531</v>
      </c>
      <c r="BG103" s="16"/>
      <c r="BH103" s="189"/>
      <c r="BI103" s="6">
        <f t="shared" si="86"/>
        <v>3.3425025644482118E-4</v>
      </c>
      <c r="BJ103" s="151">
        <f t="shared" si="87"/>
        <v>227.47350305217847</v>
      </c>
      <c r="BK103" s="177">
        <f t="shared" si="88"/>
        <v>18.463688929240224</v>
      </c>
      <c r="BL103" s="134">
        <f t="shared" si="89"/>
        <v>1.2663184746725353</v>
      </c>
      <c r="BM103" s="119">
        <f t="shared" si="90"/>
        <v>2.6415094339622639E-3</v>
      </c>
      <c r="BN103">
        <f t="shared" si="91"/>
        <v>21</v>
      </c>
      <c r="BO103" s="124">
        <f t="shared" si="92"/>
        <v>0.34166666666666667</v>
      </c>
      <c r="BP103" s="124"/>
      <c r="BQ103" s="124"/>
      <c r="BR103" s="14">
        <f t="shared" si="93"/>
        <v>1</v>
      </c>
      <c r="BX103" s="83"/>
      <c r="BY103" s="83"/>
      <c r="BZ103" s="83"/>
      <c r="CA103" s="83"/>
      <c r="CB103" s="83"/>
      <c r="CC103" s="151"/>
      <c r="CD103" s="177">
        <f t="shared" si="94"/>
        <v>4200</v>
      </c>
      <c r="CE103" s="134">
        <f t="shared" si="95"/>
        <v>3.6232492903979003</v>
      </c>
      <c r="CF103" s="119">
        <f t="shared" si="96"/>
        <v>2.6415094339622639E-3</v>
      </c>
      <c r="CG103">
        <f t="shared" si="97"/>
        <v>23</v>
      </c>
      <c r="CH103" s="124">
        <f t="shared" si="98"/>
        <v>0.375</v>
      </c>
      <c r="CI103" s="124"/>
      <c r="CJ103" s="124"/>
      <c r="CK103" s="14">
        <f t="shared" si="99"/>
        <v>3</v>
      </c>
      <c r="CL103" s="16"/>
    </row>
    <row r="104" spans="1:90" x14ac:dyDescent="0.2">
      <c r="A104" s="8"/>
      <c r="B104" t="s">
        <v>149</v>
      </c>
      <c r="C104">
        <v>20</v>
      </c>
      <c r="D104" t="s">
        <v>129</v>
      </c>
      <c r="F104" s="9"/>
      <c r="G104" t="s">
        <v>111</v>
      </c>
      <c r="H104" s="1">
        <v>14</v>
      </c>
      <c r="I104" s="8">
        <v>310</v>
      </c>
      <c r="J104" t="s">
        <v>35</v>
      </c>
      <c r="K104" s="9">
        <v>0</v>
      </c>
      <c r="L104" s="1">
        <v>0.1</v>
      </c>
      <c r="M104" s="6">
        <v>70</v>
      </c>
      <c r="N104" s="1">
        <v>128.19</v>
      </c>
      <c r="O104" s="18">
        <v>31800.000000000004</v>
      </c>
      <c r="P104" s="30">
        <v>3.3</v>
      </c>
      <c r="R104" s="1"/>
      <c r="S104" s="1"/>
      <c r="T104" s="1"/>
      <c r="U104" s="1"/>
      <c r="W104" s="251">
        <f t="shared" si="72"/>
        <v>-14.031436992402146</v>
      </c>
      <c r="X104" s="118">
        <f t="shared" si="73"/>
        <v>8.0366813674893789E-10</v>
      </c>
      <c r="Y104" s="1"/>
      <c r="Z104" s="1"/>
      <c r="AA104" s="1"/>
      <c r="AB104" s="1"/>
      <c r="AC104" s="197"/>
      <c r="AD104" s="244">
        <f>'Lohman 2011'!AD104</f>
        <v>2.7938932542592712</v>
      </c>
      <c r="AE104" s="96">
        <f t="shared" si="74"/>
        <v>622.14734806165097</v>
      </c>
      <c r="AF104" s="248">
        <v>4.9999999999999998E-7</v>
      </c>
      <c r="AG104" s="22">
        <v>74</v>
      </c>
      <c r="AH104" s="8"/>
      <c r="AI104" s="162">
        <v>0.02</v>
      </c>
      <c r="AJ104" s="167">
        <f t="shared" si="75"/>
        <v>0.93222474174855108</v>
      </c>
      <c r="AK104" s="168">
        <f t="shared" si="76"/>
        <v>8.4380851569752508E-4</v>
      </c>
      <c r="AL104" s="151">
        <f t="shared" si="77"/>
        <v>79.38000000000001</v>
      </c>
      <c r="AM104" s="177">
        <f t="shared" si="78"/>
        <v>46.611237087427554</v>
      </c>
      <c r="AN104" s="134">
        <f t="shared" si="79"/>
        <v>1.6684906294958504</v>
      </c>
      <c r="AO104" s="119">
        <f t="shared" si="80"/>
        <v>2.3270440251572325E-3</v>
      </c>
      <c r="AP104">
        <f t="shared" si="81"/>
        <v>21</v>
      </c>
      <c r="AQ104" s="124">
        <f t="shared" si="82"/>
        <v>0.34166666666666667</v>
      </c>
      <c r="AR104" s="124"/>
      <c r="AS104" s="124"/>
      <c r="AT104" s="14">
        <f t="shared" si="83"/>
        <v>1</v>
      </c>
      <c r="AZ104" s="83"/>
      <c r="BA104" s="83"/>
      <c r="BB104" s="83"/>
      <c r="BC104" s="83"/>
      <c r="BD104" s="83"/>
      <c r="BE104" s="8">
        <f t="shared" si="84"/>
        <v>0.32531261446756593</v>
      </c>
      <c r="BF104" s="16">
        <f t="shared" si="85"/>
        <v>2.8656274005061531</v>
      </c>
      <c r="BG104" s="16"/>
      <c r="BH104" s="189"/>
      <c r="BI104" s="6">
        <f t="shared" si="86"/>
        <v>2.9445855924900918E-4</v>
      </c>
      <c r="BJ104" s="151">
        <f t="shared" si="87"/>
        <v>227.47350305217842</v>
      </c>
      <c r="BK104" s="177">
        <f t="shared" si="88"/>
        <v>16.265630723378298</v>
      </c>
      <c r="BL104" s="134">
        <f t="shared" si="89"/>
        <v>1.21127090834163</v>
      </c>
      <c r="BM104" s="119">
        <f t="shared" si="90"/>
        <v>2.3270440251572325E-3</v>
      </c>
      <c r="BN104">
        <f t="shared" si="91"/>
        <v>20</v>
      </c>
      <c r="BO104" s="124">
        <f t="shared" si="92"/>
        <v>0.32500000000000001</v>
      </c>
      <c r="BP104" s="124"/>
      <c r="BQ104" s="124"/>
      <c r="BR104" s="14">
        <f t="shared" si="93"/>
        <v>1</v>
      </c>
      <c r="BX104" s="83"/>
      <c r="BY104" s="83"/>
      <c r="BZ104" s="83"/>
      <c r="CA104" s="83"/>
      <c r="CB104" s="83"/>
      <c r="CC104" s="151"/>
      <c r="CD104" s="177">
        <f t="shared" si="94"/>
        <v>3700</v>
      </c>
      <c r="CE104" s="134">
        <f t="shared" si="95"/>
        <v>3.568201724066995</v>
      </c>
      <c r="CF104" s="119">
        <f t="shared" si="96"/>
        <v>2.3270440251572325E-3</v>
      </c>
      <c r="CG104">
        <f t="shared" si="97"/>
        <v>22</v>
      </c>
      <c r="CH104" s="124">
        <f t="shared" si="98"/>
        <v>0.35833333333333334</v>
      </c>
      <c r="CI104" s="124"/>
      <c r="CJ104" s="124"/>
      <c r="CK104" s="14">
        <f t="shared" si="99"/>
        <v>3</v>
      </c>
      <c r="CL104" s="16"/>
    </row>
    <row r="105" spans="1:90" x14ac:dyDescent="0.2">
      <c r="A105" s="8"/>
      <c r="B105" t="s">
        <v>149</v>
      </c>
      <c r="C105">
        <v>21</v>
      </c>
      <c r="D105" t="s">
        <v>128</v>
      </c>
      <c r="F105" s="9"/>
      <c r="G105" t="s">
        <v>111</v>
      </c>
      <c r="H105" s="1">
        <v>14</v>
      </c>
      <c r="I105" s="8">
        <v>310</v>
      </c>
      <c r="J105" t="s">
        <v>35</v>
      </c>
      <c r="K105" s="9">
        <v>0</v>
      </c>
      <c r="L105" s="1">
        <v>0.1</v>
      </c>
      <c r="M105" s="6">
        <v>70</v>
      </c>
      <c r="N105" s="1">
        <v>128.19</v>
      </c>
      <c r="O105" s="18">
        <v>31800.000000000004</v>
      </c>
      <c r="P105" s="30">
        <v>3.3</v>
      </c>
      <c r="R105" s="1"/>
      <c r="S105" s="1"/>
      <c r="T105" s="1"/>
      <c r="U105" s="1"/>
      <c r="W105" s="251">
        <f t="shared" si="72"/>
        <v>-14.031436992402146</v>
      </c>
      <c r="X105" s="118">
        <f t="shared" si="73"/>
        <v>8.0366813674893789E-10</v>
      </c>
      <c r="Y105" s="1"/>
      <c r="Z105" s="1"/>
      <c r="AA105" s="1"/>
      <c r="AB105" s="1"/>
      <c r="AC105" s="197"/>
      <c r="AD105" s="244">
        <f>'Lohman 2011'!AD105</f>
        <v>2.7938932542592712</v>
      </c>
      <c r="AE105" s="96">
        <f t="shared" si="74"/>
        <v>622.14734806165097</v>
      </c>
      <c r="AF105" s="248">
        <v>4.9999999999999998E-7</v>
      </c>
      <c r="AG105" s="22">
        <v>70</v>
      </c>
      <c r="AH105" s="8"/>
      <c r="AI105" s="162">
        <v>0.02</v>
      </c>
      <c r="AJ105" s="167">
        <f t="shared" si="75"/>
        <v>0.88183421516754812</v>
      </c>
      <c r="AK105" s="168">
        <f t="shared" si="76"/>
        <v>7.981972445787398E-4</v>
      </c>
      <c r="AL105" s="151">
        <f t="shared" si="77"/>
        <v>79.380000000000038</v>
      </c>
      <c r="AM105" s="177">
        <f t="shared" si="78"/>
        <v>44.091710758377403</v>
      </c>
      <c r="AN105" s="134">
        <f t="shared" si="79"/>
        <v>1.6443569497791308</v>
      </c>
      <c r="AO105" s="119">
        <f t="shared" si="80"/>
        <v>2.2012578616352201E-3</v>
      </c>
      <c r="AP105">
        <f t="shared" si="81"/>
        <v>20</v>
      </c>
      <c r="AQ105" s="124">
        <f t="shared" si="82"/>
        <v>0.32500000000000001</v>
      </c>
      <c r="AR105" s="124"/>
      <c r="AS105" s="124"/>
      <c r="AT105" s="14">
        <f t="shared" si="83"/>
        <v>1</v>
      </c>
      <c r="AZ105" s="83"/>
      <c r="BA105" s="83"/>
      <c r="BB105" s="83"/>
      <c r="BC105" s="83"/>
      <c r="BD105" s="83"/>
      <c r="BE105" s="8">
        <f t="shared" si="84"/>
        <v>0.30772814882067046</v>
      </c>
      <c r="BF105" s="16">
        <f t="shared" si="85"/>
        <v>2.8656274005061531</v>
      </c>
      <c r="BG105" s="16"/>
      <c r="BH105" s="189"/>
      <c r="BI105" s="6">
        <f t="shared" si="86"/>
        <v>2.7854188037068438E-4</v>
      </c>
      <c r="BJ105" s="151">
        <f t="shared" si="87"/>
        <v>227.47350305217844</v>
      </c>
      <c r="BK105" s="177">
        <f t="shared" si="88"/>
        <v>15.386407441033523</v>
      </c>
      <c r="BL105" s="134">
        <f t="shared" si="89"/>
        <v>1.1871372286249107</v>
      </c>
      <c r="BM105" s="119">
        <f t="shared" si="90"/>
        <v>2.2012578616352201E-3</v>
      </c>
      <c r="BN105">
        <f t="shared" si="91"/>
        <v>18</v>
      </c>
      <c r="BO105" s="124">
        <f t="shared" si="92"/>
        <v>0.29166666666666669</v>
      </c>
      <c r="BP105" s="124"/>
      <c r="BQ105" s="124"/>
      <c r="BR105" s="14">
        <f t="shared" si="93"/>
        <v>1</v>
      </c>
      <c r="BX105" s="83"/>
      <c r="BY105" s="83"/>
      <c r="BZ105" s="83"/>
      <c r="CA105" s="83"/>
      <c r="CB105" s="83"/>
      <c r="CC105" s="151"/>
      <c r="CD105" s="177">
        <f t="shared" si="94"/>
        <v>3500</v>
      </c>
      <c r="CE105" s="134">
        <f t="shared" si="95"/>
        <v>3.5440680443502757</v>
      </c>
      <c r="CF105" s="119">
        <f t="shared" si="96"/>
        <v>2.2012578616352201E-3</v>
      </c>
      <c r="CG105">
        <f t="shared" si="97"/>
        <v>21</v>
      </c>
      <c r="CH105" s="124">
        <f t="shared" si="98"/>
        <v>0.34166666666666667</v>
      </c>
      <c r="CI105" s="124"/>
      <c r="CJ105" s="124"/>
      <c r="CK105" s="14">
        <f t="shared" si="99"/>
        <v>3</v>
      </c>
      <c r="CL105" s="16"/>
    </row>
    <row r="106" spans="1:90" x14ac:dyDescent="0.2">
      <c r="A106" s="8"/>
      <c r="B106" t="s">
        <v>149</v>
      </c>
      <c r="C106">
        <v>22</v>
      </c>
      <c r="D106" t="s">
        <v>127</v>
      </c>
      <c r="F106" s="9"/>
      <c r="G106" t="s">
        <v>111</v>
      </c>
      <c r="H106" s="1">
        <v>14</v>
      </c>
      <c r="I106" s="8">
        <v>310</v>
      </c>
      <c r="J106" t="s">
        <v>35</v>
      </c>
      <c r="K106" s="9">
        <v>0</v>
      </c>
      <c r="L106" s="1">
        <v>0.1</v>
      </c>
      <c r="M106" s="6">
        <v>70</v>
      </c>
      <c r="N106" s="1">
        <v>128.19</v>
      </c>
      <c r="O106" s="18">
        <v>31800.000000000004</v>
      </c>
      <c r="P106" s="30">
        <v>3.3</v>
      </c>
      <c r="R106" s="1"/>
      <c r="S106" s="1"/>
      <c r="T106" s="1"/>
      <c r="U106" s="1"/>
      <c r="W106" s="251">
        <f t="shared" si="72"/>
        <v>-14.031436992402146</v>
      </c>
      <c r="X106" s="118">
        <f t="shared" si="73"/>
        <v>8.0366813674893789E-10</v>
      </c>
      <c r="Y106" s="1"/>
      <c r="Z106" s="1"/>
      <c r="AA106" s="1"/>
      <c r="AB106" s="1"/>
      <c r="AC106" s="197"/>
      <c r="AD106" s="244">
        <f>'Lohman 2011'!AD106</f>
        <v>2.7938932542592712</v>
      </c>
      <c r="AE106" s="96">
        <f t="shared" si="74"/>
        <v>622.14734806165097</v>
      </c>
      <c r="AF106" s="248">
        <v>4.9999999999999998E-7</v>
      </c>
      <c r="AG106" s="22">
        <v>40</v>
      </c>
      <c r="AH106" s="8"/>
      <c r="AI106" s="162">
        <v>0.02</v>
      </c>
      <c r="AJ106" s="167">
        <f t="shared" si="75"/>
        <v>0.50390526581002759</v>
      </c>
      <c r="AK106" s="168">
        <f t="shared" si="76"/>
        <v>4.5611271118785139E-4</v>
      </c>
      <c r="AL106" s="151">
        <f t="shared" si="77"/>
        <v>79.380000000000024</v>
      </c>
      <c r="AM106" s="177">
        <f t="shared" si="78"/>
        <v>25.19526329050138</v>
      </c>
      <c r="AN106" s="134">
        <f t="shared" si="79"/>
        <v>1.4013189010928364</v>
      </c>
      <c r="AO106" s="119">
        <f t="shared" si="80"/>
        <v>1.2578616352201257E-3</v>
      </c>
      <c r="AP106">
        <f t="shared" si="81"/>
        <v>16</v>
      </c>
      <c r="AQ106" s="124">
        <f t="shared" si="82"/>
        <v>0.25833333333333336</v>
      </c>
      <c r="AR106" s="124"/>
      <c r="AS106" s="124"/>
      <c r="AT106" s="14">
        <f t="shared" si="83"/>
        <v>1</v>
      </c>
      <c r="AZ106" s="83"/>
      <c r="BA106" s="83"/>
      <c r="BB106" s="83"/>
      <c r="BC106" s="83"/>
      <c r="BD106" s="83"/>
      <c r="BE106" s="8">
        <f t="shared" si="84"/>
        <v>0.17584465646895453</v>
      </c>
      <c r="BF106" s="16">
        <f t="shared" si="85"/>
        <v>2.8656274005061531</v>
      </c>
      <c r="BG106" s="16"/>
      <c r="BH106" s="189"/>
      <c r="BI106" s="6">
        <f t="shared" si="86"/>
        <v>1.5916678878324819E-4</v>
      </c>
      <c r="BJ106" s="151">
        <f t="shared" si="87"/>
        <v>227.47350305217844</v>
      </c>
      <c r="BK106" s="177">
        <f t="shared" si="88"/>
        <v>8.7922328234477263</v>
      </c>
      <c r="BL106" s="134">
        <f t="shared" si="89"/>
        <v>0.94409917993861603</v>
      </c>
      <c r="BM106" s="119">
        <f t="shared" si="90"/>
        <v>1.2578616352201257E-3</v>
      </c>
      <c r="BN106">
        <f t="shared" si="91"/>
        <v>16</v>
      </c>
      <c r="BO106" s="124">
        <f t="shared" si="92"/>
        <v>0.25833333333333336</v>
      </c>
      <c r="BP106" s="124"/>
      <c r="BQ106" s="124"/>
      <c r="BR106" s="14">
        <f t="shared" si="93"/>
        <v>1</v>
      </c>
      <c r="BX106" s="83"/>
      <c r="BY106" s="83"/>
      <c r="BZ106" s="83"/>
      <c r="CA106" s="83"/>
      <c r="CB106" s="83"/>
      <c r="CC106" s="151"/>
      <c r="CD106" s="177">
        <f t="shared" si="94"/>
        <v>2000</v>
      </c>
      <c r="CE106" s="134">
        <f t="shared" si="95"/>
        <v>3.3010299956639813</v>
      </c>
      <c r="CF106" s="119">
        <f t="shared" si="96"/>
        <v>1.2578616352201257E-3</v>
      </c>
      <c r="CG106">
        <f t="shared" si="97"/>
        <v>18</v>
      </c>
      <c r="CH106" s="124">
        <f t="shared" si="98"/>
        <v>0.29166666666666669</v>
      </c>
      <c r="CI106" s="124"/>
      <c r="CJ106" s="124"/>
      <c r="CK106" s="14">
        <f t="shared" si="99"/>
        <v>3</v>
      </c>
      <c r="CL106" s="16"/>
    </row>
    <row r="107" spans="1:90" x14ac:dyDescent="0.2">
      <c r="A107" s="8"/>
      <c r="B107" t="s">
        <v>149</v>
      </c>
      <c r="C107">
        <v>28</v>
      </c>
      <c r="D107" t="s">
        <v>124</v>
      </c>
      <c r="F107" s="9"/>
      <c r="G107" t="s">
        <v>111</v>
      </c>
      <c r="H107" s="1">
        <v>14</v>
      </c>
      <c r="I107" s="8">
        <v>403</v>
      </c>
      <c r="J107" t="s">
        <v>14</v>
      </c>
      <c r="K107" s="9" t="s">
        <v>153</v>
      </c>
      <c r="L107" s="1">
        <v>10</v>
      </c>
      <c r="M107" s="6">
        <v>40</v>
      </c>
      <c r="N107" s="1">
        <v>165.80749949115744</v>
      </c>
      <c r="O107" s="18">
        <v>118882.50367033854</v>
      </c>
      <c r="P107" s="30">
        <v>3.4</v>
      </c>
      <c r="R107" s="1"/>
      <c r="S107" s="1"/>
      <c r="T107" s="1"/>
      <c r="U107" s="1"/>
      <c r="W107" s="251">
        <f t="shared" si="72"/>
        <v>-13.926317009746221</v>
      </c>
      <c r="X107" s="118">
        <f t="shared" si="73"/>
        <v>1.0237566427282099E-9</v>
      </c>
      <c r="Y107" s="1"/>
      <c r="Z107" s="1"/>
      <c r="AA107" s="1"/>
      <c r="AB107" s="1"/>
      <c r="AC107" s="197"/>
      <c r="AD107" s="244">
        <f>'Lohman 2011'!AD107</f>
        <v>2.8928932542592714</v>
      </c>
      <c r="AE107" s="96">
        <f t="shared" si="74"/>
        <v>781.43571099873827</v>
      </c>
      <c r="AF107" s="248">
        <v>7.9999999999999996E-7</v>
      </c>
      <c r="AG107" s="22">
        <v>920</v>
      </c>
      <c r="AH107" s="8"/>
      <c r="AI107" s="162">
        <v>0.02</v>
      </c>
      <c r="AJ107" s="167">
        <f t="shared" si="75"/>
        <v>18.543713781809018</v>
      </c>
      <c r="AK107" s="168">
        <f t="shared" si="76"/>
        <v>1.6784947771712935E-2</v>
      </c>
      <c r="AL107" s="151">
        <f t="shared" si="77"/>
        <v>49.612500000000004</v>
      </c>
      <c r="AM107" s="177">
        <f t="shared" si="78"/>
        <v>927.18568909045086</v>
      </c>
      <c r="AN107" s="134">
        <f t="shared" si="79"/>
        <v>2.9671667197663543</v>
      </c>
      <c r="AO107" s="119">
        <f t="shared" si="80"/>
        <v>7.7387333846127785E-3</v>
      </c>
      <c r="AP107">
        <f t="shared" si="81"/>
        <v>50</v>
      </c>
      <c r="AQ107" s="124">
        <f t="shared" si="82"/>
        <v>0.82499999999999996</v>
      </c>
      <c r="AR107" s="124"/>
      <c r="AS107" s="124"/>
      <c r="AT107" s="14">
        <f t="shared" si="83"/>
        <v>1</v>
      </c>
      <c r="AZ107" s="83"/>
      <c r="BA107" s="83"/>
      <c r="BB107" s="83"/>
      <c r="BC107" s="83"/>
      <c r="BD107" s="83"/>
      <c r="BE107" s="8">
        <f t="shared" si="84"/>
        <v>5.0050932018170498</v>
      </c>
      <c r="BF107" s="16">
        <f t="shared" si="85"/>
        <v>3.7049687256726616</v>
      </c>
      <c r="BG107" s="16"/>
      <c r="BH107" s="189"/>
      <c r="BI107" s="6">
        <f t="shared" si="86"/>
        <v>4.530388517291874E-3</v>
      </c>
      <c r="BJ107" s="151">
        <f t="shared" si="87"/>
        <v>183.81276090243495</v>
      </c>
      <c r="BK107" s="177">
        <f t="shared" si="88"/>
        <v>250.2546600908525</v>
      </c>
      <c r="BL107" s="134">
        <f t="shared" si="89"/>
        <v>2.3983821733957074</v>
      </c>
      <c r="BM107" s="119">
        <f t="shared" si="90"/>
        <v>7.7387333846127785E-3</v>
      </c>
      <c r="BN107">
        <f t="shared" si="91"/>
        <v>47</v>
      </c>
      <c r="BO107" s="124">
        <f t="shared" si="92"/>
        <v>0.77500000000000002</v>
      </c>
      <c r="BP107" s="124"/>
      <c r="BQ107" s="124"/>
      <c r="BR107" s="14">
        <f t="shared" si="93"/>
        <v>1</v>
      </c>
      <c r="BX107" s="83"/>
      <c r="BY107" s="83"/>
      <c r="BZ107" s="83"/>
      <c r="CA107" s="83"/>
      <c r="CB107" s="83"/>
      <c r="CC107" s="151"/>
      <c r="CD107" s="177">
        <f t="shared" si="94"/>
        <v>46000</v>
      </c>
      <c r="CE107" s="134">
        <f t="shared" si="95"/>
        <v>4.6627578316815743</v>
      </c>
      <c r="CF107" s="119">
        <f t="shared" si="96"/>
        <v>7.7387333846127785E-3</v>
      </c>
      <c r="CG107">
        <f t="shared" si="97"/>
        <v>42</v>
      </c>
      <c r="CH107" s="124">
        <f t="shared" si="98"/>
        <v>0.69166666666666665</v>
      </c>
      <c r="CI107" s="124"/>
      <c r="CJ107" s="124"/>
      <c r="CK107" s="14">
        <f t="shared" si="99"/>
        <v>3</v>
      </c>
      <c r="CL107" s="16"/>
    </row>
    <row r="108" spans="1:90" x14ac:dyDescent="0.2">
      <c r="A108" s="8"/>
      <c r="B108" t="s">
        <v>149</v>
      </c>
      <c r="C108">
        <v>30</v>
      </c>
      <c r="D108" t="s">
        <v>117</v>
      </c>
      <c r="F108" s="9"/>
      <c r="G108" t="s">
        <v>111</v>
      </c>
      <c r="H108" s="1">
        <v>14</v>
      </c>
      <c r="I108" s="8">
        <v>403</v>
      </c>
      <c r="J108" t="s">
        <v>14</v>
      </c>
      <c r="K108" s="9" t="s">
        <v>153</v>
      </c>
      <c r="L108" s="1">
        <v>10</v>
      </c>
      <c r="M108" s="6">
        <v>40</v>
      </c>
      <c r="N108" s="1">
        <v>165.80749949115744</v>
      </c>
      <c r="O108" s="18">
        <v>118882.50367033854</v>
      </c>
      <c r="P108" s="30">
        <v>3.4</v>
      </c>
      <c r="R108" s="1"/>
      <c r="S108" s="1"/>
      <c r="T108" s="1"/>
      <c r="U108" s="1"/>
      <c r="W108" s="251">
        <f t="shared" si="72"/>
        <v>-13.926317009746221</v>
      </c>
      <c r="X108" s="118">
        <f t="shared" si="73"/>
        <v>1.0237566427282099E-9</v>
      </c>
      <c r="Y108" s="1"/>
      <c r="Z108" s="1"/>
      <c r="AA108" s="1"/>
      <c r="AB108" s="1"/>
      <c r="AC108" s="197"/>
      <c r="AD108" s="244">
        <f>'Lohman 2011'!AD108</f>
        <v>2.8928932542592714</v>
      </c>
      <c r="AE108" s="96">
        <f t="shared" si="74"/>
        <v>781.43571099873827</v>
      </c>
      <c r="AF108" s="248">
        <v>7.9999999999999996E-7</v>
      </c>
      <c r="AG108" s="22">
        <v>260</v>
      </c>
      <c r="AH108" s="8"/>
      <c r="AI108" s="162">
        <v>0.02</v>
      </c>
      <c r="AJ108" s="167">
        <f t="shared" si="75"/>
        <v>5.2406147644242873</v>
      </c>
      <c r="AK108" s="168">
        <f t="shared" si="76"/>
        <v>4.7435721963536544E-3</v>
      </c>
      <c r="AL108" s="151">
        <f t="shared" si="77"/>
        <v>49.612500000000011</v>
      </c>
      <c r="AM108" s="177">
        <f t="shared" si="78"/>
        <v>262.03073822121434</v>
      </c>
      <c r="AN108" s="134">
        <f t="shared" si="79"/>
        <v>2.4183522403916169</v>
      </c>
      <c r="AO108" s="119">
        <f t="shared" si="80"/>
        <v>2.1870333478253502E-3</v>
      </c>
      <c r="AP108">
        <f t="shared" si="81"/>
        <v>39</v>
      </c>
      <c r="AQ108" s="124">
        <f t="shared" si="82"/>
        <v>0.64166666666666672</v>
      </c>
      <c r="AR108" s="124"/>
      <c r="AS108" s="124"/>
      <c r="AT108" s="14">
        <f t="shared" si="83"/>
        <v>1</v>
      </c>
      <c r="AZ108" s="83"/>
      <c r="BA108" s="83"/>
      <c r="BB108" s="83"/>
      <c r="BC108" s="83"/>
      <c r="BD108" s="83"/>
      <c r="BE108" s="8">
        <f t="shared" si="84"/>
        <v>1.4144828613830793</v>
      </c>
      <c r="BF108" s="16">
        <f t="shared" si="85"/>
        <v>3.7049687256726616</v>
      </c>
      <c r="BG108" s="16"/>
      <c r="BH108" s="189"/>
      <c r="BI108" s="6">
        <f t="shared" si="86"/>
        <v>1.2803271896694426E-3</v>
      </c>
      <c r="BJ108" s="151">
        <f t="shared" si="87"/>
        <v>183.81276090243495</v>
      </c>
      <c r="BK108" s="177">
        <f t="shared" si="88"/>
        <v>70.724143069153968</v>
      </c>
      <c r="BL108" s="134">
        <f t="shared" si="89"/>
        <v>1.84956769402097</v>
      </c>
      <c r="BM108" s="119">
        <f t="shared" si="90"/>
        <v>2.1870333478253502E-3</v>
      </c>
      <c r="BN108">
        <f t="shared" si="91"/>
        <v>35</v>
      </c>
      <c r="BO108" s="124">
        <f t="shared" si="92"/>
        <v>0.57499999999999996</v>
      </c>
      <c r="BP108" s="124"/>
      <c r="BQ108" s="124"/>
      <c r="BR108" s="14">
        <f t="shared" si="93"/>
        <v>1</v>
      </c>
      <c r="BX108" s="83"/>
      <c r="BY108" s="83"/>
      <c r="BZ108" s="83"/>
      <c r="CA108" s="83"/>
      <c r="CB108" s="83"/>
      <c r="CC108" s="151"/>
      <c r="CD108" s="177">
        <f t="shared" si="94"/>
        <v>13000</v>
      </c>
      <c r="CE108" s="134">
        <f t="shared" si="95"/>
        <v>4.1139433523068369</v>
      </c>
      <c r="CF108" s="119">
        <f t="shared" si="96"/>
        <v>2.1870333478253502E-3</v>
      </c>
      <c r="CG108">
        <f t="shared" si="97"/>
        <v>34</v>
      </c>
      <c r="CH108" s="124">
        <f t="shared" si="98"/>
        <v>0.55833333333333335</v>
      </c>
      <c r="CI108" s="124"/>
      <c r="CJ108" s="124"/>
      <c r="CK108" s="14">
        <f t="shared" si="99"/>
        <v>3</v>
      </c>
      <c r="CL108" s="16"/>
    </row>
    <row r="109" spans="1:90" x14ac:dyDescent="0.2">
      <c r="A109" s="8"/>
      <c r="B109" t="s">
        <v>149</v>
      </c>
      <c r="C109">
        <v>16</v>
      </c>
      <c r="D109" t="s">
        <v>124</v>
      </c>
      <c r="F109" s="9"/>
      <c r="G109" t="s">
        <v>111</v>
      </c>
      <c r="H109" s="1">
        <v>14</v>
      </c>
      <c r="I109" s="8">
        <v>406</v>
      </c>
      <c r="J109" t="s">
        <v>125</v>
      </c>
      <c r="K109" s="9">
        <v>0</v>
      </c>
      <c r="L109" s="1">
        <v>0.1</v>
      </c>
      <c r="M109" s="6">
        <v>5</v>
      </c>
      <c r="N109" s="1">
        <v>62.5</v>
      </c>
      <c r="O109" s="18">
        <v>428000</v>
      </c>
      <c r="P109" s="30">
        <v>1.52</v>
      </c>
      <c r="R109" s="1"/>
      <c r="S109" s="1"/>
      <c r="T109" s="1"/>
      <c r="U109" s="1"/>
      <c r="W109" s="251">
        <f t="shared" si="72"/>
        <v>-11.968206996738164</v>
      </c>
      <c r="X109" s="118">
        <f t="shared" si="73"/>
        <v>9.2962275510038772E-8</v>
      </c>
      <c r="Y109" s="1"/>
      <c r="Z109" s="1"/>
      <c r="AA109" s="1"/>
      <c r="AB109" s="1"/>
      <c r="AC109" s="197"/>
      <c r="AD109" s="244">
        <f>'Lohman 2011'!AD109</f>
        <v>1.0316932542592707</v>
      </c>
      <c r="AE109" s="96">
        <f t="shared" si="74"/>
        <v>10.757051659003467</v>
      </c>
      <c r="AF109" s="248">
        <v>9.9999999999999995E-7</v>
      </c>
      <c r="AG109" s="22">
        <v>2700</v>
      </c>
      <c r="AH109" s="8"/>
      <c r="AI109" s="162">
        <v>0.2</v>
      </c>
      <c r="AJ109" s="167">
        <f t="shared" si="75"/>
        <v>68.027210884353721</v>
      </c>
      <c r="AK109" s="168">
        <f t="shared" si="76"/>
        <v>6.157521601035993E-2</v>
      </c>
      <c r="AL109" s="151">
        <f t="shared" si="77"/>
        <v>39.690000000000012</v>
      </c>
      <c r="AM109" s="177">
        <f t="shared" si="78"/>
        <v>340.13605442176856</v>
      </c>
      <c r="AN109" s="134">
        <f t="shared" si="79"/>
        <v>2.5316526695878427</v>
      </c>
      <c r="AO109" s="119">
        <f t="shared" si="80"/>
        <v>6.3084112149532712E-3</v>
      </c>
      <c r="AP109">
        <f t="shared" si="81"/>
        <v>42</v>
      </c>
      <c r="AQ109" s="124">
        <f t="shared" si="82"/>
        <v>0.69166666666666665</v>
      </c>
      <c r="AR109" s="124"/>
      <c r="AS109" s="124"/>
      <c r="AT109" s="14">
        <f t="shared" si="83"/>
        <v>1</v>
      </c>
      <c r="AZ109" s="83"/>
      <c r="BA109" s="83"/>
      <c r="BB109" s="83"/>
      <c r="BC109" s="83"/>
      <c r="BD109" s="83"/>
      <c r="BE109" s="8">
        <f t="shared" si="84"/>
        <v>68.027210884353721</v>
      </c>
      <c r="BF109" s="16">
        <f t="shared" si="85"/>
        <v>1</v>
      </c>
      <c r="BG109" s="16"/>
      <c r="BH109" s="189"/>
      <c r="BI109" s="6">
        <f t="shared" si="86"/>
        <v>6.157521601035993E-2</v>
      </c>
      <c r="BJ109" s="151">
        <f t="shared" si="87"/>
        <v>39.690000000000012</v>
      </c>
      <c r="BK109" s="177">
        <f t="shared" si="88"/>
        <v>340.13605442176856</v>
      </c>
      <c r="BL109" s="134">
        <f t="shared" si="89"/>
        <v>2.5316526695878427</v>
      </c>
      <c r="BM109" s="119">
        <f t="shared" si="90"/>
        <v>6.3084112149532712E-3</v>
      </c>
      <c r="BN109">
        <f t="shared" si="91"/>
        <v>50</v>
      </c>
      <c r="BO109" s="124">
        <f t="shared" si="92"/>
        <v>0.82499999999999996</v>
      </c>
      <c r="BP109" s="124"/>
      <c r="BQ109" s="124"/>
      <c r="BR109" s="14">
        <f t="shared" si="93"/>
        <v>1</v>
      </c>
      <c r="BX109" s="83"/>
      <c r="BY109" s="83"/>
      <c r="BZ109" s="83"/>
      <c r="CA109" s="83"/>
      <c r="CB109" s="83"/>
      <c r="CC109" s="151"/>
      <c r="CD109" s="177">
        <f t="shared" si="94"/>
        <v>13500</v>
      </c>
      <c r="CE109" s="134">
        <f t="shared" si="95"/>
        <v>4.1303337684950066</v>
      </c>
      <c r="CF109" s="119">
        <f t="shared" si="96"/>
        <v>6.3084112149532712E-3</v>
      </c>
      <c r="CG109">
        <f t="shared" si="97"/>
        <v>35</v>
      </c>
      <c r="CH109" s="124">
        <f t="shared" si="98"/>
        <v>0.57499999999999996</v>
      </c>
      <c r="CI109" s="124"/>
      <c r="CJ109" s="124"/>
      <c r="CK109" s="14">
        <f t="shared" si="99"/>
        <v>3</v>
      </c>
      <c r="CL109" s="16"/>
    </row>
    <row r="110" spans="1:90" x14ac:dyDescent="0.2">
      <c r="A110" s="8"/>
      <c r="B110" t="s">
        <v>149</v>
      </c>
      <c r="C110">
        <v>31</v>
      </c>
      <c r="D110" t="s">
        <v>126</v>
      </c>
      <c r="F110" s="9"/>
      <c r="G110" t="s">
        <v>111</v>
      </c>
      <c r="H110" s="1">
        <v>14</v>
      </c>
      <c r="I110" s="8">
        <v>406</v>
      </c>
      <c r="J110" t="s">
        <v>125</v>
      </c>
      <c r="K110" s="9">
        <v>0</v>
      </c>
      <c r="L110" s="1">
        <v>0.1</v>
      </c>
      <c r="M110" s="6">
        <v>5</v>
      </c>
      <c r="N110" s="1">
        <v>62.5</v>
      </c>
      <c r="O110" s="18">
        <v>428000</v>
      </c>
      <c r="P110" s="30">
        <v>1.52</v>
      </c>
      <c r="R110" s="1"/>
      <c r="S110" s="1"/>
      <c r="T110" s="1"/>
      <c r="U110" s="1"/>
      <c r="W110" s="251">
        <f t="shared" si="72"/>
        <v>-11.968206996738164</v>
      </c>
      <c r="X110" s="118">
        <f t="shared" si="73"/>
        <v>9.2962275510038772E-8</v>
      </c>
      <c r="Y110" s="1"/>
      <c r="Z110" s="1"/>
      <c r="AA110" s="1"/>
      <c r="AB110" s="1"/>
      <c r="AC110" s="197"/>
      <c r="AD110" s="244">
        <f>'Lohman 2011'!AD110</f>
        <v>1.0316932542592707</v>
      </c>
      <c r="AE110" s="96">
        <f t="shared" si="74"/>
        <v>10.757051659003467</v>
      </c>
      <c r="AF110" s="248">
        <v>9.9999999999999995E-7</v>
      </c>
      <c r="AG110" s="22">
        <v>11</v>
      </c>
      <c r="AH110" s="8"/>
      <c r="AI110" s="162">
        <v>0.2</v>
      </c>
      <c r="AJ110" s="167">
        <f t="shared" si="75"/>
        <v>0.27714789619551522</v>
      </c>
      <c r="AK110" s="168">
        <f t="shared" si="76"/>
        <v>2.5086199115331828E-4</v>
      </c>
      <c r="AL110" s="151">
        <f t="shared" si="77"/>
        <v>39.690000000000005</v>
      </c>
      <c r="AM110" s="177">
        <f t="shared" si="78"/>
        <v>1.385739480977576</v>
      </c>
      <c r="AN110" s="134">
        <f t="shared" si="79"/>
        <v>0.14168159058708038</v>
      </c>
      <c r="AO110" s="119">
        <f t="shared" si="80"/>
        <v>2.5700934579439254E-5</v>
      </c>
      <c r="AP110">
        <f t="shared" si="81"/>
        <v>5</v>
      </c>
      <c r="AQ110" s="124">
        <f t="shared" si="82"/>
        <v>7.4999999999999997E-2</v>
      </c>
      <c r="AR110" s="124"/>
      <c r="AS110" s="124"/>
      <c r="AT110" s="14">
        <f t="shared" si="83"/>
        <v>1</v>
      </c>
      <c r="AZ110" s="83"/>
      <c r="BA110" s="83"/>
      <c r="BB110" s="83"/>
      <c r="BC110" s="83"/>
      <c r="BD110" s="83"/>
      <c r="BE110" s="8">
        <f t="shared" si="84"/>
        <v>0.27714789619551522</v>
      </c>
      <c r="BF110" s="16">
        <f t="shared" si="85"/>
        <v>1</v>
      </c>
      <c r="BG110" s="16"/>
      <c r="BH110" s="189"/>
      <c r="BI110" s="6">
        <f t="shared" si="86"/>
        <v>2.5086199115331828E-4</v>
      </c>
      <c r="BJ110" s="151">
        <f t="shared" si="87"/>
        <v>39.690000000000005</v>
      </c>
      <c r="BK110" s="177">
        <f t="shared" si="88"/>
        <v>1.385739480977576</v>
      </c>
      <c r="BL110" s="134">
        <f t="shared" si="89"/>
        <v>0.14168159058708038</v>
      </c>
      <c r="BM110" s="119">
        <f t="shared" si="90"/>
        <v>2.5700934579439254E-5</v>
      </c>
      <c r="BN110">
        <f t="shared" si="91"/>
        <v>8</v>
      </c>
      <c r="BO110" s="124">
        <f t="shared" si="92"/>
        <v>0.125</v>
      </c>
      <c r="BP110" s="124"/>
      <c r="BQ110" s="124"/>
      <c r="BR110" s="14">
        <f t="shared" si="93"/>
        <v>1</v>
      </c>
      <c r="BX110" s="83"/>
      <c r="BY110" s="83"/>
      <c r="BZ110" s="83"/>
      <c r="CA110" s="83"/>
      <c r="CB110" s="83"/>
      <c r="CC110" s="151"/>
      <c r="CD110" s="177">
        <f t="shared" si="94"/>
        <v>55</v>
      </c>
      <c r="CE110" s="134">
        <f t="shared" si="95"/>
        <v>1.7403626894942439</v>
      </c>
      <c r="CF110" s="119">
        <f t="shared" si="96"/>
        <v>2.5700934579439254E-5</v>
      </c>
      <c r="CG110">
        <f t="shared" si="97"/>
        <v>4</v>
      </c>
      <c r="CH110" s="124">
        <f t="shared" si="98"/>
        <v>5.8333333333333334E-2</v>
      </c>
      <c r="CI110" s="124"/>
      <c r="CJ110" s="124"/>
      <c r="CK110" s="14">
        <f t="shared" si="99"/>
        <v>3</v>
      </c>
      <c r="CL110" s="16"/>
    </row>
    <row r="111" spans="1:90" x14ac:dyDescent="0.2">
      <c r="A111" s="8"/>
      <c r="B111" t="s">
        <v>149</v>
      </c>
      <c r="C111">
        <v>10</v>
      </c>
      <c r="D111" t="s">
        <v>124</v>
      </c>
      <c r="F111" s="9"/>
      <c r="G111" t="s">
        <v>111</v>
      </c>
      <c r="H111" s="1">
        <v>14</v>
      </c>
      <c r="I111" s="8">
        <v>-200</v>
      </c>
      <c r="J111" t="s">
        <v>24</v>
      </c>
      <c r="K111" s="9" t="s">
        <v>154</v>
      </c>
      <c r="L111" s="1">
        <v>1</v>
      </c>
      <c r="M111" s="6">
        <v>70</v>
      </c>
      <c r="N111" s="1">
        <v>106.18777634762812</v>
      </c>
      <c r="O111" s="18">
        <v>209092.85927557945</v>
      </c>
      <c r="P111" s="30">
        <v>3.1566666666666667</v>
      </c>
      <c r="R111" s="1"/>
      <c r="S111" s="1"/>
      <c r="T111" s="1"/>
      <c r="U111" s="1"/>
      <c r="W111" s="251">
        <f t="shared" si="72"/>
        <v>-13.266287702004245</v>
      </c>
      <c r="X111" s="118">
        <f t="shared" si="73"/>
        <v>4.6797865023516837E-9</v>
      </c>
      <c r="Y111" s="1"/>
      <c r="Z111" s="1"/>
      <c r="AA111" s="1"/>
      <c r="AB111" s="1"/>
      <c r="AC111" s="197"/>
      <c r="AD111" s="244">
        <f>'Lohman 2011'!AD111</f>
        <v>2.6519932542592715</v>
      </c>
      <c r="AE111" s="96">
        <f t="shared" si="74"/>
        <v>448.73841978575496</v>
      </c>
      <c r="AF111" s="249">
        <f>AF73</f>
        <v>2.0999999999999998E-6</v>
      </c>
      <c r="AG111" s="22">
        <v>10000</v>
      </c>
      <c r="AH111" s="8"/>
      <c r="AI111" s="162">
        <v>0.02</v>
      </c>
      <c r="AJ111" s="167">
        <f t="shared" si="75"/>
        <v>529.100529100529</v>
      </c>
      <c r="AK111" s="168">
        <f t="shared" si="76"/>
        <v>0.47891834674724398</v>
      </c>
      <c r="AL111" s="151">
        <f t="shared" si="77"/>
        <v>18.900000000000002</v>
      </c>
      <c r="AM111" s="177">
        <f t="shared" si="78"/>
        <v>26455.026455026451</v>
      </c>
      <c r="AN111" s="134">
        <f t="shared" si="79"/>
        <v>4.4225082001627749</v>
      </c>
      <c r="AO111" s="119">
        <f t="shared" si="80"/>
        <v>4.7825640888196165E-2</v>
      </c>
      <c r="AP111">
        <f t="shared" si="81"/>
        <v>59</v>
      </c>
      <c r="AQ111" s="124">
        <f t="shared" si="82"/>
        <v>0.97499999999999998</v>
      </c>
      <c r="AR111" s="124"/>
      <c r="AS111" s="124"/>
      <c r="AT111" s="14">
        <f t="shared" si="83"/>
        <v>1</v>
      </c>
      <c r="AZ111" s="83"/>
      <c r="BA111" s="83"/>
      <c r="BB111" s="83"/>
      <c r="BC111" s="83"/>
      <c r="BD111" s="83"/>
      <c r="BE111" s="8">
        <f t="shared" si="84"/>
        <v>122.7878688314964</v>
      </c>
      <c r="BF111" s="16">
        <f t="shared" si="85"/>
        <v>4.3090619141425242</v>
      </c>
      <c r="BG111" s="16"/>
      <c r="BH111" s="189"/>
      <c r="BI111" s="6">
        <f t="shared" si="86"/>
        <v>0.11114213633724167</v>
      </c>
      <c r="BJ111" s="151">
        <f t="shared" si="87"/>
        <v>81.441270177293717</v>
      </c>
      <c r="BK111" s="177">
        <f t="shared" si="88"/>
        <v>6139.3934415748199</v>
      </c>
      <c r="BL111" s="134">
        <f t="shared" si="89"/>
        <v>3.7881254659311545</v>
      </c>
      <c r="BM111" s="119">
        <f t="shared" si="90"/>
        <v>4.7825640888196165E-2</v>
      </c>
      <c r="BN111">
        <f t="shared" si="91"/>
        <v>59</v>
      </c>
      <c r="BO111" s="124">
        <f t="shared" si="92"/>
        <v>0.97499999999999998</v>
      </c>
      <c r="BP111" s="124"/>
      <c r="BQ111" s="124"/>
      <c r="BR111" s="14">
        <f t="shared" si="93"/>
        <v>1</v>
      </c>
      <c r="BX111" s="83"/>
      <c r="BY111" s="83"/>
      <c r="BZ111" s="83"/>
      <c r="CA111" s="83"/>
      <c r="CB111" s="83"/>
      <c r="CC111" s="151"/>
      <c r="CD111" s="177">
        <f t="shared" si="94"/>
        <v>500000</v>
      </c>
      <c r="CE111" s="134">
        <f t="shared" si="95"/>
        <v>5.6989700043360187</v>
      </c>
      <c r="CF111" s="119">
        <f t="shared" si="96"/>
        <v>4.7825640888196165E-2</v>
      </c>
      <c r="CG111">
        <f t="shared" si="97"/>
        <v>58</v>
      </c>
      <c r="CH111" s="124">
        <f t="shared" si="98"/>
        <v>0.95833333333333337</v>
      </c>
      <c r="CI111" s="124"/>
      <c r="CJ111" s="124"/>
      <c r="CK111" s="14">
        <f t="shared" si="99"/>
        <v>3</v>
      </c>
      <c r="CL111" s="16"/>
    </row>
    <row r="112" spans="1:90" x14ac:dyDescent="0.2">
      <c r="A112" s="8"/>
      <c r="B112" t="s">
        <v>149</v>
      </c>
      <c r="C112">
        <v>12</v>
      </c>
      <c r="D112" t="s">
        <v>123</v>
      </c>
      <c r="F112" s="9"/>
      <c r="G112" t="s">
        <v>111</v>
      </c>
      <c r="H112" s="1">
        <v>14</v>
      </c>
      <c r="I112" s="8">
        <v>-200</v>
      </c>
      <c r="J112" t="s">
        <v>24</v>
      </c>
      <c r="K112" s="9" t="s">
        <v>154</v>
      </c>
      <c r="L112" s="1">
        <v>1</v>
      </c>
      <c r="M112" s="6">
        <v>70</v>
      </c>
      <c r="N112" s="1">
        <v>106.18777634762812</v>
      </c>
      <c r="O112" s="18">
        <v>209092.85927557945</v>
      </c>
      <c r="P112" s="30">
        <v>3.1566666666666667</v>
      </c>
      <c r="R112" s="1"/>
      <c r="S112" s="1"/>
      <c r="T112" s="1"/>
      <c r="U112" s="1"/>
      <c r="W112" s="251">
        <f t="shared" si="72"/>
        <v>-13.266287702004245</v>
      </c>
      <c r="X112" s="118">
        <f t="shared" si="73"/>
        <v>4.6797865023516837E-9</v>
      </c>
      <c r="Y112" s="1"/>
      <c r="Z112" s="1"/>
      <c r="AA112" s="1"/>
      <c r="AB112" s="1"/>
      <c r="AC112" s="197"/>
      <c r="AD112" s="244">
        <f>'Lohman 2011'!AD112</f>
        <v>2.6519932542592715</v>
      </c>
      <c r="AE112" s="96">
        <f t="shared" si="74"/>
        <v>448.73841978575496</v>
      </c>
      <c r="AF112" s="249">
        <f t="shared" ref="AF112:AF117" si="100">AF74</f>
        <v>2.0999999999999998E-6</v>
      </c>
      <c r="AG112" s="22">
        <v>4300</v>
      </c>
      <c r="AH112" s="8"/>
      <c r="AI112" s="162">
        <v>0.02</v>
      </c>
      <c r="AJ112" s="167">
        <f t="shared" si="75"/>
        <v>227.51322751322746</v>
      </c>
      <c r="AK112" s="168">
        <f t="shared" si="76"/>
        <v>0.20593488910131491</v>
      </c>
      <c r="AL112" s="151">
        <f t="shared" si="77"/>
        <v>18.900000000000006</v>
      </c>
      <c r="AM112" s="177">
        <f t="shared" si="78"/>
        <v>11375.661375661373</v>
      </c>
      <c r="AN112" s="134">
        <f t="shared" si="79"/>
        <v>4.0559766557423611</v>
      </c>
      <c r="AO112" s="119">
        <f t="shared" si="80"/>
        <v>2.0565025581924353E-2</v>
      </c>
      <c r="AP112">
        <f t="shared" si="81"/>
        <v>58</v>
      </c>
      <c r="AQ112" s="124">
        <f t="shared" si="82"/>
        <v>0.95833333333333337</v>
      </c>
      <c r="AR112" s="124"/>
      <c r="AS112" s="124"/>
      <c r="AT112" s="14">
        <f t="shared" si="83"/>
        <v>1</v>
      </c>
      <c r="AZ112" s="83"/>
      <c r="BA112" s="83"/>
      <c r="BB112" s="83"/>
      <c r="BC112" s="83"/>
      <c r="BD112" s="83"/>
      <c r="BE112" s="8">
        <f t="shared" si="84"/>
        <v>52.798783597543441</v>
      </c>
      <c r="BF112" s="16">
        <f t="shared" si="85"/>
        <v>4.3090619141425242</v>
      </c>
      <c r="BG112" s="16"/>
      <c r="BH112" s="189"/>
      <c r="BI112" s="6">
        <f t="shared" si="86"/>
        <v>4.7791118625013909E-2</v>
      </c>
      <c r="BJ112" s="151">
        <f t="shared" si="87"/>
        <v>81.441270177293731</v>
      </c>
      <c r="BK112" s="177">
        <f t="shared" si="88"/>
        <v>2639.9391798771721</v>
      </c>
      <c r="BL112" s="134">
        <f t="shared" si="89"/>
        <v>3.4215939215107412</v>
      </c>
      <c r="BM112" s="119">
        <f t="shared" si="90"/>
        <v>2.0565025581924353E-2</v>
      </c>
      <c r="BN112">
        <f t="shared" si="91"/>
        <v>57</v>
      </c>
      <c r="BO112" s="124">
        <f t="shared" si="92"/>
        <v>0.94166666666666665</v>
      </c>
      <c r="BP112" s="124"/>
      <c r="BQ112" s="124"/>
      <c r="BR112" s="14">
        <f t="shared" si="93"/>
        <v>1</v>
      </c>
      <c r="BX112" s="83"/>
      <c r="BY112" s="83"/>
      <c r="BZ112" s="83"/>
      <c r="CA112" s="83"/>
      <c r="CB112" s="83"/>
      <c r="CC112" s="151"/>
      <c r="CD112" s="177">
        <f t="shared" si="94"/>
        <v>215000</v>
      </c>
      <c r="CE112" s="134">
        <f t="shared" si="95"/>
        <v>5.3324384599156049</v>
      </c>
      <c r="CF112" s="119">
        <f t="shared" si="96"/>
        <v>2.0565025581924353E-2</v>
      </c>
      <c r="CG112">
        <f t="shared" si="97"/>
        <v>56</v>
      </c>
      <c r="CH112" s="124">
        <f t="shared" si="98"/>
        <v>0.92500000000000004</v>
      </c>
      <c r="CI112" s="124"/>
      <c r="CJ112" s="124"/>
      <c r="CK112" s="14">
        <f t="shared" si="99"/>
        <v>3</v>
      </c>
      <c r="CL112" s="16"/>
    </row>
    <row r="113" spans="1:90" x14ac:dyDescent="0.2">
      <c r="A113" s="8"/>
      <c r="B113" t="s">
        <v>149</v>
      </c>
      <c r="C113">
        <v>19</v>
      </c>
      <c r="D113" t="s">
        <v>122</v>
      </c>
      <c r="F113" s="9"/>
      <c r="G113" t="s">
        <v>111</v>
      </c>
      <c r="H113" s="1">
        <v>14</v>
      </c>
      <c r="I113" s="8">
        <v>-200</v>
      </c>
      <c r="J113" t="s">
        <v>24</v>
      </c>
      <c r="K113" s="9" t="s">
        <v>154</v>
      </c>
      <c r="L113" s="1">
        <v>1</v>
      </c>
      <c r="M113" s="6">
        <v>70</v>
      </c>
      <c r="N113" s="1">
        <v>106.18777634762812</v>
      </c>
      <c r="O113" s="18">
        <v>209092.85927557945</v>
      </c>
      <c r="P113" s="30">
        <v>3.1566666666666667</v>
      </c>
      <c r="R113" s="1"/>
      <c r="S113" s="1"/>
      <c r="T113" s="1"/>
      <c r="U113" s="1"/>
      <c r="W113" s="251">
        <f t="shared" si="72"/>
        <v>-13.889536992402146</v>
      </c>
      <c r="X113" s="118">
        <f t="shared" si="73"/>
        <v>1.1142348815123058E-9</v>
      </c>
      <c r="Y113" s="1"/>
      <c r="Z113" s="1"/>
      <c r="AA113" s="1"/>
      <c r="AB113" s="1"/>
      <c r="AC113" s="197"/>
      <c r="AD113" s="244">
        <f>'Lohman 2011'!AD113</f>
        <v>2.6519932542592715</v>
      </c>
      <c r="AE113" s="96">
        <f t="shared" si="74"/>
        <v>448.73841978575496</v>
      </c>
      <c r="AF113" s="249">
        <f t="shared" si="100"/>
        <v>4.9999999999999998E-7</v>
      </c>
      <c r="AG113" s="22">
        <v>1600</v>
      </c>
      <c r="AH113" s="8"/>
      <c r="AI113" s="162">
        <v>0.02</v>
      </c>
      <c r="AJ113" s="167">
        <f t="shared" si="75"/>
        <v>20.156210632401102</v>
      </c>
      <c r="AK113" s="168">
        <f t="shared" si="76"/>
        <v>1.8244508447514053E-2</v>
      </c>
      <c r="AL113" s="151">
        <f t="shared" si="77"/>
        <v>79.380000000000024</v>
      </c>
      <c r="AM113" s="177">
        <f t="shared" si="78"/>
        <v>1007.810531620055</v>
      </c>
      <c r="AN113" s="134">
        <f t="shared" si="79"/>
        <v>3.0033788924207987</v>
      </c>
      <c r="AO113" s="119">
        <f t="shared" si="80"/>
        <v>7.6521025421113871E-3</v>
      </c>
      <c r="AP113">
        <f t="shared" si="81"/>
        <v>51</v>
      </c>
      <c r="AQ113" s="124">
        <f t="shared" si="82"/>
        <v>0.84166666666666667</v>
      </c>
      <c r="AR113" s="124"/>
      <c r="AS113" s="124"/>
      <c r="AT113" s="14">
        <f t="shared" si="83"/>
        <v>1</v>
      </c>
      <c r="AZ113" s="83"/>
      <c r="BA113" s="83"/>
      <c r="BB113" s="83"/>
      <c r="BC113" s="83"/>
      <c r="BD113" s="83"/>
      <c r="BE113" s="8">
        <f t="shared" si="84"/>
        <v>7.9326112482111926</v>
      </c>
      <c r="BF113" s="16">
        <f t="shared" si="85"/>
        <v>2.5409300924643623</v>
      </c>
      <c r="BG113" s="16"/>
      <c r="BH113" s="189"/>
      <c r="BI113" s="6">
        <f t="shared" si="86"/>
        <v>7.1802480916817839E-3</v>
      </c>
      <c r="BJ113" s="151">
        <f t="shared" si="87"/>
        <v>201.6990307398211</v>
      </c>
      <c r="BK113" s="177">
        <f t="shared" si="88"/>
        <v>396.63056241055961</v>
      </c>
      <c r="BL113" s="134">
        <f t="shared" si="89"/>
        <v>2.5983861757665783</v>
      </c>
      <c r="BM113" s="119">
        <f t="shared" si="90"/>
        <v>7.6521025421113871E-3</v>
      </c>
      <c r="BN113">
        <f t="shared" si="91"/>
        <v>51</v>
      </c>
      <c r="BO113" s="124">
        <f t="shared" si="92"/>
        <v>0.84166666666666667</v>
      </c>
      <c r="BP113" s="124"/>
      <c r="BQ113" s="124"/>
      <c r="BR113" s="14">
        <f t="shared" si="93"/>
        <v>1</v>
      </c>
      <c r="BX113" s="83"/>
      <c r="BY113" s="83"/>
      <c r="BZ113" s="83"/>
      <c r="CA113" s="83"/>
      <c r="CB113" s="83"/>
      <c r="CC113" s="151"/>
      <c r="CD113" s="177">
        <f t="shared" si="94"/>
        <v>80000</v>
      </c>
      <c r="CE113" s="134">
        <f t="shared" si="95"/>
        <v>4.9030899869919438</v>
      </c>
      <c r="CF113" s="119">
        <f t="shared" si="96"/>
        <v>7.6521025421113871E-3</v>
      </c>
      <c r="CG113">
        <f t="shared" si="97"/>
        <v>49</v>
      </c>
      <c r="CH113" s="124">
        <f t="shared" si="98"/>
        <v>0.80833333333333335</v>
      </c>
      <c r="CI113" s="124"/>
      <c r="CJ113" s="124"/>
      <c r="CK113" s="14">
        <f t="shared" si="99"/>
        <v>3</v>
      </c>
      <c r="CL113" s="16"/>
    </row>
    <row r="114" spans="1:90" x14ac:dyDescent="0.2">
      <c r="A114" s="8"/>
      <c r="B114" t="s">
        <v>149</v>
      </c>
      <c r="C114">
        <v>23</v>
      </c>
      <c r="D114" t="s">
        <v>121</v>
      </c>
      <c r="F114" s="9"/>
      <c r="G114" t="s">
        <v>111</v>
      </c>
      <c r="H114" s="1">
        <v>14</v>
      </c>
      <c r="I114" s="8">
        <v>-200</v>
      </c>
      <c r="J114" t="s">
        <v>24</v>
      </c>
      <c r="K114" s="9" t="s">
        <v>154</v>
      </c>
      <c r="L114" s="1">
        <v>1</v>
      </c>
      <c r="M114" s="6">
        <v>70</v>
      </c>
      <c r="N114" s="1">
        <v>106.18777634762812</v>
      </c>
      <c r="O114" s="18">
        <v>209092.85927557945</v>
      </c>
      <c r="P114" s="30">
        <v>3.1566666666666667</v>
      </c>
      <c r="R114" s="1"/>
      <c r="S114" s="1"/>
      <c r="T114" s="1"/>
      <c r="U114" s="1"/>
      <c r="W114" s="251">
        <f t="shared" si="72"/>
        <v>-13.889536992402146</v>
      </c>
      <c r="X114" s="118">
        <f t="shared" si="73"/>
        <v>1.1142348815123058E-9</v>
      </c>
      <c r="Y114" s="1"/>
      <c r="Z114" s="1"/>
      <c r="AA114" s="1"/>
      <c r="AB114" s="1"/>
      <c r="AC114" s="197"/>
      <c r="AD114" s="244">
        <f>'Lohman 2011'!AD114</f>
        <v>2.6519932542592715</v>
      </c>
      <c r="AE114" s="96">
        <f t="shared" si="74"/>
        <v>448.73841978575496</v>
      </c>
      <c r="AF114" s="249">
        <f t="shared" si="100"/>
        <v>4.9999999999999998E-7</v>
      </c>
      <c r="AG114" s="22">
        <v>690</v>
      </c>
      <c r="AH114" s="8"/>
      <c r="AI114" s="162">
        <v>0.02</v>
      </c>
      <c r="AJ114" s="167">
        <f t="shared" si="75"/>
        <v>8.6923658352229776</v>
      </c>
      <c r="AK114" s="168">
        <f t="shared" si="76"/>
        <v>7.8679442679904371E-3</v>
      </c>
      <c r="AL114" s="151">
        <f t="shared" si="77"/>
        <v>79.38000000000001</v>
      </c>
      <c r="AM114" s="177">
        <f t="shared" si="78"/>
        <v>434.6182917611489</v>
      </c>
      <c r="AN114" s="134">
        <f t="shared" si="79"/>
        <v>2.6381080005021293</v>
      </c>
      <c r="AO114" s="119">
        <f t="shared" si="80"/>
        <v>3.2999692212855357E-3</v>
      </c>
      <c r="AP114">
        <f t="shared" si="81"/>
        <v>45</v>
      </c>
      <c r="AQ114" s="124">
        <f t="shared" si="82"/>
        <v>0.7416666666666667</v>
      </c>
      <c r="AR114" s="124"/>
      <c r="AS114" s="124"/>
      <c r="AT114" s="14">
        <f t="shared" si="83"/>
        <v>1</v>
      </c>
      <c r="AZ114" s="83"/>
      <c r="BA114" s="83"/>
      <c r="BB114" s="83"/>
      <c r="BC114" s="83"/>
      <c r="BD114" s="83"/>
      <c r="BE114" s="8">
        <f t="shared" si="84"/>
        <v>3.4209386007910774</v>
      </c>
      <c r="BF114" s="16">
        <f t="shared" si="85"/>
        <v>2.5409300924643623</v>
      </c>
      <c r="BG114" s="16"/>
      <c r="BH114" s="189"/>
      <c r="BI114" s="6">
        <f t="shared" si="86"/>
        <v>3.0964819895377702E-3</v>
      </c>
      <c r="BJ114" s="151">
        <f t="shared" si="87"/>
        <v>201.69903073982107</v>
      </c>
      <c r="BK114" s="177">
        <f t="shared" si="88"/>
        <v>171.04693003955387</v>
      </c>
      <c r="BL114" s="134">
        <f t="shared" si="89"/>
        <v>2.2331152838479089</v>
      </c>
      <c r="BM114" s="119">
        <f t="shared" si="90"/>
        <v>3.2999692212855357E-3</v>
      </c>
      <c r="BN114">
        <f t="shared" si="91"/>
        <v>43</v>
      </c>
      <c r="BO114" s="124">
        <f t="shared" si="92"/>
        <v>0.70833333333333337</v>
      </c>
      <c r="BP114" s="124"/>
      <c r="BQ114" s="124"/>
      <c r="BR114" s="14">
        <f t="shared" si="93"/>
        <v>1</v>
      </c>
      <c r="BX114" s="83"/>
      <c r="BY114" s="83"/>
      <c r="BZ114" s="83"/>
      <c r="CA114" s="83"/>
      <c r="CB114" s="83"/>
      <c r="CC114" s="151"/>
      <c r="CD114" s="177">
        <f t="shared" si="94"/>
        <v>34500</v>
      </c>
      <c r="CE114" s="134">
        <f t="shared" si="95"/>
        <v>4.5378190950732744</v>
      </c>
      <c r="CF114" s="119">
        <f t="shared" si="96"/>
        <v>3.2999692212855357E-3</v>
      </c>
      <c r="CG114">
        <f t="shared" si="97"/>
        <v>40</v>
      </c>
      <c r="CH114" s="124">
        <f t="shared" si="98"/>
        <v>0.65833333333333333</v>
      </c>
      <c r="CI114" s="124"/>
      <c r="CJ114" s="124"/>
      <c r="CK114" s="14">
        <f t="shared" si="99"/>
        <v>3</v>
      </c>
      <c r="CL114" s="16"/>
    </row>
    <row r="115" spans="1:90" x14ac:dyDescent="0.2">
      <c r="A115" s="8"/>
      <c r="B115" t="s">
        <v>149</v>
      </c>
      <c r="C115">
        <v>24</v>
      </c>
      <c r="D115" t="s">
        <v>120</v>
      </c>
      <c r="F115" s="9"/>
      <c r="G115" t="s">
        <v>111</v>
      </c>
      <c r="H115" s="1">
        <v>14</v>
      </c>
      <c r="I115" s="8">
        <v>-200</v>
      </c>
      <c r="J115" t="s">
        <v>24</v>
      </c>
      <c r="K115" s="9" t="s">
        <v>154</v>
      </c>
      <c r="L115" s="1">
        <v>1</v>
      </c>
      <c r="M115" s="6">
        <v>70</v>
      </c>
      <c r="N115" s="1">
        <v>106.18777634762812</v>
      </c>
      <c r="O115" s="18">
        <v>209092.85927557945</v>
      </c>
      <c r="P115" s="30">
        <v>3.1566666666666667</v>
      </c>
      <c r="R115" s="1"/>
      <c r="S115" s="1"/>
      <c r="T115" s="1"/>
      <c r="U115" s="1"/>
      <c r="W115" s="251">
        <f t="shared" si="72"/>
        <v>-14.986447005410202</v>
      </c>
      <c r="X115" s="118">
        <f t="shared" si="73"/>
        <v>8.9138790520984459E-11</v>
      </c>
      <c r="Y115" s="1"/>
      <c r="Z115" s="1"/>
      <c r="AA115" s="1"/>
      <c r="AB115" s="1"/>
      <c r="AC115" s="197"/>
      <c r="AD115" s="244">
        <f>'Lohman 2011'!AD115</f>
        <v>2.6519932542592715</v>
      </c>
      <c r="AE115" s="96">
        <f t="shared" si="74"/>
        <v>448.73841978575496</v>
      </c>
      <c r="AF115" s="249">
        <f t="shared" si="100"/>
        <v>4.0000000000000001E-8</v>
      </c>
      <c r="AG115" s="22">
        <v>590</v>
      </c>
      <c r="AH115" s="8"/>
      <c r="AI115" s="162">
        <v>0.02</v>
      </c>
      <c r="AJ115" s="167">
        <f t="shared" si="75"/>
        <v>0.59460821365583272</v>
      </c>
      <c r="AK115" s="168">
        <f t="shared" si="76"/>
        <v>5.382129992016647E-4</v>
      </c>
      <c r="AL115" s="151">
        <f t="shared" si="77"/>
        <v>992.25</v>
      </c>
      <c r="AM115" s="177">
        <f t="shared" si="78"/>
        <v>29.730410682791636</v>
      </c>
      <c r="AN115" s="134">
        <f t="shared" si="79"/>
        <v>1.4732009083989619</v>
      </c>
      <c r="AO115" s="119">
        <f t="shared" si="80"/>
        <v>2.8217128124035738E-3</v>
      </c>
      <c r="AP115">
        <f t="shared" si="81"/>
        <v>18</v>
      </c>
      <c r="AQ115" s="124">
        <f t="shared" si="82"/>
        <v>0.29166666666666669</v>
      </c>
      <c r="AR115" s="124"/>
      <c r="AS115" s="124"/>
      <c r="AT115" s="14">
        <f t="shared" si="83"/>
        <v>1</v>
      </c>
      <c r="AZ115" s="83"/>
      <c r="BA115" s="83"/>
      <c r="BB115" s="83"/>
      <c r="BC115" s="83"/>
      <c r="BD115" s="83"/>
      <c r="BE115" s="8">
        <f t="shared" si="84"/>
        <v>0.59287263091339892</v>
      </c>
      <c r="BF115" s="16">
        <f t="shared" si="85"/>
        <v>1.002927412486152</v>
      </c>
      <c r="BG115" s="16"/>
      <c r="BH115" s="189"/>
      <c r="BI115" s="6">
        <f t="shared" si="86"/>
        <v>5.366420266323073E-4</v>
      </c>
      <c r="BJ115" s="151">
        <f t="shared" si="87"/>
        <v>995.15472503938452</v>
      </c>
      <c r="BK115" s="177">
        <f t="shared" si="88"/>
        <v>29.643631545669944</v>
      </c>
      <c r="BL115" s="134">
        <f t="shared" si="89"/>
        <v>1.4719314065824216</v>
      </c>
      <c r="BM115" s="119">
        <f t="shared" si="90"/>
        <v>2.8217128124035738E-3</v>
      </c>
      <c r="BN115">
        <f t="shared" si="91"/>
        <v>24</v>
      </c>
      <c r="BO115" s="124">
        <f t="shared" si="92"/>
        <v>0.39166666666666666</v>
      </c>
      <c r="BP115" s="124"/>
      <c r="BQ115" s="124"/>
      <c r="BR115" s="14">
        <f t="shared" si="93"/>
        <v>1</v>
      </c>
      <c r="BX115" s="83"/>
      <c r="BY115" s="83"/>
      <c r="BZ115" s="83"/>
      <c r="CA115" s="83"/>
      <c r="CB115" s="83"/>
      <c r="CC115" s="151"/>
      <c r="CD115" s="177">
        <f t="shared" si="94"/>
        <v>29500</v>
      </c>
      <c r="CE115" s="134">
        <f t="shared" si="95"/>
        <v>4.4698220159781634</v>
      </c>
      <c r="CF115" s="119">
        <f t="shared" si="96"/>
        <v>2.8217128124035738E-3</v>
      </c>
      <c r="CG115">
        <f t="shared" si="97"/>
        <v>39</v>
      </c>
      <c r="CH115" s="124">
        <f t="shared" si="98"/>
        <v>0.64166666666666672</v>
      </c>
      <c r="CI115" s="124"/>
      <c r="CJ115" s="124"/>
      <c r="CK115" s="14">
        <f t="shared" si="99"/>
        <v>3</v>
      </c>
      <c r="CL115" s="16"/>
    </row>
    <row r="116" spans="1:90" x14ac:dyDescent="0.2">
      <c r="A116" s="8"/>
      <c r="B116" t="s">
        <v>149</v>
      </c>
      <c r="C116">
        <v>25</v>
      </c>
      <c r="D116" t="s">
        <v>117</v>
      </c>
      <c r="F116" s="9"/>
      <c r="G116" t="s">
        <v>111</v>
      </c>
      <c r="H116" s="1">
        <v>14</v>
      </c>
      <c r="I116" s="8">
        <v>-200</v>
      </c>
      <c r="J116" t="s">
        <v>24</v>
      </c>
      <c r="K116" s="9"/>
      <c r="L116" s="1">
        <v>1</v>
      </c>
      <c r="M116" s="6">
        <v>70</v>
      </c>
      <c r="N116" s="1">
        <v>106.18777634762812</v>
      </c>
      <c r="O116" s="18">
        <v>209092.85927557945</v>
      </c>
      <c r="P116" s="30">
        <v>3.1566666666666667</v>
      </c>
      <c r="R116" s="1"/>
      <c r="S116" s="1"/>
      <c r="T116" s="1"/>
      <c r="U116" s="1"/>
      <c r="W116" s="251">
        <f t="shared" si="72"/>
        <v>-13.685417009746221</v>
      </c>
      <c r="X116" s="118">
        <f t="shared" si="73"/>
        <v>1.7827758104196892E-9</v>
      </c>
      <c r="Y116" s="1"/>
      <c r="Z116" s="1"/>
      <c r="AA116" s="1"/>
      <c r="AB116" s="1"/>
      <c r="AC116" s="197"/>
      <c r="AD116" s="244">
        <f>'Lohman 2011'!AD116</f>
        <v>2.6519932542592715</v>
      </c>
      <c r="AE116" s="96">
        <f t="shared" si="74"/>
        <v>448.73841978575496</v>
      </c>
      <c r="AF116" s="249">
        <f t="shared" si="100"/>
        <v>7.9999999999999996E-7</v>
      </c>
      <c r="AG116" s="22">
        <v>570</v>
      </c>
      <c r="AH116" s="8"/>
      <c r="AI116" s="162">
        <v>0.02</v>
      </c>
      <c r="AJ116" s="167">
        <f t="shared" si="75"/>
        <v>11.48904006046863</v>
      </c>
      <c r="AK116" s="168">
        <f t="shared" si="76"/>
        <v>1.0399369815083012E-2</v>
      </c>
      <c r="AL116" s="151">
        <f t="shared" si="77"/>
        <v>49.612500000000004</v>
      </c>
      <c r="AM116" s="177">
        <f t="shared" si="78"/>
        <v>574.45200302343153</v>
      </c>
      <c r="AN116" s="134">
        <f t="shared" si="79"/>
        <v>2.7592537480932902</v>
      </c>
      <c r="AO116" s="119">
        <f t="shared" si="80"/>
        <v>2.7260615306271816E-3</v>
      </c>
      <c r="AP116">
        <f t="shared" si="81"/>
        <v>46</v>
      </c>
      <c r="AQ116" s="124">
        <f t="shared" si="82"/>
        <v>0.7583333333333333</v>
      </c>
      <c r="AR116" s="124"/>
      <c r="AS116" s="124"/>
      <c r="AT116" s="14">
        <f t="shared" si="83"/>
        <v>1</v>
      </c>
      <c r="AZ116" s="83"/>
      <c r="BA116" s="83"/>
      <c r="BB116" s="83"/>
      <c r="BC116" s="83"/>
      <c r="BD116" s="83"/>
      <c r="BE116" s="8">
        <f t="shared" si="84"/>
        <v>3.8033268281644528</v>
      </c>
      <c r="BF116" s="16">
        <f t="shared" si="85"/>
        <v>3.0207869529880575</v>
      </c>
      <c r="BG116" s="16"/>
      <c r="BH116" s="189"/>
      <c r="BI116" s="6">
        <f t="shared" si="86"/>
        <v>3.4426028637326829E-3</v>
      </c>
      <c r="BJ116" s="151">
        <f t="shared" si="87"/>
        <v>149.86879270512003</v>
      </c>
      <c r="BK116" s="177">
        <f t="shared" si="88"/>
        <v>190.16634140822262</v>
      </c>
      <c r="BL116" s="134">
        <f t="shared" si="89"/>
        <v>2.2791336512226432</v>
      </c>
      <c r="BM116" s="119">
        <f t="shared" si="90"/>
        <v>2.7260615306271816E-3</v>
      </c>
      <c r="BN116">
        <f t="shared" si="91"/>
        <v>45</v>
      </c>
      <c r="BO116" s="124">
        <f t="shared" si="92"/>
        <v>0.7416666666666667</v>
      </c>
      <c r="BP116" s="124"/>
      <c r="BQ116" s="124"/>
      <c r="BR116" s="14">
        <f t="shared" si="93"/>
        <v>1</v>
      </c>
      <c r="BX116" s="83"/>
      <c r="BY116" s="83"/>
      <c r="BZ116" s="83"/>
      <c r="CA116" s="83"/>
      <c r="CB116" s="83"/>
      <c r="CC116" s="151"/>
      <c r="CD116" s="177">
        <f t="shared" si="94"/>
        <v>28500</v>
      </c>
      <c r="CE116" s="134">
        <f t="shared" si="95"/>
        <v>4.4548448600085102</v>
      </c>
      <c r="CF116" s="119">
        <f t="shared" si="96"/>
        <v>2.7260615306271816E-3</v>
      </c>
      <c r="CG116">
        <f t="shared" si="97"/>
        <v>38</v>
      </c>
      <c r="CH116" s="124">
        <f t="shared" si="98"/>
        <v>0.625</v>
      </c>
      <c r="CI116" s="124"/>
      <c r="CJ116" s="124"/>
      <c r="CK116" s="14">
        <f t="shared" si="99"/>
        <v>3</v>
      </c>
      <c r="CL116" s="16"/>
    </row>
    <row r="117" spans="1:90" x14ac:dyDescent="0.2">
      <c r="A117" s="8"/>
      <c r="B117" t="s">
        <v>149</v>
      </c>
      <c r="C117">
        <v>29</v>
      </c>
      <c r="D117" t="s">
        <v>119</v>
      </c>
      <c r="F117" s="9"/>
      <c r="G117" t="s">
        <v>111</v>
      </c>
      <c r="H117" s="1">
        <v>14</v>
      </c>
      <c r="I117" s="8">
        <v>-200</v>
      </c>
      <c r="J117" t="s">
        <v>24</v>
      </c>
      <c r="K117" s="9" t="s">
        <v>154</v>
      </c>
      <c r="L117" s="1">
        <v>1</v>
      </c>
      <c r="M117" s="6">
        <v>70</v>
      </c>
      <c r="N117" s="1">
        <v>106.18777634762812</v>
      </c>
      <c r="O117" s="18">
        <v>209092.85927557945</v>
      </c>
      <c r="P117" s="30">
        <v>3.1566666666666667</v>
      </c>
      <c r="R117" s="1"/>
      <c r="S117" s="1"/>
      <c r="T117" s="1"/>
      <c r="U117" s="1"/>
      <c r="W117" s="251">
        <f t="shared" si="72"/>
        <v>-13.50932575069054</v>
      </c>
      <c r="X117" s="118">
        <f t="shared" si="73"/>
        <v>2.6741637156295336E-9</v>
      </c>
      <c r="Y117" s="1"/>
      <c r="Z117" s="1"/>
      <c r="AA117" s="1"/>
      <c r="AB117" s="1"/>
      <c r="AC117" s="197"/>
      <c r="AD117" s="244">
        <f>'Lohman 2011'!AD117</f>
        <v>2.6519932542592715</v>
      </c>
      <c r="AE117" s="96">
        <f t="shared" si="74"/>
        <v>448.73841978575496</v>
      </c>
      <c r="AF117" s="249">
        <f t="shared" si="100"/>
        <v>1.1999999999999999E-6</v>
      </c>
      <c r="AG117" s="22">
        <v>220</v>
      </c>
      <c r="AH117" s="8"/>
      <c r="AI117" s="162">
        <v>0.02</v>
      </c>
      <c r="AJ117" s="167">
        <f t="shared" si="75"/>
        <v>6.6515495086923639</v>
      </c>
      <c r="AK117" s="168">
        <f t="shared" si="76"/>
        <v>6.0206877876796379E-3</v>
      </c>
      <c r="AL117" s="151">
        <f t="shared" si="77"/>
        <v>33.07500000000001</v>
      </c>
      <c r="AM117" s="177">
        <f t="shared" si="78"/>
        <v>332.57747543461818</v>
      </c>
      <c r="AN117" s="134">
        <f t="shared" si="79"/>
        <v>2.5218928322986862</v>
      </c>
      <c r="AO117" s="119">
        <f t="shared" si="80"/>
        <v>1.0521640995403156E-3</v>
      </c>
      <c r="AP117">
        <f t="shared" si="81"/>
        <v>41</v>
      </c>
      <c r="AQ117" s="124">
        <f t="shared" si="82"/>
        <v>0.67500000000000004</v>
      </c>
      <c r="AR117" s="124"/>
      <c r="AS117" s="124"/>
      <c r="AT117" s="14">
        <f t="shared" si="83"/>
        <v>1</v>
      </c>
      <c r="AZ117" s="83"/>
      <c r="BA117" s="83"/>
      <c r="BB117" s="83"/>
      <c r="BC117" s="83"/>
      <c r="BD117" s="83"/>
      <c r="BE117" s="8">
        <f t="shared" si="84"/>
        <v>1.896668636574619</v>
      </c>
      <c r="BF117" s="16">
        <f t="shared" si="85"/>
        <v>3.5069644641275102</v>
      </c>
      <c r="BG117" s="16"/>
      <c r="BH117" s="189"/>
      <c r="BI117" s="6">
        <f t="shared" si="86"/>
        <v>1.7167803806582089E-3</v>
      </c>
      <c r="BJ117" s="151">
        <f t="shared" si="87"/>
        <v>115.99284965101742</v>
      </c>
      <c r="BK117" s="177">
        <f t="shared" si="88"/>
        <v>94.833431828730951</v>
      </c>
      <c r="BL117" s="134">
        <f t="shared" si="89"/>
        <v>1.9769614670763007</v>
      </c>
      <c r="BM117" s="119">
        <f t="shared" si="90"/>
        <v>1.0521640995403156E-3</v>
      </c>
      <c r="BN117">
        <f t="shared" si="91"/>
        <v>37</v>
      </c>
      <c r="BO117" s="124">
        <f t="shared" si="92"/>
        <v>0.60833333333333328</v>
      </c>
      <c r="BP117" s="124"/>
      <c r="BQ117" s="124"/>
      <c r="BR117" s="14">
        <f t="shared" si="93"/>
        <v>1</v>
      </c>
      <c r="BX117" s="83"/>
      <c r="BY117" s="83"/>
      <c r="BZ117" s="83"/>
      <c r="CA117" s="83"/>
      <c r="CB117" s="83"/>
      <c r="CC117" s="151"/>
      <c r="CD117" s="177">
        <f t="shared" si="94"/>
        <v>11000</v>
      </c>
      <c r="CE117" s="134">
        <f t="shared" si="95"/>
        <v>4.0413926851582254</v>
      </c>
      <c r="CF117" s="119">
        <f t="shared" si="96"/>
        <v>1.0521640995403156E-3</v>
      </c>
      <c r="CG117">
        <f t="shared" si="97"/>
        <v>31</v>
      </c>
      <c r="CH117" s="124">
        <f t="shared" si="98"/>
        <v>0.5083333333333333</v>
      </c>
      <c r="CI117" s="124"/>
      <c r="CJ117" s="124"/>
      <c r="CK117" s="14">
        <f t="shared" si="99"/>
        <v>3</v>
      </c>
      <c r="CL117" s="16"/>
    </row>
    <row r="118" spans="1:90" x14ac:dyDescent="0.2">
      <c r="A118" s="8"/>
      <c r="F118" s="9"/>
      <c r="I118" s="8"/>
      <c r="K118" s="9"/>
      <c r="M118" s="9"/>
      <c r="N118"/>
      <c r="O118"/>
      <c r="X118" s="9"/>
      <c r="AG118" s="10"/>
      <c r="AJ118" s="8"/>
      <c r="AK118" s="9"/>
      <c r="AL118" s="8"/>
      <c r="AP118"/>
      <c r="AQ118" s="14"/>
      <c r="AR118" s="16"/>
      <c r="AS118" s="16"/>
      <c r="BE118" s="8"/>
      <c r="BF118"/>
      <c r="BG118"/>
      <c r="BH118"/>
      <c r="BI118" s="9"/>
      <c r="BJ118" s="8"/>
      <c r="BN118"/>
      <c r="BO118" s="14"/>
      <c r="BP118" s="16"/>
      <c r="BQ118" s="16"/>
      <c r="CC118" s="8"/>
      <c r="CG118"/>
      <c r="CH118" s="14"/>
      <c r="CI118" s="16"/>
      <c r="CJ118" s="16"/>
    </row>
    <row r="119" spans="1:90" x14ac:dyDescent="0.2">
      <c r="A119" s="8"/>
      <c r="F119" s="9"/>
      <c r="I119" s="8"/>
      <c r="K119" s="9"/>
      <c r="M119" s="9"/>
      <c r="N119"/>
      <c r="O119"/>
      <c r="X119" s="9"/>
      <c r="AG119" s="27"/>
      <c r="AI119" s="13"/>
      <c r="AJ119" s="8"/>
      <c r="AK119" s="9"/>
      <c r="AL119" s="8"/>
      <c r="AP119"/>
      <c r="AQ119" s="14"/>
      <c r="AR119" s="16"/>
      <c r="AS119" s="16"/>
      <c r="BE119" s="8"/>
      <c r="BF119"/>
      <c r="BG119"/>
      <c r="BH119"/>
      <c r="BI119" s="9"/>
      <c r="BJ119" s="8"/>
      <c r="BN119"/>
      <c r="BO119" s="14"/>
      <c r="BP119" s="16"/>
      <c r="BQ119" s="16"/>
      <c r="CC119" s="8"/>
      <c r="CG119"/>
      <c r="CH119" s="14"/>
      <c r="CI119" s="16"/>
      <c r="CJ119" s="16"/>
    </row>
    <row r="120" spans="1:90" x14ac:dyDescent="0.2">
      <c r="A120" s="8"/>
      <c r="F120" s="9"/>
      <c r="I120" s="8"/>
      <c r="K120" s="9"/>
      <c r="M120" s="9"/>
      <c r="N120"/>
      <c r="O120"/>
      <c r="X120" s="9"/>
      <c r="AG120" s="27"/>
      <c r="AI120" s="13"/>
      <c r="AJ120" s="8"/>
      <c r="AK120" s="9"/>
      <c r="AL120" s="8"/>
      <c r="AP120"/>
      <c r="AQ120" s="14"/>
      <c r="AR120" s="16"/>
      <c r="AS120" s="16"/>
      <c r="BE120" s="8"/>
      <c r="BF120"/>
      <c r="BG120"/>
      <c r="BH120"/>
      <c r="BI120" s="9"/>
      <c r="BJ120" s="8"/>
      <c r="BN120"/>
      <c r="BO120" s="14"/>
      <c r="BP120" s="16"/>
      <c r="BQ120" s="16"/>
      <c r="CC120" s="8"/>
      <c r="CG120"/>
      <c r="CH120" s="14"/>
      <c r="CI120" s="16"/>
      <c r="CJ120" s="16"/>
    </row>
    <row r="121" spans="1:90" x14ac:dyDescent="0.2">
      <c r="A121" s="8"/>
      <c r="F121" s="9"/>
      <c r="I121" s="8"/>
      <c r="K121" s="9"/>
      <c r="M121" s="9"/>
      <c r="N121"/>
      <c r="O121"/>
      <c r="X121" s="9"/>
      <c r="AG121" s="27"/>
      <c r="AI121" s="13"/>
      <c r="AJ121" s="8"/>
      <c r="AK121" s="9"/>
      <c r="AL121" s="8"/>
      <c r="AP121"/>
      <c r="AQ121" s="14"/>
      <c r="AR121" s="16"/>
      <c r="AS121" s="16"/>
      <c r="BE121" s="8"/>
      <c r="BF121"/>
      <c r="BG121"/>
      <c r="BH121"/>
      <c r="BI121" s="9"/>
      <c r="BJ121" s="8"/>
      <c r="BN121"/>
      <c r="BO121" s="14"/>
      <c r="BP121" s="16"/>
      <c r="BQ121" s="16"/>
      <c r="CC121" s="8"/>
      <c r="CG121"/>
      <c r="CH121" s="14"/>
      <c r="CI121" s="16"/>
      <c r="CJ121" s="16"/>
    </row>
    <row r="122" spans="1:90" x14ac:dyDescent="0.2">
      <c r="A122" s="8"/>
      <c r="F122" s="9"/>
      <c r="I122" s="8"/>
      <c r="K122" s="9"/>
      <c r="M122" s="9"/>
      <c r="N122"/>
      <c r="O122"/>
      <c r="X122" s="9"/>
      <c r="AG122" s="27"/>
      <c r="AJ122" s="8"/>
      <c r="AK122" s="9"/>
      <c r="AL122" s="8"/>
      <c r="AP122"/>
      <c r="AQ122" s="14"/>
      <c r="AR122" s="16"/>
      <c r="AS122" s="16"/>
      <c r="BE122" s="8"/>
      <c r="BF122"/>
      <c r="BG122"/>
      <c r="BH122"/>
      <c r="BI122" s="9"/>
      <c r="BJ122" s="8"/>
      <c r="BN122"/>
      <c r="BO122" s="14"/>
      <c r="BP122" s="16"/>
      <c r="BQ122" s="16"/>
      <c r="CC122" s="8"/>
      <c r="CG122"/>
      <c r="CH122" s="14"/>
      <c r="CI122" s="16"/>
      <c r="CJ122" s="16"/>
    </row>
    <row r="123" spans="1:90" x14ac:dyDescent="0.2">
      <c r="A123" s="8"/>
      <c r="F123" s="9"/>
      <c r="I123" s="8"/>
      <c r="K123" s="9"/>
      <c r="M123" s="9"/>
      <c r="N123"/>
      <c r="O123"/>
      <c r="X123" s="9"/>
      <c r="AG123" s="27"/>
      <c r="AJ123" s="8"/>
      <c r="AK123" s="9"/>
      <c r="AL123" s="8"/>
      <c r="AP123"/>
      <c r="AQ123" s="14"/>
      <c r="AR123" s="16"/>
      <c r="AS123" s="16"/>
      <c r="BE123" s="8"/>
      <c r="BF123"/>
      <c r="BG123"/>
      <c r="BH123"/>
      <c r="BI123" s="9"/>
      <c r="BJ123" s="8"/>
      <c r="BN123"/>
      <c r="BO123" s="14"/>
      <c r="BP123" s="16"/>
      <c r="BQ123" s="16"/>
      <c r="CC123" s="8"/>
      <c r="CG123"/>
      <c r="CH123" s="14"/>
      <c r="CI123" s="16"/>
      <c r="CJ123" s="16"/>
    </row>
    <row r="124" spans="1:90" x14ac:dyDescent="0.2">
      <c r="A124" s="8"/>
      <c r="F124" s="9"/>
      <c r="I124" s="8"/>
      <c r="K124" s="9"/>
      <c r="M124" s="9"/>
      <c r="N124"/>
      <c r="O124"/>
      <c r="X124" s="9"/>
      <c r="AG124" s="27"/>
      <c r="AJ124" s="8"/>
      <c r="AK124" s="9"/>
      <c r="AL124" s="8"/>
      <c r="AP124"/>
      <c r="AQ124" s="14"/>
      <c r="AR124" s="16"/>
      <c r="AS124" s="16"/>
      <c r="BE124" s="8"/>
      <c r="BF124"/>
      <c r="BG124"/>
      <c r="BH124"/>
      <c r="BI124" s="9"/>
      <c r="BJ124" s="8"/>
      <c r="BN124"/>
      <c r="BO124" s="14"/>
      <c r="BP124" s="16"/>
      <c r="BQ124" s="16"/>
      <c r="CC124" s="8"/>
      <c r="CG124"/>
      <c r="CH124" s="14"/>
      <c r="CI124" s="16"/>
      <c r="CJ124" s="16"/>
    </row>
    <row r="125" spans="1:90" x14ac:dyDescent="0.2">
      <c r="A125" s="8"/>
      <c r="F125" s="9"/>
      <c r="I125" s="8"/>
      <c r="K125" s="9"/>
      <c r="M125" s="9"/>
      <c r="N125"/>
      <c r="O125"/>
      <c r="X125" s="9"/>
      <c r="AG125" s="27"/>
      <c r="AJ125" s="8"/>
      <c r="AK125" s="9"/>
      <c r="AL125" s="8"/>
      <c r="AP125"/>
      <c r="AQ125" s="14"/>
      <c r="AR125" s="16"/>
      <c r="AS125" s="16"/>
      <c r="BE125" s="8"/>
      <c r="BF125"/>
      <c r="BG125"/>
      <c r="BH125"/>
      <c r="BI125" s="9"/>
      <c r="BJ125" s="8"/>
      <c r="BN125"/>
      <c r="BO125" s="14"/>
      <c r="BP125" s="16"/>
      <c r="BQ125" s="16"/>
      <c r="CC125" s="8"/>
      <c r="CG125"/>
      <c r="CH125" s="14"/>
      <c r="CI125" s="16"/>
      <c r="CJ125" s="16"/>
    </row>
    <row r="126" spans="1:90" x14ac:dyDescent="0.2">
      <c r="A126" s="8"/>
      <c r="F126" s="9"/>
      <c r="I126" s="8"/>
      <c r="K126" s="9"/>
      <c r="M126" s="9"/>
      <c r="N126"/>
      <c r="O126"/>
      <c r="X126" s="9"/>
      <c r="AG126" s="27"/>
      <c r="AJ126" s="8"/>
      <c r="AK126" s="9"/>
      <c r="AL126" s="8"/>
      <c r="AP126"/>
      <c r="AQ126" s="14"/>
      <c r="AR126" s="16"/>
      <c r="AS126" s="16"/>
      <c r="BE126" s="8"/>
      <c r="BF126"/>
      <c r="BG126"/>
      <c r="BH126"/>
      <c r="BI126" s="9"/>
      <c r="BJ126" s="8"/>
      <c r="BN126"/>
      <c r="BO126" s="14"/>
      <c r="BP126" s="16"/>
      <c r="BQ126" s="16"/>
      <c r="CC126" s="8"/>
      <c r="CG126"/>
      <c r="CH126" s="14"/>
      <c r="CI126" s="16"/>
      <c r="CJ126" s="16"/>
    </row>
    <row r="127" spans="1:90" x14ac:dyDescent="0.2">
      <c r="A127" s="8"/>
      <c r="F127" s="9"/>
      <c r="I127" s="8"/>
      <c r="K127" s="9"/>
      <c r="M127" s="9"/>
      <c r="N127"/>
      <c r="O127"/>
      <c r="X127" s="9"/>
      <c r="AG127" s="27"/>
      <c r="AJ127" s="8"/>
      <c r="AK127" s="9"/>
      <c r="AL127" s="8"/>
      <c r="AP127"/>
      <c r="AQ127" s="14"/>
      <c r="AR127" s="16"/>
      <c r="AS127" s="16"/>
      <c r="BE127" s="8"/>
      <c r="BF127"/>
      <c r="BG127"/>
      <c r="BH127"/>
      <c r="BI127" s="9"/>
      <c r="BJ127" s="8"/>
      <c r="BN127"/>
      <c r="BO127" s="14"/>
      <c r="BP127" s="16"/>
      <c r="BQ127" s="16"/>
      <c r="CC127" s="8"/>
      <c r="CG127"/>
      <c r="CH127" s="14"/>
      <c r="CI127" s="16"/>
      <c r="CJ127" s="16"/>
    </row>
    <row r="128" spans="1:90" x14ac:dyDescent="0.2">
      <c r="A128" s="8"/>
      <c r="F128" s="9"/>
      <c r="I128" s="8"/>
      <c r="K128" s="9"/>
      <c r="M128" s="9"/>
      <c r="N128"/>
      <c r="O128"/>
      <c r="X128" s="9"/>
      <c r="AG128" s="27"/>
      <c r="AJ128" s="8"/>
      <c r="AK128" s="9"/>
      <c r="AL128" s="8"/>
      <c r="AP128"/>
      <c r="AQ128" s="14"/>
      <c r="AR128" s="16"/>
      <c r="AS128" s="16"/>
      <c r="BE128" s="8"/>
      <c r="BF128"/>
      <c r="BG128"/>
      <c r="BH128"/>
      <c r="BI128" s="9"/>
      <c r="BJ128" s="8"/>
      <c r="BN128"/>
      <c r="BO128" s="14"/>
      <c r="BP128" s="16"/>
      <c r="BQ128" s="16"/>
      <c r="CC128" s="8"/>
      <c r="CG128"/>
      <c r="CH128" s="14"/>
      <c r="CI128" s="16"/>
      <c r="CJ128" s="16"/>
    </row>
    <row r="129" spans="1:88" x14ac:dyDescent="0.2">
      <c r="A129" s="8"/>
      <c r="F129" s="9"/>
      <c r="I129" s="8"/>
      <c r="K129" s="9"/>
      <c r="M129" s="9"/>
      <c r="N129"/>
      <c r="O129"/>
      <c r="X129" s="9"/>
      <c r="AG129" s="27"/>
      <c r="AJ129" s="8"/>
      <c r="AK129" s="9"/>
      <c r="AL129" s="8"/>
      <c r="AP129"/>
      <c r="AQ129" s="14"/>
      <c r="AR129" s="16"/>
      <c r="AS129" s="16"/>
      <c r="BE129" s="8"/>
      <c r="BF129"/>
      <c r="BG129"/>
      <c r="BH129"/>
      <c r="BI129" s="9"/>
      <c r="BJ129" s="8"/>
      <c r="BN129"/>
      <c r="BO129" s="14"/>
      <c r="BP129" s="16"/>
      <c r="BQ129" s="16"/>
      <c r="CC129" s="8"/>
      <c r="CG129"/>
      <c r="CH129" s="14"/>
      <c r="CI129" s="16"/>
      <c r="CJ129" s="16"/>
    </row>
    <row r="130" spans="1:88" x14ac:dyDescent="0.2">
      <c r="A130" s="8"/>
      <c r="F130" s="9"/>
      <c r="I130" s="8"/>
      <c r="K130" s="9"/>
      <c r="M130" s="9"/>
      <c r="N130"/>
      <c r="O130"/>
      <c r="X130" s="9"/>
      <c r="AG130" s="27"/>
      <c r="AJ130" s="8"/>
      <c r="AK130" s="9"/>
      <c r="AL130" s="8"/>
      <c r="AP130"/>
      <c r="AQ130" s="14"/>
      <c r="AR130" s="16"/>
      <c r="AS130" s="16"/>
      <c r="BE130" s="8"/>
      <c r="BF130"/>
      <c r="BG130"/>
      <c r="BH130"/>
      <c r="BI130" s="9"/>
      <c r="BJ130" s="8"/>
      <c r="BN130"/>
      <c r="BO130" s="14"/>
      <c r="BP130" s="16"/>
      <c r="BQ130" s="16"/>
      <c r="CC130" s="8"/>
      <c r="CG130"/>
      <c r="CH130" s="14"/>
      <c r="CI130" s="16"/>
      <c r="CJ130" s="16"/>
    </row>
    <row r="131" spans="1:88" x14ac:dyDescent="0.2">
      <c r="A131" s="8"/>
      <c r="F131" s="9"/>
      <c r="I131" s="8"/>
      <c r="K131" s="9"/>
      <c r="M131" s="9"/>
      <c r="N131"/>
      <c r="O131"/>
      <c r="X131" s="9"/>
      <c r="AG131" s="27"/>
      <c r="AJ131" s="8"/>
      <c r="AK131" s="9"/>
      <c r="AL131" s="8"/>
      <c r="AP131"/>
      <c r="AQ131" s="14"/>
      <c r="AR131" s="16"/>
      <c r="AS131" s="16"/>
      <c r="BE131" s="8"/>
      <c r="BF131"/>
      <c r="BG131"/>
      <c r="BH131"/>
      <c r="BI131" s="9"/>
      <c r="BJ131" s="8"/>
      <c r="BN131"/>
      <c r="BO131" s="14"/>
      <c r="BP131" s="16"/>
      <c r="BQ131" s="16"/>
      <c r="CC131" s="8"/>
      <c r="CG131"/>
      <c r="CH131" s="14"/>
      <c r="CI131" s="16"/>
      <c r="CJ131" s="16"/>
    </row>
    <row r="132" spans="1:88" x14ac:dyDescent="0.2">
      <c r="A132" s="8"/>
      <c r="F132" s="9"/>
      <c r="I132" s="8"/>
      <c r="K132" s="9"/>
      <c r="M132" s="9"/>
      <c r="N132"/>
      <c r="O132"/>
      <c r="X132" s="9"/>
      <c r="AG132" s="27"/>
      <c r="AJ132" s="8"/>
      <c r="AK132" s="9"/>
      <c r="AL132" s="8"/>
      <c r="AP132"/>
      <c r="AQ132" s="14"/>
      <c r="AR132" s="16"/>
      <c r="AS132" s="16"/>
      <c r="BE132" s="8"/>
      <c r="BF132"/>
      <c r="BG132"/>
      <c r="BH132"/>
      <c r="BI132" s="9"/>
      <c r="BJ132" s="8"/>
      <c r="BN132"/>
      <c r="BO132" s="14"/>
      <c r="BP132" s="16"/>
      <c r="BQ132" s="16"/>
      <c r="CC132" s="8"/>
      <c r="CG132"/>
      <c r="CH132" s="14"/>
      <c r="CI132" s="16"/>
      <c r="CJ132" s="16"/>
    </row>
    <row r="133" spans="1:88" x14ac:dyDescent="0.2">
      <c r="A133" s="8"/>
      <c r="F133" s="9"/>
      <c r="I133" s="8"/>
      <c r="K133" s="9"/>
      <c r="M133" s="9"/>
      <c r="N133"/>
      <c r="O133"/>
      <c r="X133" s="9"/>
      <c r="AG133" s="27"/>
      <c r="AJ133" s="8"/>
      <c r="AK133" s="9"/>
      <c r="AL133" s="8"/>
      <c r="AP133"/>
      <c r="AQ133" s="14"/>
      <c r="AR133" s="16"/>
      <c r="AS133" s="16"/>
      <c r="BE133" s="8"/>
      <c r="BF133"/>
      <c r="BG133"/>
      <c r="BH133"/>
      <c r="BI133" s="9"/>
      <c r="BJ133" s="8"/>
      <c r="BN133"/>
      <c r="BO133" s="14"/>
      <c r="BP133" s="16"/>
      <c r="BQ133" s="16"/>
      <c r="CC133" s="8"/>
      <c r="CG133"/>
      <c r="CH133" s="14"/>
      <c r="CI133" s="16"/>
      <c r="CJ133" s="16"/>
    </row>
    <row r="134" spans="1:88" x14ac:dyDescent="0.2">
      <c r="A134" s="8"/>
      <c r="F134" s="9"/>
      <c r="I134" s="8"/>
      <c r="K134" s="9"/>
      <c r="M134" s="9"/>
      <c r="N134"/>
      <c r="O134"/>
      <c r="X134" s="9"/>
      <c r="AG134" s="27"/>
      <c r="AJ134" s="8"/>
      <c r="AK134" s="9"/>
      <c r="AL134" s="8"/>
      <c r="AP134"/>
      <c r="AQ134" s="14"/>
      <c r="AR134" s="16"/>
      <c r="AS134" s="16"/>
      <c r="BE134" s="8"/>
      <c r="BF134"/>
      <c r="BG134"/>
      <c r="BH134"/>
      <c r="BI134" s="9"/>
      <c r="BJ134" s="8"/>
      <c r="BN134"/>
      <c r="BO134" s="14"/>
      <c r="BP134" s="16"/>
      <c r="BQ134" s="16"/>
      <c r="CC134" s="8"/>
      <c r="CG134"/>
      <c r="CH134" s="14"/>
      <c r="CI134" s="16"/>
      <c r="CJ134" s="16"/>
    </row>
    <row r="135" spans="1:88" x14ac:dyDescent="0.2">
      <c r="A135" s="8"/>
      <c r="F135" s="9"/>
      <c r="I135" s="8"/>
      <c r="K135" s="9"/>
      <c r="M135" s="9"/>
      <c r="N135"/>
      <c r="O135"/>
      <c r="X135" s="9"/>
      <c r="AG135" s="27"/>
      <c r="AJ135" s="8"/>
      <c r="AK135" s="9"/>
      <c r="AL135" s="8"/>
      <c r="AP135"/>
      <c r="AQ135" s="14"/>
      <c r="AR135" s="16"/>
      <c r="AS135" s="16"/>
      <c r="BE135" s="8"/>
      <c r="BF135"/>
      <c r="BG135"/>
      <c r="BH135"/>
      <c r="BI135" s="9"/>
      <c r="BJ135" s="8"/>
      <c r="BN135"/>
      <c r="BO135" s="14"/>
      <c r="BP135" s="16"/>
      <c r="BQ135" s="16"/>
      <c r="CC135" s="8"/>
      <c r="CG135"/>
      <c r="CH135" s="14"/>
      <c r="CI135" s="16"/>
      <c r="CJ135" s="16"/>
    </row>
    <row r="136" spans="1:88" x14ac:dyDescent="0.2">
      <c r="A136" s="8"/>
      <c r="F136" s="9"/>
      <c r="I136" s="8"/>
      <c r="K136" s="9"/>
      <c r="M136" s="9"/>
      <c r="N136"/>
      <c r="O136"/>
      <c r="X136" s="9"/>
      <c r="AG136" s="27"/>
      <c r="AJ136" s="8"/>
      <c r="AK136" s="9"/>
      <c r="AL136" s="8"/>
      <c r="AP136"/>
      <c r="AQ136" s="14"/>
      <c r="AR136" s="16"/>
      <c r="AS136" s="16"/>
      <c r="BE136" s="8"/>
      <c r="BF136"/>
      <c r="BG136"/>
      <c r="BH136"/>
      <c r="BI136" s="9"/>
      <c r="BJ136" s="8"/>
      <c r="BN136"/>
      <c r="BO136" s="14"/>
      <c r="BP136" s="16"/>
      <c r="BQ136" s="16"/>
      <c r="CC136" s="8"/>
      <c r="CG136"/>
      <c r="CH136" s="14"/>
      <c r="CI136" s="16"/>
      <c r="CJ136" s="16"/>
    </row>
    <row r="137" spans="1:88" x14ac:dyDescent="0.2">
      <c r="A137" s="8"/>
      <c r="F137" s="9"/>
      <c r="I137" s="8"/>
      <c r="K137" s="9"/>
      <c r="M137" s="9"/>
      <c r="N137"/>
      <c r="O137"/>
      <c r="X137" s="9"/>
      <c r="AG137" s="27"/>
      <c r="AJ137" s="8"/>
      <c r="AK137" s="9"/>
      <c r="AL137" s="8"/>
      <c r="AP137"/>
      <c r="AQ137" s="14"/>
      <c r="AR137" s="16"/>
      <c r="AS137" s="16"/>
      <c r="BE137" s="8"/>
      <c r="BF137"/>
      <c r="BG137"/>
      <c r="BH137"/>
      <c r="BI137" s="9"/>
      <c r="BJ137" s="8"/>
      <c r="BN137"/>
      <c r="BO137" s="14"/>
      <c r="BP137" s="16"/>
      <c r="BQ137" s="16"/>
      <c r="CC137" s="8"/>
      <c r="CG137"/>
      <c r="CH137" s="14"/>
      <c r="CI137" s="16"/>
      <c r="CJ137" s="16"/>
    </row>
    <row r="138" spans="1:88" x14ac:dyDescent="0.2">
      <c r="A138" s="8"/>
      <c r="F138" s="9"/>
      <c r="I138" s="8"/>
      <c r="K138" s="9"/>
      <c r="M138" s="9"/>
      <c r="N138"/>
      <c r="O138"/>
      <c r="X138" s="9"/>
      <c r="AG138" s="27"/>
      <c r="AH138" s="8"/>
      <c r="AJ138" s="8"/>
      <c r="AK138" s="9"/>
      <c r="AL138" s="8"/>
      <c r="AP138"/>
      <c r="AQ138" s="14"/>
      <c r="AR138" s="16"/>
      <c r="AS138" s="16"/>
      <c r="BE138" s="8"/>
      <c r="BF138"/>
      <c r="BG138"/>
      <c r="BH138"/>
      <c r="BI138" s="9"/>
      <c r="BJ138" s="8"/>
      <c r="BN138"/>
      <c r="BO138" s="14"/>
      <c r="BP138" s="16"/>
      <c r="BQ138" s="16"/>
      <c r="CC138" s="8"/>
      <c r="CG138"/>
      <c r="CH138" s="14"/>
      <c r="CI138" s="16"/>
      <c r="CJ138" s="16"/>
    </row>
    <row r="139" spans="1:88" x14ac:dyDescent="0.2">
      <c r="A139" s="8"/>
      <c r="F139" s="9"/>
      <c r="I139" s="8"/>
      <c r="K139" s="9"/>
      <c r="M139" s="9"/>
      <c r="N139"/>
      <c r="O139"/>
      <c r="X139" s="9"/>
      <c r="AG139" s="27"/>
      <c r="AH139" s="8"/>
      <c r="AJ139" s="8"/>
      <c r="AK139" s="9"/>
      <c r="AL139" s="8"/>
      <c r="AP139"/>
      <c r="AQ139" s="14"/>
      <c r="AR139" s="16"/>
      <c r="AS139" s="16"/>
      <c r="BE139" s="8"/>
      <c r="BF139"/>
      <c r="BG139"/>
      <c r="BH139"/>
      <c r="BI139" s="9"/>
      <c r="BJ139" s="8"/>
      <c r="BN139"/>
      <c r="BO139" s="14"/>
      <c r="BP139" s="16"/>
      <c r="BQ139" s="16"/>
      <c r="CC139" s="8"/>
      <c r="CG139"/>
      <c r="CH139" s="14"/>
      <c r="CI139" s="16"/>
      <c r="CJ139" s="16"/>
    </row>
    <row r="140" spans="1:88" x14ac:dyDescent="0.2">
      <c r="A140" s="8"/>
      <c r="F140" s="9"/>
      <c r="I140" s="8"/>
      <c r="K140" s="9"/>
      <c r="M140" s="9"/>
      <c r="N140"/>
      <c r="O140"/>
      <c r="X140" s="9"/>
      <c r="AG140" s="27"/>
      <c r="AH140" s="8"/>
      <c r="AJ140" s="8"/>
      <c r="AK140" s="9"/>
      <c r="AL140" s="8"/>
      <c r="AP140"/>
      <c r="AQ140" s="14"/>
      <c r="AR140" s="16"/>
      <c r="AS140" s="16"/>
      <c r="BE140" s="8"/>
      <c r="BF140"/>
      <c r="BG140"/>
      <c r="BH140"/>
      <c r="BI140" s="9"/>
      <c r="BJ140" s="8"/>
      <c r="BN140"/>
      <c r="BO140" s="14"/>
      <c r="BP140" s="16"/>
      <c r="BQ140" s="16"/>
      <c r="CC140" s="8"/>
      <c r="CG140"/>
      <c r="CH140" s="14"/>
      <c r="CI140" s="16"/>
      <c r="CJ140" s="16"/>
    </row>
    <row r="141" spans="1:88" x14ac:dyDescent="0.2">
      <c r="A141" s="8"/>
      <c r="F141" s="9"/>
      <c r="I141" s="8"/>
      <c r="K141" s="9"/>
      <c r="M141" s="9"/>
      <c r="N141"/>
      <c r="O141"/>
      <c r="X141" s="9"/>
      <c r="AG141" s="27"/>
      <c r="AH141" s="8"/>
      <c r="AJ141" s="8"/>
      <c r="AK141" s="9"/>
      <c r="AL141" s="8"/>
      <c r="AP141"/>
      <c r="AQ141" s="14"/>
      <c r="AR141" s="16"/>
      <c r="AS141" s="16"/>
      <c r="BE141" s="8"/>
      <c r="BF141"/>
      <c r="BG141"/>
      <c r="BH141"/>
      <c r="BI141" s="9"/>
      <c r="BJ141" s="8"/>
      <c r="BN141"/>
      <c r="BO141" s="14"/>
      <c r="BP141" s="16"/>
      <c r="BQ141" s="16"/>
      <c r="CC141" s="8"/>
      <c r="CG141"/>
      <c r="CH141" s="14"/>
      <c r="CI141" s="16"/>
      <c r="CJ141" s="16"/>
    </row>
    <row r="142" spans="1:88" x14ac:dyDescent="0.2">
      <c r="A142" s="8"/>
      <c r="F142" s="9"/>
      <c r="I142" s="8"/>
      <c r="K142" s="9"/>
      <c r="M142" s="9"/>
      <c r="N142"/>
      <c r="O142"/>
      <c r="X142" s="9"/>
      <c r="AG142" s="27"/>
      <c r="AH142" s="8"/>
      <c r="AJ142" s="8"/>
      <c r="AK142" s="9"/>
      <c r="AL142" s="8"/>
      <c r="AP142"/>
      <c r="AQ142" s="14"/>
      <c r="AR142" s="16"/>
      <c r="AS142" s="16"/>
      <c r="BE142" s="8"/>
      <c r="BF142"/>
      <c r="BG142"/>
      <c r="BH142"/>
      <c r="BI142" s="9"/>
      <c r="BJ142" s="8"/>
      <c r="BN142"/>
      <c r="BO142" s="14"/>
      <c r="BP142" s="16"/>
      <c r="BQ142" s="16"/>
      <c r="CG142"/>
      <c r="CH142" s="16"/>
      <c r="CI142" s="16"/>
      <c r="CJ142" s="16"/>
    </row>
    <row r="143" spans="1:88" x14ac:dyDescent="0.2">
      <c r="A143" s="8"/>
      <c r="F143" s="9"/>
      <c r="I143" s="8"/>
      <c r="K143" s="9"/>
      <c r="M143" s="9"/>
      <c r="N143"/>
      <c r="O143"/>
      <c r="X143" s="9"/>
      <c r="AG143" s="27"/>
      <c r="AH143" s="8"/>
      <c r="AJ143" s="8"/>
      <c r="AK143" s="9"/>
      <c r="AL143" s="8"/>
      <c r="AM143" s="89"/>
      <c r="AN143" s="25"/>
      <c r="AO143" s="25"/>
      <c r="AP143"/>
      <c r="AQ143" s="14"/>
      <c r="AR143" s="16"/>
      <c r="AS143" s="16"/>
      <c r="BE143" s="8"/>
      <c r="BF143"/>
      <c r="BG143"/>
      <c r="BH143"/>
      <c r="BI143" s="9"/>
      <c r="BJ143" s="8"/>
      <c r="BK143" s="89"/>
      <c r="BL143" s="25"/>
      <c r="BM143" s="25"/>
      <c r="BN143"/>
      <c r="BO143" s="14"/>
      <c r="BP143" s="16"/>
      <c r="BQ143" s="16"/>
      <c r="CD143" s="243"/>
      <c r="CE143" s="240"/>
      <c r="CF143" s="240"/>
      <c r="CG143"/>
      <c r="CH143" s="16"/>
      <c r="CI143" s="16"/>
      <c r="CJ143" s="16"/>
    </row>
    <row r="144" spans="1:88" x14ac:dyDescent="0.2">
      <c r="A144" s="8"/>
      <c r="F144" s="9"/>
      <c r="I144" s="8"/>
      <c r="K144" s="9"/>
      <c r="M144" s="9"/>
      <c r="N144"/>
      <c r="O144"/>
      <c r="X144" s="9"/>
      <c r="AG144" s="27"/>
      <c r="AH144" s="8"/>
      <c r="AJ144" s="8"/>
      <c r="AK144" s="9"/>
      <c r="AL144" s="8"/>
      <c r="AM144" s="243"/>
      <c r="AN144" s="240"/>
      <c r="AO144" s="240"/>
      <c r="AP144"/>
      <c r="AQ144" s="16"/>
      <c r="AR144" s="16"/>
      <c r="AS144" s="16"/>
      <c r="BE144" s="8"/>
      <c r="BF144"/>
      <c r="BG144"/>
      <c r="BH144"/>
      <c r="BI144" s="9"/>
      <c r="BJ144" s="8"/>
      <c r="BK144" s="89"/>
      <c r="BL144" s="25"/>
      <c r="BM144" s="25"/>
      <c r="BN144"/>
      <c r="BO144" s="14"/>
      <c r="BP144" s="16"/>
      <c r="BQ144" s="16"/>
      <c r="CD144" s="243"/>
      <c r="CE144" s="240"/>
      <c r="CF144" s="240"/>
      <c r="CG144"/>
      <c r="CH144" s="16"/>
      <c r="CI144" s="16"/>
      <c r="CJ144" s="16"/>
    </row>
    <row r="145" spans="1:88" x14ac:dyDescent="0.2">
      <c r="A145" s="8"/>
      <c r="F145" s="9"/>
      <c r="I145" s="8"/>
      <c r="K145" s="9"/>
      <c r="M145" s="9"/>
      <c r="N145"/>
      <c r="O145"/>
      <c r="X145" s="9"/>
      <c r="AG145" s="27"/>
      <c r="AH145" s="8"/>
      <c r="AJ145" s="8"/>
      <c r="AK145" s="9"/>
      <c r="AL145" s="8"/>
      <c r="AM145" s="243"/>
      <c r="AN145" s="240"/>
      <c r="AO145" s="240"/>
      <c r="AP145"/>
      <c r="AQ145" s="16"/>
      <c r="AR145" s="16"/>
      <c r="AS145" s="16"/>
      <c r="BE145" s="8"/>
      <c r="BF145"/>
      <c r="BG145"/>
      <c r="BH145"/>
      <c r="BI145" s="9"/>
      <c r="BJ145" s="8"/>
      <c r="BK145" s="89"/>
      <c r="BL145" s="25"/>
      <c r="BM145" s="25"/>
      <c r="BN145"/>
      <c r="BO145" s="14"/>
      <c r="BP145" s="16"/>
      <c r="BQ145" s="16"/>
      <c r="CD145" s="243"/>
      <c r="CE145" s="240"/>
      <c r="CF145" s="240"/>
      <c r="CG145"/>
      <c r="CH145" s="16"/>
      <c r="CI145" s="16"/>
      <c r="CJ145" s="16"/>
    </row>
    <row r="146" spans="1:88" x14ac:dyDescent="0.2">
      <c r="A146" s="8"/>
      <c r="F146" s="9"/>
      <c r="I146" s="8"/>
      <c r="K146" s="9"/>
      <c r="M146" s="9"/>
      <c r="N146"/>
      <c r="O146"/>
      <c r="X146" s="9"/>
      <c r="AG146" s="27"/>
      <c r="AH146" s="8"/>
      <c r="AJ146" s="8"/>
      <c r="AK146" s="9"/>
      <c r="AL146" s="8"/>
      <c r="AM146" s="243"/>
      <c r="AN146" s="240"/>
      <c r="AO146" s="240"/>
      <c r="AP146"/>
      <c r="AQ146" s="16"/>
      <c r="AR146" s="16"/>
      <c r="AS146" s="16"/>
      <c r="BE146" s="8"/>
      <c r="BF146"/>
      <c r="BG146"/>
      <c r="BH146"/>
      <c r="BI146" s="9"/>
      <c r="BJ146" s="8"/>
      <c r="BK146" s="89"/>
      <c r="BL146" s="25"/>
      <c r="BM146" s="25"/>
      <c r="BN146"/>
      <c r="BO146" s="14"/>
      <c r="BP146" s="16"/>
      <c r="BQ146" s="16"/>
      <c r="CD146" s="243"/>
      <c r="CE146" s="240"/>
      <c r="CF146" s="240"/>
      <c r="CG146"/>
      <c r="CH146" s="16"/>
      <c r="CI146" s="16"/>
      <c r="CJ146" s="16"/>
    </row>
    <row r="147" spans="1:88" x14ac:dyDescent="0.2">
      <c r="A147" s="8"/>
      <c r="F147" s="9"/>
      <c r="I147" s="8"/>
      <c r="K147" s="9"/>
      <c r="M147" s="9"/>
      <c r="N147"/>
      <c r="O147"/>
      <c r="X147" s="9"/>
      <c r="AG147" s="27"/>
      <c r="AH147" s="8"/>
      <c r="AJ147" s="8"/>
      <c r="AK147" s="9"/>
      <c r="AL147" s="8"/>
      <c r="AP147"/>
      <c r="AS147" s="1"/>
      <c r="BE147" s="8"/>
      <c r="BF147"/>
      <c r="BG147"/>
      <c r="BH147"/>
      <c r="BI147" s="9"/>
      <c r="BJ147" s="8"/>
      <c r="BN147"/>
      <c r="BO147" s="6"/>
      <c r="BQ147" s="1"/>
      <c r="CG147"/>
      <c r="CJ147" s="1"/>
    </row>
    <row r="148" spans="1:88" x14ac:dyDescent="0.2">
      <c r="A148" s="104" t="s">
        <v>23</v>
      </c>
      <c r="B148" s="105"/>
      <c r="C148" s="106"/>
      <c r="D148" s="46"/>
      <c r="E148" s="46"/>
      <c r="F148" s="51"/>
      <c r="G148" s="107"/>
      <c r="H148" s="52"/>
      <c r="I148" s="55"/>
      <c r="J148" s="46"/>
      <c r="K148" s="54"/>
      <c r="L148" s="46"/>
      <c r="M148" s="51"/>
      <c r="N148" s="52"/>
      <c r="O148" s="52"/>
      <c r="P148" s="46"/>
      <c r="Q148" s="46"/>
      <c r="R148" s="46"/>
      <c r="S148" s="46"/>
      <c r="T148" s="46"/>
      <c r="U148" s="46"/>
      <c r="V148" s="46"/>
      <c r="W148" s="46"/>
      <c r="X148" s="51"/>
      <c r="Y148" s="46"/>
      <c r="Z148" s="46"/>
      <c r="AA148" s="46"/>
      <c r="AB148" s="46"/>
      <c r="AC148" s="46"/>
      <c r="AD148" s="46"/>
      <c r="AE148" s="46"/>
      <c r="AF148" s="46"/>
      <c r="AG148" s="50" t="s">
        <v>22</v>
      </c>
      <c r="AH148" s="55"/>
      <c r="AI148" s="46"/>
      <c r="AJ148" s="170"/>
      <c r="AK148" s="54"/>
      <c r="AL148" s="8"/>
      <c r="AP148"/>
      <c r="AS148" s="1"/>
      <c r="BN148"/>
      <c r="BQ148" s="1"/>
      <c r="CG148"/>
      <c r="CJ148" s="1"/>
    </row>
    <row r="149" spans="1:88" x14ac:dyDescent="0.2">
      <c r="A149" s="8">
        <v>39</v>
      </c>
      <c r="B149" t="s">
        <v>143</v>
      </c>
      <c r="C149">
        <v>3</v>
      </c>
      <c r="D149" t="s">
        <v>17</v>
      </c>
      <c r="E149" t="s">
        <v>16</v>
      </c>
      <c r="F149" s="9">
        <v>16</v>
      </c>
      <c r="G149" s="26" t="s">
        <v>15</v>
      </c>
      <c r="H149" s="1">
        <v>18</v>
      </c>
      <c r="I149" s="11">
        <v>410</v>
      </c>
      <c r="J149" t="s">
        <v>21</v>
      </c>
      <c r="K149" s="6" t="s">
        <v>181</v>
      </c>
      <c r="L149" s="1"/>
      <c r="M149" s="6"/>
      <c r="N149" s="1">
        <v>96.95</v>
      </c>
      <c r="O149" s="18">
        <v>775600.00000000012</v>
      </c>
      <c r="P149" s="30">
        <v>1.906666666666667</v>
      </c>
      <c r="Q149" s="1"/>
      <c r="R149" s="1"/>
      <c r="S149" s="1"/>
      <c r="T149" s="1"/>
      <c r="U149" s="1"/>
      <c r="V149" s="1"/>
      <c r="W149" s="1"/>
      <c r="X149" s="118"/>
      <c r="Y149" s="1"/>
      <c r="Z149" s="1"/>
      <c r="AA149" s="1"/>
      <c r="AB149" s="1"/>
      <c r="AC149" s="1"/>
      <c r="AD149" s="1"/>
      <c r="AE149" s="96"/>
      <c r="AF149" s="98"/>
      <c r="AG149" s="24">
        <v>301.99999999999994</v>
      </c>
      <c r="AH149" s="8">
        <v>5.9</v>
      </c>
      <c r="AI149" s="16"/>
      <c r="AJ149" s="171"/>
      <c r="AK149" s="118"/>
      <c r="AL149" s="8"/>
      <c r="AM149" s="239"/>
      <c r="AN149" s="240"/>
      <c r="AO149" s="240"/>
      <c r="AP149"/>
      <c r="AQ149" s="16"/>
      <c r="AR149" s="16"/>
      <c r="AS149" s="16"/>
      <c r="BE149" s="188"/>
      <c r="BF149" s="188"/>
      <c r="BG149" s="188"/>
      <c r="BH149" s="188"/>
      <c r="BI149" s="98"/>
      <c r="BK149" s="239"/>
      <c r="BL149" s="240"/>
      <c r="BM149" s="240"/>
      <c r="BN149"/>
      <c r="BO149" s="16"/>
      <c r="BP149" s="16"/>
      <c r="BQ149" s="16"/>
      <c r="CD149" s="239"/>
      <c r="CE149" s="240"/>
      <c r="CF149" s="240"/>
      <c r="CG149"/>
      <c r="CH149" s="16"/>
      <c r="CI149" s="16"/>
      <c r="CJ149" s="16"/>
    </row>
    <row r="150" spans="1:88" x14ac:dyDescent="0.2">
      <c r="A150" s="8">
        <v>32</v>
      </c>
      <c r="B150" t="s">
        <v>143</v>
      </c>
      <c r="C150">
        <v>3</v>
      </c>
      <c r="D150" t="s">
        <v>17</v>
      </c>
      <c r="E150" t="s">
        <v>16</v>
      </c>
      <c r="F150" s="9">
        <v>11</v>
      </c>
      <c r="G150" s="26" t="s">
        <v>15</v>
      </c>
      <c r="H150" s="1">
        <v>18</v>
      </c>
      <c r="I150" s="11">
        <v>410</v>
      </c>
      <c r="J150" t="s">
        <v>21</v>
      </c>
      <c r="K150" s="6" t="s">
        <v>181</v>
      </c>
      <c r="L150" s="1"/>
      <c r="M150" s="6"/>
      <c r="N150" s="1">
        <v>96.95</v>
      </c>
      <c r="O150" s="18">
        <v>775600.00000000012</v>
      </c>
      <c r="P150" s="30">
        <v>1.906666666666667</v>
      </c>
      <c r="Q150" s="1"/>
      <c r="R150" s="1"/>
      <c r="S150" s="1"/>
      <c r="T150" s="1"/>
      <c r="U150" s="1"/>
      <c r="V150" s="1"/>
      <c r="W150" s="1"/>
      <c r="X150" s="118"/>
      <c r="Y150" s="1"/>
      <c r="Z150" s="1"/>
      <c r="AA150" s="1"/>
      <c r="AB150" s="1"/>
      <c r="AC150" s="1"/>
      <c r="AD150" s="1"/>
      <c r="AE150" s="96"/>
      <c r="AF150" s="98"/>
      <c r="AG150" s="24">
        <v>51.066666666666748</v>
      </c>
      <c r="AH150" s="8">
        <v>0.18</v>
      </c>
      <c r="AI150" s="16"/>
      <c r="AJ150" s="171"/>
      <c r="AK150" s="118"/>
      <c r="AL150" s="8"/>
      <c r="AM150" s="239"/>
      <c r="AN150" s="240"/>
      <c r="AO150" s="240"/>
      <c r="AP150"/>
      <c r="AQ150" s="16"/>
      <c r="AR150" s="16"/>
      <c r="AS150" s="16"/>
      <c r="BE150" s="188"/>
      <c r="BF150" s="188"/>
      <c r="BG150" s="188"/>
      <c r="BH150" s="188"/>
      <c r="BI150" s="98"/>
      <c r="BK150" s="239"/>
      <c r="BL150" s="240"/>
      <c r="BM150" s="240"/>
      <c r="BN150"/>
      <c r="BO150" s="16"/>
      <c r="BP150" s="16"/>
      <c r="BQ150" s="16"/>
      <c r="CD150" s="239"/>
      <c r="CE150" s="240"/>
      <c r="CF150" s="240"/>
      <c r="CG150"/>
      <c r="CH150" s="16"/>
      <c r="CI150" s="16"/>
      <c r="CJ150" s="16"/>
    </row>
    <row r="151" spans="1:88" x14ac:dyDescent="0.2">
      <c r="A151" s="8">
        <v>35</v>
      </c>
      <c r="B151" t="s">
        <v>143</v>
      </c>
      <c r="C151">
        <v>3</v>
      </c>
      <c r="D151" t="s">
        <v>17</v>
      </c>
      <c r="E151" t="s">
        <v>16</v>
      </c>
      <c r="F151" s="9">
        <v>14</v>
      </c>
      <c r="G151" s="26" t="s">
        <v>15</v>
      </c>
      <c r="H151" s="1">
        <v>18</v>
      </c>
      <c r="I151" s="11">
        <v>410</v>
      </c>
      <c r="J151" t="s">
        <v>21</v>
      </c>
      <c r="K151" s="6" t="s">
        <v>181</v>
      </c>
      <c r="L151" s="1"/>
      <c r="M151" s="6"/>
      <c r="N151" s="1">
        <v>96.95</v>
      </c>
      <c r="O151" s="18">
        <v>775600.00000000012</v>
      </c>
      <c r="P151" s="30">
        <v>1.906666666666667</v>
      </c>
      <c r="Q151" s="1"/>
      <c r="R151" s="1"/>
      <c r="S151" s="1"/>
      <c r="T151" s="1"/>
      <c r="U151" s="1"/>
      <c r="V151" s="1"/>
      <c r="W151" s="1"/>
      <c r="X151" s="118"/>
      <c r="Y151" s="1"/>
      <c r="Z151" s="1"/>
      <c r="AA151" s="1"/>
      <c r="AB151" s="1"/>
      <c r="AC151" s="1"/>
      <c r="AD151" s="1"/>
      <c r="AE151" s="96"/>
      <c r="AF151" s="98"/>
      <c r="AG151" s="24">
        <v>13.511111111111109</v>
      </c>
      <c r="AH151" s="8">
        <f>AVERAGE(0.14,0)</f>
        <v>7.0000000000000007E-2</v>
      </c>
      <c r="AI151" s="16"/>
      <c r="AJ151" s="171"/>
      <c r="AK151" s="118"/>
      <c r="AL151" s="8"/>
      <c r="AM151" s="239"/>
      <c r="AN151" s="240"/>
      <c r="AO151" s="240"/>
      <c r="AP151"/>
      <c r="AQ151" s="16"/>
      <c r="AR151" s="16"/>
      <c r="AS151" s="16"/>
      <c r="BE151" s="188"/>
      <c r="BF151" s="188"/>
      <c r="BG151" s="188"/>
      <c r="BH151" s="188"/>
      <c r="BI151" s="98"/>
      <c r="BK151" s="239"/>
      <c r="BL151" s="240"/>
      <c r="BM151" s="240"/>
      <c r="BN151"/>
      <c r="BO151" s="16"/>
      <c r="BP151" s="16"/>
      <c r="BQ151" s="16"/>
      <c r="CD151" s="239"/>
      <c r="CE151" s="240"/>
      <c r="CF151" s="240"/>
      <c r="CG151"/>
      <c r="CH151" s="16"/>
      <c r="CI151" s="16"/>
      <c r="CJ151" s="16"/>
    </row>
    <row r="152" spans="1:88" x14ac:dyDescent="0.2">
      <c r="A152" s="21" t="s">
        <v>18</v>
      </c>
      <c r="B152" t="s">
        <v>143</v>
      </c>
      <c r="C152">
        <v>3</v>
      </c>
      <c r="D152" t="s">
        <v>17</v>
      </c>
      <c r="E152" t="s">
        <v>16</v>
      </c>
      <c r="F152" s="9">
        <v>17</v>
      </c>
      <c r="G152" s="26" t="s">
        <v>15</v>
      </c>
      <c r="H152" s="1">
        <v>18</v>
      </c>
      <c r="I152" s="11">
        <v>410</v>
      </c>
      <c r="J152" t="s">
        <v>21</v>
      </c>
      <c r="K152" s="6" t="s">
        <v>181</v>
      </c>
      <c r="L152" s="1"/>
      <c r="M152" s="6"/>
      <c r="N152" s="1">
        <v>96.95</v>
      </c>
      <c r="O152" s="18">
        <v>775600.00000000012</v>
      </c>
      <c r="P152" s="30">
        <v>1.906666666666667</v>
      </c>
      <c r="Q152" s="1"/>
      <c r="R152" s="1"/>
      <c r="S152" s="1"/>
      <c r="T152" s="1"/>
      <c r="U152" s="1"/>
      <c r="V152" s="1"/>
      <c r="W152" s="1"/>
      <c r="X152" s="118"/>
      <c r="Y152" s="1"/>
      <c r="Z152" s="1"/>
      <c r="AA152" s="1"/>
      <c r="AB152" s="1"/>
      <c r="AC152" s="1"/>
      <c r="AD152" s="1"/>
      <c r="AE152" s="96"/>
      <c r="AF152" s="98"/>
      <c r="AG152" s="24">
        <v>8.0888888888888886</v>
      </c>
      <c r="AH152" s="8">
        <v>0</v>
      </c>
      <c r="AI152" s="99">
        <v>0.05</v>
      </c>
      <c r="AJ152" s="171"/>
      <c r="AK152" s="118"/>
      <c r="AL152" s="8"/>
      <c r="AM152" s="176"/>
      <c r="AN152" s="240"/>
      <c r="AO152" s="240"/>
      <c r="AP152"/>
      <c r="AQ152" s="16"/>
      <c r="AR152" s="16"/>
      <c r="AS152" s="16"/>
      <c r="BE152" s="188"/>
      <c r="BF152" s="188"/>
      <c r="BG152" s="188"/>
      <c r="BH152" s="188"/>
      <c r="BI152" s="98"/>
      <c r="BK152" s="176"/>
      <c r="BL152" s="240"/>
      <c r="BM152" s="240"/>
      <c r="BN152"/>
      <c r="BO152" s="16"/>
      <c r="BP152" s="16"/>
      <c r="BQ152" s="16"/>
      <c r="CD152" s="176"/>
      <c r="CE152" s="240"/>
      <c r="CF152" s="240"/>
      <c r="CG152"/>
      <c r="CH152" s="16"/>
      <c r="CI152" s="16"/>
      <c r="CJ152" s="16"/>
    </row>
    <row r="153" spans="1:88" x14ac:dyDescent="0.2">
      <c r="A153" s="21" t="s">
        <v>18</v>
      </c>
      <c r="B153" t="s">
        <v>143</v>
      </c>
      <c r="C153">
        <v>3</v>
      </c>
      <c r="D153" t="s">
        <v>17</v>
      </c>
      <c r="E153" t="s">
        <v>16</v>
      </c>
      <c r="F153" s="9">
        <v>22</v>
      </c>
      <c r="G153" s="26" t="s">
        <v>15</v>
      </c>
      <c r="H153" s="1">
        <v>18</v>
      </c>
      <c r="I153" s="11">
        <v>410</v>
      </c>
      <c r="J153" t="s">
        <v>21</v>
      </c>
      <c r="K153" s="6" t="s">
        <v>181</v>
      </c>
      <c r="L153" s="1"/>
      <c r="M153" s="6"/>
      <c r="N153" s="1">
        <v>96.95</v>
      </c>
      <c r="O153" s="18">
        <v>775600.00000000012</v>
      </c>
      <c r="P153" s="30">
        <v>1.906666666666667</v>
      </c>
      <c r="Q153" s="1"/>
      <c r="R153" s="1"/>
      <c r="S153" s="1"/>
      <c r="T153" s="1"/>
      <c r="U153" s="1"/>
      <c r="V153" s="1"/>
      <c r="W153" s="1"/>
      <c r="X153" s="118"/>
      <c r="Y153" s="1"/>
      <c r="Z153" s="1"/>
      <c r="AA153" s="1"/>
      <c r="AB153" s="1"/>
      <c r="AC153" s="1"/>
      <c r="AD153" s="1"/>
      <c r="AE153" s="96"/>
      <c r="AF153" s="98"/>
      <c r="AG153" s="24">
        <v>2.5866666666666669</v>
      </c>
      <c r="AH153" s="8">
        <v>0</v>
      </c>
      <c r="AI153" s="99">
        <v>0.05</v>
      </c>
      <c r="AJ153" s="171"/>
      <c r="AK153" s="118"/>
      <c r="AL153" s="8"/>
      <c r="AM153" s="176"/>
      <c r="AN153" s="240"/>
      <c r="AO153" s="240"/>
      <c r="AP153"/>
      <c r="AQ153" s="16"/>
      <c r="AR153" s="16"/>
      <c r="AS153" s="16"/>
      <c r="BE153" s="188"/>
      <c r="BF153" s="188"/>
      <c r="BG153" s="188"/>
      <c r="BH153" s="188"/>
      <c r="BI153" s="98"/>
      <c r="BK153" s="176"/>
      <c r="BL153" s="240"/>
      <c r="BM153" s="240"/>
      <c r="BN153"/>
      <c r="BO153" s="16"/>
      <c r="BP153" s="16"/>
      <c r="BQ153" s="16"/>
      <c r="CD153" s="176"/>
      <c r="CE153" s="240"/>
      <c r="CF153" s="240"/>
      <c r="CG153"/>
      <c r="CH153" s="16"/>
      <c r="CI153" s="16"/>
      <c r="CJ153" s="16"/>
    </row>
    <row r="154" spans="1:88" x14ac:dyDescent="0.2">
      <c r="A154" s="21" t="s">
        <v>18</v>
      </c>
      <c r="B154" t="s">
        <v>143</v>
      </c>
      <c r="C154">
        <v>3</v>
      </c>
      <c r="D154" t="s">
        <v>17</v>
      </c>
      <c r="E154" t="s">
        <v>16</v>
      </c>
      <c r="F154" s="9">
        <v>23</v>
      </c>
      <c r="G154" s="26" t="s">
        <v>15</v>
      </c>
      <c r="H154" s="1">
        <v>18</v>
      </c>
      <c r="I154" s="11">
        <v>410</v>
      </c>
      <c r="J154" t="s">
        <v>21</v>
      </c>
      <c r="K154" s="6" t="s">
        <v>181</v>
      </c>
      <c r="L154" s="1"/>
      <c r="M154" s="6"/>
      <c r="N154" s="1">
        <v>96.95</v>
      </c>
      <c r="O154" s="18">
        <v>775600.00000000012</v>
      </c>
      <c r="P154" s="30">
        <v>1.906666666666667</v>
      </c>
      <c r="Q154" s="1"/>
      <c r="R154" s="1"/>
      <c r="S154" s="1"/>
      <c r="T154" s="1"/>
      <c r="U154" s="1"/>
      <c r="V154" s="1"/>
      <c r="W154" s="1"/>
      <c r="X154" s="118"/>
      <c r="Y154" s="1"/>
      <c r="Z154" s="1"/>
      <c r="AA154" s="1"/>
      <c r="AB154" s="1"/>
      <c r="AC154" s="1"/>
      <c r="AD154" s="1"/>
      <c r="AE154" s="96"/>
      <c r="AF154" s="98"/>
      <c r="AG154" s="24">
        <v>0.65600000000000069</v>
      </c>
      <c r="AH154" s="8">
        <v>0</v>
      </c>
      <c r="AI154" s="99">
        <v>0.05</v>
      </c>
      <c r="AJ154" s="171"/>
      <c r="AK154" s="118"/>
      <c r="AL154" s="8"/>
      <c r="AM154" s="176"/>
      <c r="AN154" s="240"/>
      <c r="AO154" s="240"/>
      <c r="AP154"/>
      <c r="AQ154" s="16"/>
      <c r="AR154" s="16"/>
      <c r="AS154" s="16"/>
      <c r="BE154" s="188"/>
      <c r="BF154" s="188"/>
      <c r="BG154" s="188"/>
      <c r="BH154" s="188"/>
      <c r="BI154" s="98"/>
      <c r="BK154" s="176"/>
      <c r="BL154" s="240"/>
      <c r="BM154" s="240"/>
      <c r="BN154"/>
      <c r="BO154" s="16"/>
      <c r="BP154" s="16"/>
      <c r="BQ154" s="16"/>
      <c r="CD154" s="176"/>
      <c r="CE154" s="240"/>
      <c r="CF154" s="240"/>
      <c r="CG154"/>
      <c r="CH154" s="16"/>
      <c r="CI154" s="16"/>
      <c r="CJ154" s="16"/>
    </row>
    <row r="155" spans="1:88" x14ac:dyDescent="0.2">
      <c r="A155" s="21" t="s">
        <v>18</v>
      </c>
      <c r="B155" t="s">
        <v>143</v>
      </c>
      <c r="C155">
        <v>3</v>
      </c>
      <c r="D155" t="s">
        <v>17</v>
      </c>
      <c r="E155" t="s">
        <v>20</v>
      </c>
      <c r="F155" s="9">
        <v>59</v>
      </c>
      <c r="G155" s="26" t="s">
        <v>15</v>
      </c>
      <c r="H155" s="1">
        <v>18</v>
      </c>
      <c r="I155" s="11">
        <v>410</v>
      </c>
      <c r="J155" t="s">
        <v>21</v>
      </c>
      <c r="K155" s="6" t="s">
        <v>181</v>
      </c>
      <c r="L155" s="1"/>
      <c r="M155" s="6"/>
      <c r="N155" s="1">
        <v>96.95</v>
      </c>
      <c r="O155" s="18">
        <v>775600.00000000012</v>
      </c>
      <c r="P155" s="30">
        <v>1.906666666666667</v>
      </c>
      <c r="Q155" s="1"/>
      <c r="R155" s="1"/>
      <c r="S155" s="1"/>
      <c r="T155" s="1"/>
      <c r="U155" s="1"/>
      <c r="V155" s="1"/>
      <c r="W155" s="1"/>
      <c r="X155" s="118"/>
      <c r="Y155" s="1"/>
      <c r="Z155" s="1"/>
      <c r="AA155" s="1"/>
      <c r="AB155" s="1"/>
      <c r="AC155" s="1"/>
      <c r="AD155" s="1"/>
      <c r="AE155" s="96"/>
      <c r="AF155" s="98"/>
      <c r="AG155" s="24">
        <v>0.10000000000000002</v>
      </c>
      <c r="AH155" s="8">
        <v>0</v>
      </c>
      <c r="AI155" s="99">
        <v>0.05</v>
      </c>
      <c r="AJ155" s="171"/>
      <c r="AK155" s="118"/>
      <c r="AL155" s="8"/>
      <c r="AM155" s="176"/>
      <c r="AN155" s="240"/>
      <c r="AO155" s="240"/>
      <c r="AP155"/>
      <c r="AQ155" s="16"/>
      <c r="AR155" s="16"/>
      <c r="AS155" s="16"/>
      <c r="BE155" s="188"/>
      <c r="BF155" s="188"/>
      <c r="BG155" s="188"/>
      <c r="BH155" s="188"/>
      <c r="BI155" s="98"/>
      <c r="BK155" s="176"/>
      <c r="BL155" s="240"/>
      <c r="BM155" s="240"/>
      <c r="BN155"/>
      <c r="BO155" s="16"/>
      <c r="BP155" s="16"/>
      <c r="BQ155" s="16"/>
      <c r="CD155" s="176"/>
      <c r="CE155" s="240"/>
      <c r="CF155" s="240"/>
      <c r="CG155"/>
      <c r="CH155" s="16"/>
      <c r="CI155" s="16"/>
      <c r="CJ155" s="16"/>
    </row>
    <row r="156" spans="1:88" x14ac:dyDescent="0.2">
      <c r="K156" s="6"/>
      <c r="M156" s="9"/>
      <c r="X156" s="118"/>
      <c r="AG156" s="10"/>
      <c r="AJ156" s="8"/>
      <c r="AK156" s="9"/>
      <c r="AL156" s="8"/>
      <c r="AM156" s="239"/>
      <c r="AP156"/>
      <c r="AS156" s="1"/>
      <c r="BE156"/>
      <c r="BF156"/>
      <c r="BG156"/>
      <c r="BH156"/>
      <c r="BI156"/>
      <c r="BK156" s="239"/>
      <c r="BN156"/>
      <c r="BQ156" s="1"/>
      <c r="CD156" s="239"/>
      <c r="CG156"/>
      <c r="CJ156" s="1"/>
    </row>
    <row r="157" spans="1:88" x14ac:dyDescent="0.2">
      <c r="A157" s="8">
        <v>37</v>
      </c>
      <c r="B157" t="s">
        <v>143</v>
      </c>
      <c r="C157">
        <v>3</v>
      </c>
      <c r="D157" t="s">
        <v>17</v>
      </c>
      <c r="E157" t="s">
        <v>16</v>
      </c>
      <c r="F157" s="9">
        <v>16</v>
      </c>
      <c r="G157" s="26" t="s">
        <v>15</v>
      </c>
      <c r="H157" s="1">
        <v>18</v>
      </c>
      <c r="I157" s="11">
        <v>403</v>
      </c>
      <c r="J157" t="s">
        <v>14</v>
      </c>
      <c r="K157" s="6" t="s">
        <v>153</v>
      </c>
      <c r="L157" s="1"/>
      <c r="M157" s="6"/>
      <c r="N157" s="1">
        <v>165.80749949115744</v>
      </c>
      <c r="O157" s="18">
        <v>118882.50367033854</v>
      </c>
      <c r="P157" s="30">
        <v>3.4</v>
      </c>
      <c r="Q157" s="1"/>
      <c r="R157" s="1"/>
      <c r="S157" s="1"/>
      <c r="T157" s="1"/>
      <c r="U157" s="1"/>
      <c r="V157" s="1"/>
      <c r="W157" s="1"/>
      <c r="X157" s="118"/>
      <c r="Y157" s="1"/>
      <c r="Z157" s="1"/>
      <c r="AA157" s="1"/>
      <c r="AB157" s="1"/>
      <c r="AC157" s="1"/>
      <c r="AD157" s="1"/>
      <c r="AE157" s="96"/>
      <c r="AF157" s="98"/>
      <c r="AG157" s="24">
        <v>132.44444444444443</v>
      </c>
      <c r="AH157" s="8">
        <v>1.3</v>
      </c>
      <c r="AI157" s="16"/>
      <c r="AJ157" s="171"/>
      <c r="AK157" s="118"/>
      <c r="AL157" s="8"/>
      <c r="AM157" s="239"/>
      <c r="AN157" s="240"/>
      <c r="AO157" s="240"/>
      <c r="AP157"/>
      <c r="AQ157" s="16"/>
      <c r="AR157" s="16"/>
      <c r="AS157" s="16"/>
      <c r="BE157" s="188"/>
      <c r="BF157" s="188"/>
      <c r="BG157" s="188"/>
      <c r="BH157" s="188"/>
      <c r="BI157" s="98"/>
      <c r="BK157" s="239"/>
      <c r="BL157" s="240"/>
      <c r="BM157" s="240"/>
      <c r="BN157"/>
      <c r="BO157" s="16"/>
      <c r="BP157" s="16"/>
      <c r="BQ157" s="16"/>
      <c r="CD157" s="239"/>
      <c r="CE157" s="240"/>
      <c r="CF157" s="240"/>
      <c r="CG157"/>
      <c r="CH157" s="16"/>
      <c r="CI157" s="16"/>
      <c r="CJ157" s="16"/>
    </row>
    <row r="158" spans="1:88" x14ac:dyDescent="0.2">
      <c r="A158" s="8">
        <v>33</v>
      </c>
      <c r="B158" t="s">
        <v>143</v>
      </c>
      <c r="C158">
        <v>3</v>
      </c>
      <c r="D158" t="s">
        <v>17</v>
      </c>
      <c r="E158" t="s">
        <v>16</v>
      </c>
      <c r="F158" s="9">
        <v>14</v>
      </c>
      <c r="G158" s="26" t="s">
        <v>15</v>
      </c>
      <c r="H158" s="1">
        <v>18</v>
      </c>
      <c r="I158" s="11">
        <v>403</v>
      </c>
      <c r="J158" t="s">
        <v>14</v>
      </c>
      <c r="K158" s="6" t="s">
        <v>153</v>
      </c>
      <c r="L158" s="1"/>
      <c r="M158" s="6"/>
      <c r="N158" s="1">
        <v>165.80749949115744</v>
      </c>
      <c r="O158" s="18">
        <v>118882.50367033854</v>
      </c>
      <c r="P158" s="30">
        <v>3.4</v>
      </c>
      <c r="Q158" s="1"/>
      <c r="R158" s="1"/>
      <c r="S158" s="1"/>
      <c r="T158" s="1"/>
      <c r="U158" s="1"/>
      <c r="V158" s="1"/>
      <c r="W158" s="1"/>
      <c r="X158" s="118"/>
      <c r="Y158" s="1"/>
      <c r="Z158" s="1"/>
      <c r="AA158" s="1"/>
      <c r="AB158" s="1"/>
      <c r="AC158" s="1"/>
      <c r="AD158" s="1"/>
      <c r="AE158" s="96"/>
      <c r="AF158" s="98"/>
      <c r="AG158" s="24">
        <v>40.933333333333493</v>
      </c>
      <c r="AH158" s="8">
        <f>AVERAGE(0.38,0)</f>
        <v>0.19</v>
      </c>
      <c r="AI158" s="16"/>
      <c r="AJ158" s="171"/>
      <c r="AK158" s="118"/>
      <c r="AL158" s="8"/>
      <c r="AM158" s="239"/>
      <c r="AN158" s="240"/>
      <c r="AO158" s="240"/>
      <c r="AP158"/>
      <c r="AQ158" s="16"/>
      <c r="AR158" s="16"/>
      <c r="AS158" s="16"/>
      <c r="BE158" s="188"/>
      <c r="BF158" s="188"/>
      <c r="BG158" s="188"/>
      <c r="BH158" s="188"/>
      <c r="BI158" s="98"/>
      <c r="BK158" s="239"/>
      <c r="BL158" s="240"/>
      <c r="BM158" s="240"/>
      <c r="BN158"/>
      <c r="BO158" s="16"/>
      <c r="BP158" s="16"/>
      <c r="BQ158" s="16"/>
      <c r="CD158" s="239"/>
      <c r="CE158" s="240"/>
      <c r="CF158" s="240"/>
      <c r="CG158"/>
      <c r="CH158" s="16"/>
      <c r="CI158" s="16"/>
      <c r="CJ158" s="16"/>
    </row>
    <row r="159" spans="1:88" x14ac:dyDescent="0.2">
      <c r="A159" s="8">
        <v>28</v>
      </c>
      <c r="B159" t="s">
        <v>143</v>
      </c>
      <c r="C159">
        <v>3</v>
      </c>
      <c r="D159" t="s">
        <v>17</v>
      </c>
      <c r="E159" t="s">
        <v>20</v>
      </c>
      <c r="F159" s="9">
        <v>59</v>
      </c>
      <c r="G159" s="26" t="s">
        <v>15</v>
      </c>
      <c r="H159" s="1">
        <v>18</v>
      </c>
      <c r="I159" s="11">
        <v>403</v>
      </c>
      <c r="J159" t="s">
        <v>14</v>
      </c>
      <c r="K159" s="6" t="s">
        <v>153</v>
      </c>
      <c r="L159" s="1"/>
      <c r="M159" s="6"/>
      <c r="N159" s="1">
        <v>165.80749949115744</v>
      </c>
      <c r="O159" s="18">
        <v>118882.50367033854</v>
      </c>
      <c r="P159" s="30">
        <v>3.4</v>
      </c>
      <c r="Q159" s="1"/>
      <c r="R159" s="1"/>
      <c r="S159" s="1"/>
      <c r="T159" s="1"/>
      <c r="U159" s="1"/>
      <c r="V159" s="1"/>
      <c r="W159" s="1"/>
      <c r="X159" s="118"/>
      <c r="Y159" s="1"/>
      <c r="Z159" s="1"/>
      <c r="AA159" s="1"/>
      <c r="AB159" s="1"/>
      <c r="AC159" s="1"/>
      <c r="AD159" s="1"/>
      <c r="AE159" s="96"/>
      <c r="AF159" s="98"/>
      <c r="AG159" s="24">
        <v>18.377777777777773</v>
      </c>
      <c r="AH159" s="8">
        <v>0.09</v>
      </c>
      <c r="AI159" s="16"/>
      <c r="AJ159" s="171"/>
      <c r="AK159" s="118"/>
      <c r="AL159" s="8"/>
      <c r="AM159" s="239"/>
      <c r="AN159" s="240"/>
      <c r="AO159" s="240"/>
      <c r="AP159"/>
      <c r="AQ159" s="16"/>
      <c r="AR159" s="16"/>
      <c r="AS159" s="16"/>
      <c r="BE159" s="188"/>
      <c r="BF159" s="188"/>
      <c r="BG159" s="188"/>
      <c r="BH159" s="188"/>
      <c r="BI159" s="98"/>
      <c r="BK159" s="239"/>
      <c r="BL159" s="240"/>
      <c r="BM159" s="240"/>
      <c r="BN159"/>
      <c r="BO159" s="16"/>
      <c r="BP159" s="16"/>
      <c r="BQ159" s="16"/>
      <c r="CD159" s="239"/>
      <c r="CE159" s="240"/>
      <c r="CF159" s="240"/>
      <c r="CG159"/>
      <c r="CH159" s="16"/>
      <c r="CI159" s="16"/>
      <c r="CJ159" s="16"/>
    </row>
    <row r="160" spans="1:88" x14ac:dyDescent="0.2">
      <c r="A160" s="8">
        <v>40</v>
      </c>
      <c r="B160" t="s">
        <v>143</v>
      </c>
      <c r="C160">
        <v>3</v>
      </c>
      <c r="D160" t="s">
        <v>17</v>
      </c>
      <c r="E160" t="s">
        <v>16</v>
      </c>
      <c r="F160" s="9">
        <v>17</v>
      </c>
      <c r="G160" s="26" t="s">
        <v>15</v>
      </c>
      <c r="H160" s="1">
        <v>18</v>
      </c>
      <c r="I160" s="11">
        <v>403</v>
      </c>
      <c r="J160" t="s">
        <v>14</v>
      </c>
      <c r="K160" s="6" t="s">
        <v>153</v>
      </c>
      <c r="L160" s="1"/>
      <c r="M160" s="6"/>
      <c r="N160" s="1">
        <v>165.80749949115744</v>
      </c>
      <c r="O160" s="18">
        <v>118882.50367033854</v>
      </c>
      <c r="P160" s="30">
        <v>3.4</v>
      </c>
      <c r="Q160" s="1"/>
      <c r="R160" s="1"/>
      <c r="S160" s="1"/>
      <c r="T160" s="1"/>
      <c r="U160" s="1"/>
      <c r="V160" s="1"/>
      <c r="W160" s="1"/>
      <c r="X160" s="118"/>
      <c r="Y160" s="1"/>
      <c r="Z160" s="1"/>
      <c r="AA160" s="1"/>
      <c r="AB160" s="1"/>
      <c r="AC160" s="1"/>
      <c r="AD160" s="1"/>
      <c r="AE160" s="96"/>
      <c r="AF160" s="98"/>
      <c r="AG160" s="24">
        <v>2.960000000000008</v>
      </c>
      <c r="AH160" s="8">
        <v>0.08</v>
      </c>
      <c r="AI160" s="16"/>
      <c r="AJ160" s="171"/>
      <c r="AK160" s="118"/>
      <c r="AL160" s="8"/>
      <c r="AM160" s="239"/>
      <c r="AP160"/>
      <c r="AQ160" s="16"/>
      <c r="AR160" s="16"/>
      <c r="AS160" s="16"/>
      <c r="BE160" s="188"/>
      <c r="BF160" s="188"/>
      <c r="BG160" s="188"/>
      <c r="BH160" s="188"/>
      <c r="BI160" s="98"/>
      <c r="BK160" s="239"/>
      <c r="BN160"/>
      <c r="BO160" s="16"/>
      <c r="BP160" s="16"/>
      <c r="BQ160" s="16"/>
      <c r="CD160" s="239"/>
      <c r="CG160"/>
      <c r="CH160" s="16"/>
      <c r="CI160" s="16"/>
      <c r="CJ160" s="16"/>
    </row>
    <row r="161" spans="1:88" x14ac:dyDescent="0.2">
      <c r="A161" s="8">
        <v>30</v>
      </c>
      <c r="B161" t="s">
        <v>143</v>
      </c>
      <c r="C161">
        <v>3</v>
      </c>
      <c r="D161" t="s">
        <v>17</v>
      </c>
      <c r="E161" t="s">
        <v>16</v>
      </c>
      <c r="F161" s="9">
        <v>11</v>
      </c>
      <c r="G161" s="26" t="s">
        <v>15</v>
      </c>
      <c r="H161" s="1">
        <v>18</v>
      </c>
      <c r="I161" s="11">
        <v>403</v>
      </c>
      <c r="J161" t="s">
        <v>14</v>
      </c>
      <c r="K161" s="6" t="s">
        <v>153</v>
      </c>
      <c r="L161" s="1"/>
      <c r="M161" s="6"/>
      <c r="N161" s="1">
        <v>165.80749949115744</v>
      </c>
      <c r="O161" s="18">
        <v>118882.50367033854</v>
      </c>
      <c r="P161" s="30">
        <v>3.4</v>
      </c>
      <c r="Q161" s="1"/>
      <c r="R161" s="1"/>
      <c r="S161" s="1"/>
      <c r="T161" s="1"/>
      <c r="U161" s="1"/>
      <c r="V161" s="1"/>
      <c r="W161" s="1"/>
      <c r="X161" s="118"/>
      <c r="Y161" s="1"/>
      <c r="Z161" s="1"/>
      <c r="AA161" s="1"/>
      <c r="AB161" s="1"/>
      <c r="AC161" s="1"/>
      <c r="AD161" s="1"/>
      <c r="AE161" s="96"/>
      <c r="AF161" s="98"/>
      <c r="AG161" s="24">
        <v>0.11800000000000005</v>
      </c>
      <c r="AH161" s="8">
        <v>0.05</v>
      </c>
      <c r="AI161" s="16"/>
      <c r="AJ161" s="171"/>
      <c r="AK161" s="118"/>
      <c r="AL161" s="8"/>
      <c r="AM161" s="239"/>
      <c r="AP161"/>
      <c r="AS161" s="1"/>
      <c r="BE161" s="188"/>
      <c r="BF161" s="188"/>
      <c r="BG161" s="188"/>
      <c r="BH161" s="188"/>
      <c r="BI161" s="98"/>
      <c r="BK161" s="239"/>
      <c r="BN161"/>
      <c r="BQ161" s="1"/>
      <c r="CD161" s="239"/>
      <c r="CG161"/>
      <c r="CJ161" s="1"/>
    </row>
    <row r="162" spans="1:88" x14ac:dyDescent="0.2">
      <c r="A162" s="21" t="s">
        <v>18</v>
      </c>
      <c r="B162" t="s">
        <v>143</v>
      </c>
      <c r="C162">
        <v>3</v>
      </c>
      <c r="D162" t="s">
        <v>17</v>
      </c>
      <c r="E162" t="s">
        <v>16</v>
      </c>
      <c r="F162" s="9">
        <v>22</v>
      </c>
      <c r="G162" s="26" t="s">
        <v>15</v>
      </c>
      <c r="H162" s="1">
        <v>18</v>
      </c>
      <c r="I162" s="11">
        <v>403</v>
      </c>
      <c r="J162" t="s">
        <v>14</v>
      </c>
      <c r="K162" s="6" t="s">
        <v>153</v>
      </c>
      <c r="L162" s="1"/>
      <c r="M162" s="6"/>
      <c r="N162" s="1">
        <v>165.80749949115744</v>
      </c>
      <c r="O162" s="18">
        <v>118882.50367033854</v>
      </c>
      <c r="P162" s="30">
        <v>3.4</v>
      </c>
      <c r="Q162" s="1"/>
      <c r="R162" s="1"/>
      <c r="S162" s="1"/>
      <c r="T162" s="1"/>
      <c r="U162" s="1"/>
      <c r="V162" s="1"/>
      <c r="W162" s="1"/>
      <c r="X162" s="118"/>
      <c r="Y162" s="1"/>
      <c r="Z162" s="1"/>
      <c r="AA162" s="1"/>
      <c r="AB162" s="1"/>
      <c r="AC162" s="1"/>
      <c r="AD162" s="1"/>
      <c r="AE162" s="96"/>
      <c r="AF162" s="98"/>
      <c r="AG162" s="24">
        <v>0.10000000000000002</v>
      </c>
      <c r="AH162" s="8">
        <v>0</v>
      </c>
      <c r="AI162" s="99">
        <v>0.05</v>
      </c>
      <c r="AJ162" s="171"/>
      <c r="AK162" s="118"/>
      <c r="AL162" s="8"/>
      <c r="AM162" s="176"/>
      <c r="AN162" s="240"/>
      <c r="AO162" s="240"/>
      <c r="AP162"/>
      <c r="AQ162" s="16"/>
      <c r="AR162" s="16"/>
      <c r="AS162" s="16"/>
      <c r="BE162" s="188"/>
      <c r="BF162" s="188"/>
      <c r="BG162" s="188"/>
      <c r="BH162" s="188"/>
      <c r="BI162" s="98"/>
      <c r="BK162" s="176"/>
      <c r="BL162" s="240"/>
      <c r="BM162" s="240"/>
      <c r="BN162"/>
      <c r="BO162" s="16"/>
      <c r="BP162" s="16"/>
      <c r="BQ162" s="16"/>
      <c r="CD162" s="176"/>
      <c r="CE162" s="240"/>
      <c r="CF162" s="240"/>
      <c r="CG162"/>
      <c r="CH162" s="16"/>
      <c r="CI162" s="16"/>
      <c r="CJ162" s="16"/>
    </row>
    <row r="163" spans="1:88" x14ac:dyDescent="0.2">
      <c r="A163" s="21" t="s">
        <v>18</v>
      </c>
      <c r="B163" t="s">
        <v>143</v>
      </c>
      <c r="C163">
        <v>3</v>
      </c>
      <c r="D163" t="s">
        <v>17</v>
      </c>
      <c r="E163" t="s">
        <v>16</v>
      </c>
      <c r="F163" s="9">
        <v>23</v>
      </c>
      <c r="G163" s="26" t="s">
        <v>15</v>
      </c>
      <c r="H163" s="1">
        <v>18</v>
      </c>
      <c r="I163" s="11">
        <v>403</v>
      </c>
      <c r="J163" t="s">
        <v>14</v>
      </c>
      <c r="K163" s="6" t="s">
        <v>153</v>
      </c>
      <c r="L163" s="1"/>
      <c r="M163" s="6"/>
      <c r="N163" s="1">
        <v>165.80749949115744</v>
      </c>
      <c r="O163" s="18">
        <v>118882.50367033854</v>
      </c>
      <c r="P163" s="30">
        <v>3.4</v>
      </c>
      <c r="Q163" s="1"/>
      <c r="R163" s="1"/>
      <c r="S163" s="1"/>
      <c r="T163" s="1"/>
      <c r="U163" s="1"/>
      <c r="V163" s="1"/>
      <c r="W163" s="1"/>
      <c r="X163" s="118"/>
      <c r="Y163" s="1"/>
      <c r="Z163" s="1"/>
      <c r="AA163" s="1"/>
      <c r="AB163" s="1"/>
      <c r="AC163" s="1"/>
      <c r="AD163" s="1"/>
      <c r="AE163" s="96"/>
      <c r="AF163" s="98"/>
      <c r="AG163" s="24">
        <v>0.10000000000000002</v>
      </c>
      <c r="AH163" s="8">
        <v>0</v>
      </c>
      <c r="AI163" s="99">
        <v>0.05</v>
      </c>
      <c r="AJ163" s="171"/>
      <c r="AK163" s="118"/>
      <c r="AL163" s="8"/>
      <c r="AM163" s="176"/>
      <c r="AN163" s="240"/>
      <c r="AO163" s="240"/>
      <c r="AP163"/>
      <c r="AQ163" s="16"/>
      <c r="AR163" s="16"/>
      <c r="AS163" s="16"/>
      <c r="BE163" s="188"/>
      <c r="BF163" s="188"/>
      <c r="BG163" s="188"/>
      <c r="BH163" s="188"/>
      <c r="BI163" s="98"/>
      <c r="BK163" s="176"/>
      <c r="BL163" s="240"/>
      <c r="BM163" s="240"/>
      <c r="BN163"/>
      <c r="BO163" s="16"/>
      <c r="BP163" s="16"/>
      <c r="BQ163" s="16"/>
      <c r="CD163" s="176"/>
      <c r="CE163" s="240"/>
      <c r="CF163" s="240"/>
      <c r="CG163"/>
      <c r="CH163" s="16"/>
      <c r="CI163" s="16"/>
      <c r="CJ163" s="16"/>
    </row>
    <row r="164" spans="1:88" x14ac:dyDescent="0.2">
      <c r="A164" s="21"/>
      <c r="B164" s="13"/>
      <c r="F164" s="9"/>
      <c r="G164" s="26"/>
      <c r="I164" s="11"/>
      <c r="K164" s="6"/>
      <c r="L164" s="1"/>
      <c r="M164" s="6"/>
      <c r="O164" s="18"/>
      <c r="P164" s="1"/>
      <c r="Q164" s="1"/>
      <c r="R164" s="1"/>
      <c r="S164" s="1"/>
      <c r="T164" s="1"/>
      <c r="U164" s="1"/>
      <c r="V164" s="1"/>
      <c r="W164" s="1"/>
      <c r="X164" s="14"/>
      <c r="Y164" s="1"/>
      <c r="Z164" s="1"/>
      <c r="AA164" s="1"/>
      <c r="AB164" s="1"/>
      <c r="AC164" s="1"/>
      <c r="AD164" s="1"/>
      <c r="AE164" s="1"/>
      <c r="AF164" s="16"/>
      <c r="AG164" s="24"/>
      <c r="AH164" s="8"/>
      <c r="AI164" s="16"/>
      <c r="AJ164" s="8"/>
      <c r="AK164" s="9"/>
      <c r="AL164" s="8"/>
      <c r="AM164" s="176"/>
      <c r="AN164" s="240"/>
      <c r="AO164" s="240"/>
      <c r="AP164"/>
      <c r="AQ164" s="16"/>
      <c r="AR164" s="16"/>
      <c r="AS164" s="16"/>
      <c r="BE164"/>
      <c r="BF164"/>
      <c r="BG164"/>
      <c r="BH164"/>
      <c r="BI164"/>
      <c r="BK164" s="176"/>
      <c r="BL164" s="240"/>
      <c r="BM164" s="240"/>
      <c r="BN164"/>
      <c r="BO164" s="16"/>
      <c r="BP164" s="16"/>
      <c r="BQ164" s="16"/>
      <c r="CD164" s="176"/>
      <c r="CE164" s="240"/>
      <c r="CF164" s="240"/>
      <c r="CG164"/>
      <c r="CH164" s="16"/>
      <c r="CI164" s="16"/>
      <c r="CJ164" s="16"/>
    </row>
    <row r="165" spans="1:88" x14ac:dyDescent="0.2">
      <c r="A165" s="8">
        <v>38</v>
      </c>
      <c r="B165" t="s">
        <v>143</v>
      </c>
      <c r="C165">
        <v>3</v>
      </c>
      <c r="D165" t="s">
        <v>17</v>
      </c>
      <c r="E165" t="s">
        <v>16</v>
      </c>
      <c r="F165" s="9">
        <v>16</v>
      </c>
      <c r="G165" s="26" t="s">
        <v>15</v>
      </c>
      <c r="H165" s="1">
        <v>18</v>
      </c>
      <c r="I165" s="11">
        <v>405</v>
      </c>
      <c r="J165" t="s">
        <v>19</v>
      </c>
      <c r="K165" s="6" t="s">
        <v>182</v>
      </c>
      <c r="L165" s="1"/>
      <c r="M165" s="6"/>
      <c r="N165" s="1">
        <v>131.4</v>
      </c>
      <c r="O165" s="18">
        <v>1164844.1611748487</v>
      </c>
      <c r="P165" s="30">
        <v>2.61</v>
      </c>
      <c r="Q165" s="1"/>
      <c r="R165" s="1"/>
      <c r="S165" s="1"/>
      <c r="T165" s="1"/>
      <c r="U165" s="1"/>
      <c r="V165" s="1"/>
      <c r="W165" s="1"/>
      <c r="X165" s="118"/>
      <c r="Y165" s="1"/>
      <c r="Z165" s="1"/>
      <c r="AA165" s="1"/>
      <c r="AB165" s="1"/>
      <c r="AC165" s="1"/>
      <c r="AD165" s="1"/>
      <c r="AE165" s="96"/>
      <c r="AF165" s="98"/>
      <c r="AG165" s="24">
        <v>27.711111111111112</v>
      </c>
      <c r="AH165" s="8">
        <v>0.68</v>
      </c>
      <c r="AI165" s="16"/>
      <c r="AJ165" s="171"/>
      <c r="AK165" s="118"/>
      <c r="AL165" s="8"/>
      <c r="AM165" s="239"/>
      <c r="AP165"/>
      <c r="AS165" s="1"/>
      <c r="BE165" s="188"/>
      <c r="BF165" s="188"/>
      <c r="BG165" s="188"/>
      <c r="BH165" s="188"/>
      <c r="BI165" s="98"/>
      <c r="BK165" s="239"/>
      <c r="BN165"/>
      <c r="BQ165" s="1"/>
      <c r="CD165" s="239"/>
      <c r="CG165"/>
      <c r="CJ165" s="1"/>
    </row>
    <row r="166" spans="1:88" x14ac:dyDescent="0.2">
      <c r="A166" s="8">
        <v>31</v>
      </c>
      <c r="B166" t="s">
        <v>143</v>
      </c>
      <c r="C166">
        <v>3</v>
      </c>
      <c r="D166" t="s">
        <v>17</v>
      </c>
      <c r="E166" t="s">
        <v>16</v>
      </c>
      <c r="F166" s="9">
        <v>11</v>
      </c>
      <c r="G166" s="26" t="s">
        <v>15</v>
      </c>
      <c r="H166" s="1">
        <v>18</v>
      </c>
      <c r="I166" s="11">
        <v>405</v>
      </c>
      <c r="J166" t="s">
        <v>19</v>
      </c>
      <c r="K166" s="6" t="s">
        <v>182</v>
      </c>
      <c r="L166" s="1"/>
      <c r="M166" s="6"/>
      <c r="N166" s="1">
        <v>131.4</v>
      </c>
      <c r="O166" s="18">
        <v>1164844.1611748487</v>
      </c>
      <c r="P166" s="30">
        <v>2.61</v>
      </c>
      <c r="Q166" s="1"/>
      <c r="R166" s="1"/>
      <c r="S166" s="1"/>
      <c r="T166" s="1"/>
      <c r="U166" s="1"/>
      <c r="V166" s="1"/>
      <c r="W166" s="1"/>
      <c r="X166" s="118"/>
      <c r="Y166" s="1"/>
      <c r="Z166" s="1"/>
      <c r="AA166" s="1"/>
      <c r="AB166" s="1"/>
      <c r="AC166" s="1"/>
      <c r="AD166" s="1"/>
      <c r="AE166" s="96"/>
      <c r="AF166" s="98"/>
      <c r="AG166" s="24">
        <v>15.266666666666675</v>
      </c>
      <c r="AH166" s="8">
        <v>7.0000000000000007E-2</v>
      </c>
      <c r="AI166" s="16"/>
      <c r="AJ166" s="171"/>
      <c r="AK166" s="118"/>
      <c r="AL166" s="8"/>
      <c r="AM166" s="239"/>
      <c r="AP166"/>
      <c r="AQ166" s="16"/>
      <c r="AR166" s="16"/>
      <c r="AS166" s="16"/>
      <c r="BE166" s="188"/>
      <c r="BF166" s="188"/>
      <c r="BG166" s="188"/>
      <c r="BH166" s="188"/>
      <c r="BI166" s="98"/>
      <c r="BK166" s="239"/>
      <c r="BN166"/>
      <c r="BO166" s="16"/>
      <c r="BP166" s="16"/>
      <c r="BQ166" s="16"/>
      <c r="CD166" s="239"/>
      <c r="CG166"/>
      <c r="CH166" s="16"/>
      <c r="CI166" s="16"/>
      <c r="CJ166" s="16"/>
    </row>
    <row r="167" spans="1:88" x14ac:dyDescent="0.2">
      <c r="A167" s="8">
        <v>41</v>
      </c>
      <c r="B167" t="s">
        <v>143</v>
      </c>
      <c r="C167">
        <v>3</v>
      </c>
      <c r="D167" t="s">
        <v>17</v>
      </c>
      <c r="E167" t="s">
        <v>16</v>
      </c>
      <c r="F167" s="9">
        <v>17</v>
      </c>
      <c r="G167" s="26" t="s">
        <v>15</v>
      </c>
      <c r="H167" s="1">
        <v>18</v>
      </c>
      <c r="I167" s="11">
        <v>405</v>
      </c>
      <c r="J167" t="s">
        <v>19</v>
      </c>
      <c r="K167" s="6" t="s">
        <v>182</v>
      </c>
      <c r="L167" s="1"/>
      <c r="M167" s="6"/>
      <c r="N167" s="1">
        <v>131.4</v>
      </c>
      <c r="O167" s="18">
        <v>1164844.1611748487</v>
      </c>
      <c r="P167" s="30">
        <v>2.61</v>
      </c>
      <c r="Q167" s="1"/>
      <c r="R167" s="1"/>
      <c r="S167" s="1"/>
      <c r="T167" s="1"/>
      <c r="U167" s="1"/>
      <c r="V167" s="1"/>
      <c r="W167" s="1"/>
      <c r="X167" s="118"/>
      <c r="Y167" s="1"/>
      <c r="Z167" s="1"/>
      <c r="AA167" s="1"/>
      <c r="AB167" s="1"/>
      <c r="AC167" s="1"/>
      <c r="AD167" s="1"/>
      <c r="AE167" s="96"/>
      <c r="AF167" s="98"/>
      <c r="AG167" s="24">
        <v>6.2666666666666648</v>
      </c>
      <c r="AH167" s="8">
        <v>0.06</v>
      </c>
      <c r="AI167" s="16"/>
      <c r="AJ167" s="171"/>
      <c r="AK167" s="118"/>
      <c r="AL167" s="8"/>
      <c r="AM167" s="239"/>
      <c r="AP167"/>
      <c r="AS167" s="1"/>
      <c r="BE167" s="188"/>
      <c r="BF167" s="188"/>
      <c r="BG167" s="188"/>
      <c r="BH167" s="188"/>
      <c r="BI167" s="98"/>
      <c r="BK167" s="239"/>
      <c r="BN167"/>
      <c r="BQ167" s="1"/>
      <c r="CD167" s="239"/>
      <c r="CG167"/>
      <c r="CJ167" s="1"/>
    </row>
    <row r="168" spans="1:88" x14ac:dyDescent="0.2">
      <c r="A168" s="8">
        <v>29</v>
      </c>
      <c r="B168" t="s">
        <v>143</v>
      </c>
      <c r="C168">
        <v>3</v>
      </c>
      <c r="D168" t="s">
        <v>17</v>
      </c>
      <c r="E168" t="s">
        <v>20</v>
      </c>
      <c r="F168" s="9">
        <v>59</v>
      </c>
      <c r="G168" s="26" t="s">
        <v>15</v>
      </c>
      <c r="H168" s="1">
        <v>18</v>
      </c>
      <c r="I168" s="11">
        <v>405</v>
      </c>
      <c r="J168" t="s">
        <v>19</v>
      </c>
      <c r="K168" s="6" t="s">
        <v>182</v>
      </c>
      <c r="L168" s="1"/>
      <c r="M168" s="6"/>
      <c r="N168" s="1">
        <v>131.4</v>
      </c>
      <c r="O168" s="18">
        <v>1164844.1611748487</v>
      </c>
      <c r="P168" s="30">
        <v>2.61</v>
      </c>
      <c r="Q168" s="1"/>
      <c r="R168" s="1"/>
      <c r="S168" s="1"/>
      <c r="T168" s="1"/>
      <c r="U168" s="1"/>
      <c r="V168" s="1"/>
      <c r="W168" s="1"/>
      <c r="X168" s="118"/>
      <c r="Y168" s="1"/>
      <c r="Z168" s="1"/>
      <c r="AA168" s="1"/>
      <c r="AB168" s="1"/>
      <c r="AC168" s="1"/>
      <c r="AD168" s="1"/>
      <c r="AE168" s="96"/>
      <c r="AF168" s="98"/>
      <c r="AG168" s="24">
        <v>3.7</v>
      </c>
      <c r="AH168" s="8">
        <v>0.05</v>
      </c>
      <c r="AI168" s="16"/>
      <c r="AJ168" s="171"/>
      <c r="AK168" s="118"/>
      <c r="AL168" s="8"/>
      <c r="AM168" s="239"/>
      <c r="AP168"/>
      <c r="AS168" s="1"/>
      <c r="BE168" s="188"/>
      <c r="BF168" s="188"/>
      <c r="BG168" s="188"/>
      <c r="BH168" s="188"/>
      <c r="BI168" s="98"/>
      <c r="BK168" s="239"/>
      <c r="BN168"/>
      <c r="BQ168" s="1"/>
      <c r="CD168" s="239"/>
      <c r="CG168"/>
      <c r="CJ168" s="1"/>
    </row>
    <row r="169" spans="1:88" x14ac:dyDescent="0.2">
      <c r="A169" s="8">
        <v>34</v>
      </c>
      <c r="B169" t="s">
        <v>143</v>
      </c>
      <c r="C169">
        <v>3</v>
      </c>
      <c r="D169" t="s">
        <v>17</v>
      </c>
      <c r="E169" t="s">
        <v>16</v>
      </c>
      <c r="F169" s="9">
        <v>14</v>
      </c>
      <c r="G169" s="26" t="s">
        <v>15</v>
      </c>
      <c r="H169" s="1">
        <v>18</v>
      </c>
      <c r="I169" s="11">
        <v>405</v>
      </c>
      <c r="J169" t="s">
        <v>19</v>
      </c>
      <c r="K169" s="6" t="s">
        <v>182</v>
      </c>
      <c r="L169" s="1"/>
      <c r="M169" s="6"/>
      <c r="N169" s="1">
        <v>131.4</v>
      </c>
      <c r="O169" s="18">
        <v>1164844.1611748487</v>
      </c>
      <c r="P169" s="30">
        <v>2.61</v>
      </c>
      <c r="Q169" s="1"/>
      <c r="R169" s="1"/>
      <c r="S169" s="1"/>
      <c r="T169" s="1"/>
      <c r="U169" s="1"/>
      <c r="V169" s="1"/>
      <c r="W169" s="1"/>
      <c r="X169" s="118"/>
      <c r="Y169" s="1"/>
      <c r="Z169" s="1"/>
      <c r="AA169" s="1"/>
      <c r="AB169" s="1"/>
      <c r="AC169" s="1"/>
      <c r="AD169" s="1"/>
      <c r="AE169" s="96"/>
      <c r="AF169" s="98"/>
      <c r="AG169" s="24">
        <v>0.86000000000000087</v>
      </c>
      <c r="AH169" s="8">
        <f>AVERAGE(0.05,0)</f>
        <v>2.5000000000000001E-2</v>
      </c>
      <c r="AI169" s="16"/>
      <c r="AJ169" s="171"/>
      <c r="AK169" s="118"/>
      <c r="AL169" s="8"/>
      <c r="AM169" s="239"/>
      <c r="AP169"/>
      <c r="AS169" s="1"/>
      <c r="BE169" s="188"/>
      <c r="BF169" s="188"/>
      <c r="BG169" s="188"/>
      <c r="BH169" s="188"/>
      <c r="BI169" s="98"/>
      <c r="BK169" s="239"/>
      <c r="BN169"/>
      <c r="BQ169" s="1"/>
      <c r="CD169" s="239"/>
      <c r="CG169"/>
      <c r="CJ169" s="1"/>
    </row>
    <row r="170" spans="1:88" x14ac:dyDescent="0.2">
      <c r="A170" s="21" t="s">
        <v>18</v>
      </c>
      <c r="B170" t="s">
        <v>143</v>
      </c>
      <c r="C170">
        <v>3</v>
      </c>
      <c r="D170" t="s">
        <v>17</v>
      </c>
      <c r="E170" t="s">
        <v>16</v>
      </c>
      <c r="F170" s="9">
        <v>22</v>
      </c>
      <c r="G170" s="26" t="s">
        <v>15</v>
      </c>
      <c r="H170" s="1">
        <v>18</v>
      </c>
      <c r="I170" s="11">
        <v>405</v>
      </c>
      <c r="J170" t="s">
        <v>14</v>
      </c>
      <c r="K170" s="6" t="s">
        <v>182</v>
      </c>
      <c r="L170" s="1"/>
      <c r="M170" s="6"/>
      <c r="N170" s="1">
        <v>131.4</v>
      </c>
      <c r="O170" s="18">
        <v>1164844.1611748487</v>
      </c>
      <c r="P170" s="30">
        <v>2.61</v>
      </c>
      <c r="Q170" s="1"/>
      <c r="R170" s="1"/>
      <c r="S170" s="1"/>
      <c r="T170" s="1"/>
      <c r="U170" s="1"/>
      <c r="V170" s="1"/>
      <c r="W170" s="1"/>
      <c r="X170" s="118"/>
      <c r="Y170" s="1"/>
      <c r="Z170" s="1"/>
      <c r="AA170" s="1"/>
      <c r="AB170" s="1"/>
      <c r="AC170" s="1"/>
      <c r="AD170" s="1"/>
      <c r="AE170" s="96"/>
      <c r="AF170" s="98"/>
      <c r="AG170" s="24">
        <v>0.33933333333333338</v>
      </c>
      <c r="AH170" s="8">
        <v>0</v>
      </c>
      <c r="AI170" s="99">
        <v>0.05</v>
      </c>
      <c r="AJ170" s="171"/>
      <c r="AK170" s="118"/>
      <c r="AL170" s="8"/>
      <c r="AM170" s="176"/>
      <c r="AN170" s="240"/>
      <c r="AO170" s="240"/>
      <c r="AP170"/>
      <c r="AQ170" s="16"/>
      <c r="AR170" s="16"/>
      <c r="AS170" s="16"/>
      <c r="BE170" s="188"/>
      <c r="BF170" s="188"/>
      <c r="BG170" s="188"/>
      <c r="BH170" s="188"/>
      <c r="BI170" s="98"/>
      <c r="BK170" s="176"/>
      <c r="BL170" s="240"/>
      <c r="BM170" s="240"/>
      <c r="BN170"/>
      <c r="BO170" s="16"/>
      <c r="BP170" s="16"/>
      <c r="BQ170" s="16"/>
      <c r="CD170" s="176"/>
      <c r="CE170" s="240"/>
      <c r="CF170" s="240"/>
      <c r="CG170"/>
      <c r="CH170" s="16"/>
      <c r="CI170" s="16"/>
      <c r="CJ170" s="16"/>
    </row>
    <row r="171" spans="1:88" x14ac:dyDescent="0.2">
      <c r="A171" s="21" t="s">
        <v>18</v>
      </c>
      <c r="B171" t="s">
        <v>143</v>
      </c>
      <c r="C171">
        <v>3</v>
      </c>
      <c r="D171" t="s">
        <v>17</v>
      </c>
      <c r="E171" t="s">
        <v>16</v>
      </c>
      <c r="F171" s="9">
        <v>23</v>
      </c>
      <c r="G171" s="26" t="s">
        <v>15</v>
      </c>
      <c r="H171" s="1">
        <v>18</v>
      </c>
      <c r="I171" s="11">
        <v>405</v>
      </c>
      <c r="J171" t="s">
        <v>14</v>
      </c>
      <c r="K171" s="6" t="s">
        <v>182</v>
      </c>
      <c r="L171" s="1"/>
      <c r="M171" s="6"/>
      <c r="N171" s="1">
        <v>131.4</v>
      </c>
      <c r="O171" s="18">
        <v>1164844.1611748487</v>
      </c>
      <c r="P171" s="30">
        <v>2.61</v>
      </c>
      <c r="Q171" s="1"/>
      <c r="R171" s="1"/>
      <c r="S171" s="1"/>
      <c r="T171" s="1"/>
      <c r="U171" s="1"/>
      <c r="V171" s="1"/>
      <c r="W171" s="1"/>
      <c r="X171" s="118"/>
      <c r="Y171" s="1"/>
      <c r="Z171" s="1"/>
      <c r="AA171" s="1"/>
      <c r="AB171" s="1"/>
      <c r="AC171" s="1"/>
      <c r="AD171" s="1"/>
      <c r="AE171" s="96"/>
      <c r="AF171" s="98"/>
      <c r="AG171" s="24">
        <v>0.26666666666666666</v>
      </c>
      <c r="AH171" s="8">
        <v>0</v>
      </c>
      <c r="AI171" s="99">
        <v>0.05</v>
      </c>
      <c r="AJ171" s="171"/>
      <c r="AK171" s="118"/>
      <c r="AL171" s="8"/>
      <c r="AM171" s="176"/>
      <c r="AN171" s="240"/>
      <c r="AO171" s="240"/>
      <c r="AP171"/>
      <c r="AQ171" s="16"/>
      <c r="AR171" s="16"/>
      <c r="AS171" s="16"/>
      <c r="BE171" s="188"/>
      <c r="BF171" s="188"/>
      <c r="BG171" s="188"/>
      <c r="BH171" s="188"/>
      <c r="BI171" s="98"/>
      <c r="BK171" s="176"/>
      <c r="BL171" s="240"/>
      <c r="BM171" s="240"/>
      <c r="BN171"/>
      <c r="BO171" s="16"/>
      <c r="BP171" s="16"/>
      <c r="BQ171" s="16"/>
      <c r="CD171" s="176"/>
      <c r="CE171" s="240"/>
      <c r="CF171" s="240"/>
      <c r="CG171"/>
      <c r="CH171" s="16"/>
      <c r="CI171" s="16"/>
      <c r="CJ171" s="16"/>
    </row>
    <row r="172" spans="1:88" x14ac:dyDescent="0.2">
      <c r="A172" s="104" t="s">
        <v>13</v>
      </c>
      <c r="B172" s="105"/>
      <c r="C172" s="46"/>
      <c r="D172" s="46"/>
      <c r="E172" s="46"/>
      <c r="F172" s="51"/>
      <c r="G172" s="46"/>
      <c r="H172" s="52"/>
      <c r="I172" s="55"/>
      <c r="J172" s="46"/>
      <c r="K172" s="54"/>
      <c r="L172" s="46"/>
      <c r="M172" s="51"/>
      <c r="N172" s="52"/>
      <c r="O172" s="52"/>
      <c r="P172" s="46"/>
      <c r="Q172" s="46"/>
      <c r="R172" s="46"/>
      <c r="S172" s="46"/>
      <c r="T172" s="46"/>
      <c r="U172" s="46"/>
      <c r="V172" s="46"/>
      <c r="W172" s="46"/>
      <c r="X172" s="51"/>
      <c r="Y172" s="46"/>
      <c r="Z172" s="46"/>
      <c r="AA172" s="46"/>
      <c r="AB172" s="46"/>
      <c r="AC172" s="46"/>
      <c r="AD172" s="46"/>
      <c r="AE172" s="46"/>
      <c r="AF172" s="46"/>
      <c r="AG172" s="122"/>
      <c r="AH172" s="55"/>
      <c r="AI172" s="46"/>
      <c r="AJ172" s="170"/>
      <c r="AK172" s="54"/>
      <c r="AL172" s="8"/>
      <c r="AP172"/>
      <c r="AS172" s="1"/>
      <c r="BN172"/>
      <c r="BQ172" s="1"/>
      <c r="CG172"/>
      <c r="CJ172" s="1"/>
    </row>
    <row r="173" spans="1:88" x14ac:dyDescent="0.2">
      <c r="A173" s="8">
        <v>1</v>
      </c>
      <c r="B173" t="s">
        <v>143</v>
      </c>
      <c r="C173">
        <v>1</v>
      </c>
      <c r="D173" s="23" t="s">
        <v>11</v>
      </c>
      <c r="E173" t="s">
        <v>10</v>
      </c>
      <c r="F173" s="6">
        <v>36</v>
      </c>
      <c r="G173" s="1"/>
      <c r="H173" s="99">
        <v>14</v>
      </c>
      <c r="I173" s="11">
        <v>403</v>
      </c>
      <c r="J173" s="13" t="s">
        <v>12</v>
      </c>
      <c r="K173" s="6" t="s">
        <v>153</v>
      </c>
      <c r="L173" s="1"/>
      <c r="M173" s="6"/>
      <c r="N173" s="1">
        <v>165.80749949115744</v>
      </c>
      <c r="O173" s="18">
        <v>118882.50367033854</v>
      </c>
      <c r="P173" s="30">
        <v>3.4</v>
      </c>
      <c r="Q173" s="1"/>
      <c r="R173" s="1"/>
      <c r="S173" s="1"/>
      <c r="T173" s="1"/>
      <c r="U173" s="1"/>
      <c r="V173" s="1"/>
      <c r="W173" s="1"/>
      <c r="X173" s="118"/>
      <c r="Y173" s="1"/>
      <c r="Z173" s="1"/>
      <c r="AA173" s="1"/>
      <c r="AB173" s="1"/>
      <c r="AC173" s="1"/>
      <c r="AD173" s="1"/>
      <c r="AE173" s="96"/>
      <c r="AF173" s="98"/>
      <c r="AG173" s="22" t="s">
        <v>7</v>
      </c>
      <c r="AH173" s="21"/>
      <c r="AI173" s="16">
        <v>0.05</v>
      </c>
      <c r="AJ173" s="167"/>
      <c r="AK173" s="6"/>
      <c r="AL173" s="8"/>
      <c r="AP173"/>
      <c r="AS173" s="1"/>
      <c r="BE173" s="3"/>
      <c r="BF173" s="3"/>
      <c r="BG173" s="3"/>
      <c r="BH173" s="3"/>
      <c r="BN173"/>
      <c r="BQ173" s="1"/>
      <c r="CG173"/>
      <c r="CJ173" s="1"/>
    </row>
    <row r="174" spans="1:88" x14ac:dyDescent="0.2">
      <c r="A174" s="8">
        <v>2</v>
      </c>
      <c r="B174" t="s">
        <v>143</v>
      </c>
      <c r="C174">
        <v>1</v>
      </c>
      <c r="D174" s="23" t="s">
        <v>11</v>
      </c>
      <c r="E174" t="s">
        <v>10</v>
      </c>
      <c r="F174" s="6">
        <v>37</v>
      </c>
      <c r="G174" s="1"/>
      <c r="H174" s="99">
        <v>14</v>
      </c>
      <c r="I174" s="11">
        <v>403</v>
      </c>
      <c r="J174" t="s">
        <v>12</v>
      </c>
      <c r="K174" s="6" t="s">
        <v>153</v>
      </c>
      <c r="L174" s="1"/>
      <c r="M174" s="6"/>
      <c r="N174" s="1">
        <v>165.80749949115744</v>
      </c>
      <c r="O174" s="18">
        <v>118882.50367033854</v>
      </c>
      <c r="P174" s="30">
        <v>3.4</v>
      </c>
      <c r="Q174" s="1"/>
      <c r="R174" s="1"/>
      <c r="S174" s="1"/>
      <c r="T174" s="1"/>
      <c r="U174" s="1"/>
      <c r="V174" s="1"/>
      <c r="W174" s="1"/>
      <c r="X174" s="118"/>
      <c r="Y174" s="1"/>
      <c r="Z174" s="1"/>
      <c r="AA174" s="1"/>
      <c r="AB174" s="1"/>
      <c r="AC174" s="1"/>
      <c r="AD174" s="1"/>
      <c r="AE174" s="96"/>
      <c r="AF174" s="98"/>
      <c r="AG174" s="22" t="s">
        <v>7</v>
      </c>
      <c r="AH174" s="21"/>
      <c r="AI174" s="16">
        <v>0.05</v>
      </c>
      <c r="AJ174" s="167"/>
      <c r="AK174" s="6"/>
      <c r="AL174" s="8"/>
      <c r="AP174"/>
      <c r="AS174" s="1"/>
      <c r="BE174" s="3"/>
      <c r="BF174" s="3"/>
      <c r="BG174" s="3"/>
      <c r="BH174" s="3"/>
      <c r="BN174"/>
      <c r="BQ174" s="1"/>
      <c r="CG174"/>
      <c r="CJ174" s="1"/>
    </row>
    <row r="175" spans="1:88" x14ac:dyDescent="0.2">
      <c r="A175" s="8">
        <v>10</v>
      </c>
      <c r="B175" t="s">
        <v>143</v>
      </c>
      <c r="C175">
        <v>1</v>
      </c>
      <c r="D175" s="23" t="s">
        <v>11</v>
      </c>
      <c r="E175" t="s">
        <v>10</v>
      </c>
      <c r="F175" s="6" t="s">
        <v>9</v>
      </c>
      <c r="G175" s="1"/>
      <c r="H175" s="99">
        <v>14</v>
      </c>
      <c r="I175" s="11">
        <v>403</v>
      </c>
      <c r="J175" t="s">
        <v>12</v>
      </c>
      <c r="K175" s="6" t="s">
        <v>153</v>
      </c>
      <c r="L175" s="1"/>
      <c r="M175" s="6"/>
      <c r="N175" s="1">
        <v>165.80749949115744</v>
      </c>
      <c r="O175" s="18">
        <v>118882.50367033854</v>
      </c>
      <c r="P175" s="30">
        <v>3.4</v>
      </c>
      <c r="Q175" s="1"/>
      <c r="R175" s="1"/>
      <c r="S175" s="1"/>
      <c r="T175" s="1"/>
      <c r="U175" s="1"/>
      <c r="V175" s="1"/>
      <c r="W175" s="1"/>
      <c r="X175" s="118"/>
      <c r="Y175" s="1"/>
      <c r="Z175" s="1"/>
      <c r="AA175" s="1"/>
      <c r="AB175" s="1"/>
      <c r="AC175" s="1"/>
      <c r="AD175" s="1"/>
      <c r="AE175" s="96"/>
      <c r="AF175" s="98"/>
      <c r="AG175" s="22" t="s">
        <v>7</v>
      </c>
      <c r="AH175" s="21"/>
      <c r="AI175" s="16">
        <v>0.05</v>
      </c>
      <c r="AJ175" s="167"/>
      <c r="AK175" s="6"/>
      <c r="AL175" s="8"/>
      <c r="AP175"/>
      <c r="AS175" s="1"/>
      <c r="BE175" s="3"/>
      <c r="BF175" s="3"/>
      <c r="BG175" s="3"/>
      <c r="BH175" s="3"/>
      <c r="BN175"/>
      <c r="BQ175" s="1"/>
      <c r="CG175"/>
      <c r="CJ175" s="1"/>
    </row>
    <row r="176" spans="1:88" x14ac:dyDescent="0.2">
      <c r="A176" s="8">
        <v>11</v>
      </c>
      <c r="B176" t="s">
        <v>143</v>
      </c>
      <c r="C176">
        <v>1</v>
      </c>
      <c r="D176" s="23" t="s">
        <v>11</v>
      </c>
      <c r="E176" t="s">
        <v>10</v>
      </c>
      <c r="F176" s="6">
        <v>36</v>
      </c>
      <c r="G176" s="1"/>
      <c r="H176" s="99">
        <v>14</v>
      </c>
      <c r="I176" s="11">
        <v>410</v>
      </c>
      <c r="J176" t="s">
        <v>8</v>
      </c>
      <c r="K176" s="6" t="s">
        <v>181</v>
      </c>
      <c r="L176" s="1"/>
      <c r="M176" s="6"/>
      <c r="N176" s="1">
        <v>96.95</v>
      </c>
      <c r="O176" s="18">
        <v>775600.00000000012</v>
      </c>
      <c r="P176" s="30">
        <v>1.906666666666667</v>
      </c>
      <c r="Q176" s="1"/>
      <c r="R176" s="1"/>
      <c r="S176" s="1"/>
      <c r="T176" s="1"/>
      <c r="U176" s="1"/>
      <c r="V176" s="1"/>
      <c r="W176" s="1"/>
      <c r="X176" s="118"/>
      <c r="Y176" s="1"/>
      <c r="Z176" s="1"/>
      <c r="AA176" s="1"/>
      <c r="AB176" s="1"/>
      <c r="AC176" s="1"/>
      <c r="AD176" s="1"/>
      <c r="AE176" s="96"/>
      <c r="AF176" s="98"/>
      <c r="AG176" s="22" t="s">
        <v>7</v>
      </c>
      <c r="AH176" s="21"/>
      <c r="AI176" s="16">
        <v>0.05</v>
      </c>
      <c r="AJ176" s="167"/>
      <c r="AK176" s="6"/>
      <c r="AL176" s="8"/>
      <c r="AP176"/>
      <c r="AS176" s="1"/>
      <c r="BE176" s="3"/>
      <c r="BF176" s="3"/>
      <c r="BG176" s="3"/>
      <c r="BH176" s="3"/>
      <c r="BN176"/>
      <c r="BQ176" s="1"/>
      <c r="CG176"/>
      <c r="CJ176" s="1"/>
    </row>
    <row r="177" spans="1:90" x14ac:dyDescent="0.2">
      <c r="A177" s="8">
        <v>12</v>
      </c>
      <c r="B177" t="s">
        <v>143</v>
      </c>
      <c r="C177">
        <v>1</v>
      </c>
      <c r="D177" s="23" t="s">
        <v>11</v>
      </c>
      <c r="E177" t="s">
        <v>10</v>
      </c>
      <c r="F177" s="6">
        <v>37</v>
      </c>
      <c r="G177" s="1"/>
      <c r="H177" s="99">
        <v>14</v>
      </c>
      <c r="I177" s="11">
        <v>410</v>
      </c>
      <c r="J177" t="s">
        <v>8</v>
      </c>
      <c r="K177" s="6" t="s">
        <v>181</v>
      </c>
      <c r="L177" s="1"/>
      <c r="M177" s="6"/>
      <c r="N177" s="1">
        <v>96.95</v>
      </c>
      <c r="O177" s="18">
        <v>775600.00000000012</v>
      </c>
      <c r="P177" s="30">
        <v>1.906666666666667</v>
      </c>
      <c r="Q177" s="1"/>
      <c r="R177" s="1"/>
      <c r="S177" s="1"/>
      <c r="T177" s="1"/>
      <c r="U177" s="1"/>
      <c r="V177" s="1"/>
      <c r="W177" s="1"/>
      <c r="X177" s="118"/>
      <c r="Y177" s="1"/>
      <c r="Z177" s="1"/>
      <c r="AA177" s="1"/>
      <c r="AB177" s="1"/>
      <c r="AC177" s="1"/>
      <c r="AD177" s="1"/>
      <c r="AE177" s="96"/>
      <c r="AF177" s="98"/>
      <c r="AG177" s="22" t="s">
        <v>7</v>
      </c>
      <c r="AH177" s="21"/>
      <c r="AI177" s="16">
        <v>0.05</v>
      </c>
      <c r="AJ177" s="167"/>
      <c r="AK177" s="6"/>
      <c r="AL177" s="8"/>
      <c r="AP177"/>
      <c r="AS177" s="1"/>
      <c r="BE177" s="3"/>
      <c r="BF177" s="3"/>
      <c r="BG177" s="3"/>
      <c r="BH177" s="3"/>
      <c r="BN177"/>
      <c r="BQ177" s="1"/>
      <c r="CG177"/>
      <c r="CJ177" s="1"/>
    </row>
    <row r="178" spans="1:90" x14ac:dyDescent="0.2">
      <c r="A178" s="8">
        <v>20</v>
      </c>
      <c r="B178" t="s">
        <v>143</v>
      </c>
      <c r="C178">
        <v>1</v>
      </c>
      <c r="D178" s="23" t="s">
        <v>11</v>
      </c>
      <c r="E178" t="s">
        <v>10</v>
      </c>
      <c r="F178" s="6" t="s">
        <v>9</v>
      </c>
      <c r="G178" s="1"/>
      <c r="H178" s="99">
        <v>14</v>
      </c>
      <c r="I178" s="11">
        <v>410</v>
      </c>
      <c r="J178" s="13" t="s">
        <v>8</v>
      </c>
      <c r="K178" s="6" t="s">
        <v>181</v>
      </c>
      <c r="L178" s="1"/>
      <c r="M178" s="6"/>
      <c r="N178" s="1">
        <v>96.95</v>
      </c>
      <c r="O178" s="18">
        <v>775600.00000000012</v>
      </c>
      <c r="P178" s="30">
        <v>1.906666666666667</v>
      </c>
      <c r="Q178" s="1"/>
      <c r="R178" s="1"/>
      <c r="S178" s="1"/>
      <c r="T178" s="1"/>
      <c r="U178" s="1"/>
      <c r="V178" s="1"/>
      <c r="W178" s="1"/>
      <c r="X178" s="118"/>
      <c r="Y178" s="1"/>
      <c r="Z178" s="1"/>
      <c r="AA178" s="1"/>
      <c r="AB178" s="1"/>
      <c r="AC178" s="1"/>
      <c r="AD178" s="1"/>
      <c r="AE178" s="96"/>
      <c r="AF178" s="98"/>
      <c r="AG178" s="22" t="s">
        <v>7</v>
      </c>
      <c r="AH178" s="21"/>
      <c r="AI178" s="16">
        <v>0.05</v>
      </c>
      <c r="AJ178" s="167"/>
      <c r="AK178" s="6"/>
      <c r="AL178" s="8"/>
      <c r="AP178"/>
      <c r="AS178" s="1"/>
      <c r="BE178" s="3"/>
      <c r="BF178" s="3"/>
      <c r="BG178" s="3"/>
      <c r="BH178" s="3"/>
      <c r="BN178"/>
      <c r="BQ178" s="1"/>
      <c r="CG178"/>
      <c r="CJ178" s="1"/>
    </row>
    <row r="179" spans="1:90" x14ac:dyDescent="0.2">
      <c r="A179" s="8">
        <v>66</v>
      </c>
      <c r="B179" t="s">
        <v>143</v>
      </c>
      <c r="C179">
        <v>6</v>
      </c>
      <c r="D179" t="s">
        <v>6</v>
      </c>
      <c r="E179" t="s">
        <v>5</v>
      </c>
      <c r="F179" s="9">
        <v>2</v>
      </c>
      <c r="H179" s="99">
        <v>14</v>
      </c>
      <c r="I179" s="11">
        <v>-400</v>
      </c>
      <c r="J179" s="13" t="s">
        <v>4</v>
      </c>
      <c r="K179" s="6"/>
      <c r="L179" s="1"/>
      <c r="M179" s="6"/>
      <c r="N179" s="1">
        <v>64.515000000000001</v>
      </c>
      <c r="O179" s="18">
        <v>6710000</v>
      </c>
      <c r="P179" s="30">
        <v>1.4849999999999999</v>
      </c>
      <c r="Q179" s="1"/>
      <c r="R179" s="1"/>
      <c r="S179" s="1"/>
      <c r="T179" s="1"/>
      <c r="U179" s="1"/>
      <c r="V179" s="1"/>
      <c r="W179" s="1"/>
      <c r="X179" s="118"/>
      <c r="Y179" s="1"/>
      <c r="Z179" s="1"/>
      <c r="AA179" s="1"/>
      <c r="AB179" s="1"/>
      <c r="AC179" s="1"/>
      <c r="AD179" s="1"/>
      <c r="AE179" s="96"/>
      <c r="AF179" s="98"/>
      <c r="AG179" s="22" t="s">
        <v>7</v>
      </c>
      <c r="AH179" s="15">
        <v>0.43</v>
      </c>
      <c r="AI179" s="99">
        <v>0.05</v>
      </c>
      <c r="AJ179" s="171"/>
      <c r="AK179" s="6"/>
      <c r="AL179" s="8"/>
      <c r="AM179" s="239"/>
      <c r="AN179" s="241"/>
      <c r="AO179" s="241"/>
      <c r="AP179"/>
      <c r="AQ179" s="16"/>
      <c r="AR179" s="16"/>
      <c r="AS179" s="16"/>
      <c r="AT179" s="13"/>
      <c r="BE179" s="188"/>
      <c r="BF179" s="188"/>
      <c r="BG179" s="188"/>
      <c r="BH179" s="188"/>
      <c r="BK179" s="239"/>
      <c r="BL179" s="241"/>
      <c r="BM179" s="241"/>
      <c r="BN179"/>
      <c r="BO179" s="16"/>
      <c r="BP179" s="16"/>
      <c r="BQ179" s="16"/>
      <c r="BR179" s="13"/>
      <c r="CD179" s="239"/>
      <c r="CE179" s="241"/>
      <c r="CF179" s="241"/>
      <c r="CG179"/>
      <c r="CH179" s="16"/>
      <c r="CI179" s="16"/>
      <c r="CJ179" s="16"/>
      <c r="CK179" s="13"/>
      <c r="CL179" s="13"/>
    </row>
    <row r="180" spans="1:90" x14ac:dyDescent="0.2">
      <c r="A180" s="104" t="s">
        <v>3</v>
      </c>
      <c r="B180" s="105"/>
      <c r="C180" s="46"/>
      <c r="D180" s="46"/>
      <c r="E180" s="46"/>
      <c r="F180" s="51"/>
      <c r="G180" s="46"/>
      <c r="H180" s="52"/>
      <c r="I180" s="55"/>
      <c r="J180" s="46"/>
      <c r="K180" s="54"/>
      <c r="L180" s="46"/>
      <c r="M180" s="51"/>
      <c r="N180" s="52"/>
      <c r="O180" s="52"/>
      <c r="P180" s="46"/>
      <c r="Q180" s="46"/>
      <c r="R180" s="46"/>
      <c r="S180" s="46"/>
      <c r="T180" s="46"/>
      <c r="U180" s="46"/>
      <c r="V180" s="46"/>
      <c r="W180" s="46"/>
      <c r="X180" s="51"/>
      <c r="Y180" s="46"/>
      <c r="Z180" s="46"/>
      <c r="AA180" s="46"/>
      <c r="AB180" s="46"/>
      <c r="AC180" s="46"/>
      <c r="AD180" s="46"/>
      <c r="AE180" s="46"/>
      <c r="AF180" s="46"/>
      <c r="AG180" s="122"/>
      <c r="AH180" s="55"/>
      <c r="AI180" s="46"/>
      <c r="AJ180" s="170"/>
      <c r="AK180" s="54"/>
      <c r="AL180" s="8"/>
      <c r="AP180"/>
      <c r="AS180" s="1"/>
      <c r="BN180"/>
      <c r="BQ180" s="1"/>
      <c r="CG180"/>
      <c r="CJ180" s="1"/>
    </row>
    <row r="181" spans="1:90" x14ac:dyDescent="0.2">
      <c r="A181" s="8">
        <v>21</v>
      </c>
      <c r="B181" t="s">
        <v>143</v>
      </c>
      <c r="C181">
        <v>2</v>
      </c>
      <c r="D181" t="s">
        <v>2</v>
      </c>
      <c r="E181" t="s">
        <v>1</v>
      </c>
      <c r="F181" s="6">
        <v>59</v>
      </c>
      <c r="G181" s="1"/>
      <c r="H181" s="1">
        <v>18</v>
      </c>
      <c r="I181" s="100">
        <v>-1200</v>
      </c>
      <c r="J181" s="13" t="s">
        <v>0</v>
      </c>
      <c r="K181" s="6">
        <v>0</v>
      </c>
      <c r="L181" s="1"/>
      <c r="M181" s="6"/>
      <c r="N181" s="1">
        <v>150</v>
      </c>
      <c r="O181" s="29"/>
      <c r="P181" s="1">
        <v>0</v>
      </c>
      <c r="Q181" s="1"/>
      <c r="R181" s="1"/>
      <c r="S181" s="1"/>
      <c r="T181" s="1"/>
      <c r="U181" s="1"/>
      <c r="V181" s="1"/>
      <c r="W181" s="1"/>
      <c r="X181" s="118"/>
      <c r="Y181" s="1"/>
      <c r="Z181" s="1"/>
      <c r="AA181" s="1"/>
      <c r="AB181" s="1"/>
      <c r="AC181" s="1"/>
      <c r="AD181" s="1"/>
      <c r="AE181" s="96"/>
      <c r="AF181" s="98"/>
      <c r="AG181" s="22">
        <v>753</v>
      </c>
      <c r="AH181" s="21">
        <v>283</v>
      </c>
      <c r="AI181" s="16"/>
      <c r="AJ181" s="171"/>
      <c r="AK181" s="118"/>
      <c r="AL181" s="8"/>
      <c r="AP181"/>
      <c r="AS181" s="1"/>
      <c r="BE181" s="188"/>
      <c r="BF181" s="188"/>
      <c r="BG181" s="188"/>
      <c r="BH181" s="188"/>
      <c r="BI181" s="98"/>
      <c r="BN181"/>
      <c r="BQ181" s="1"/>
      <c r="CG181"/>
      <c r="CJ181" s="1"/>
    </row>
    <row r="182" spans="1:90" x14ac:dyDescent="0.2">
      <c r="A182" s="104" t="s">
        <v>142</v>
      </c>
      <c r="B182" s="46"/>
      <c r="C182" s="46"/>
      <c r="D182" s="46"/>
      <c r="E182" s="46"/>
      <c r="F182" s="54"/>
      <c r="G182" s="52"/>
      <c r="H182" s="52"/>
      <c r="I182" s="48"/>
      <c r="J182" s="47"/>
      <c r="K182" s="54"/>
      <c r="L182" s="52"/>
      <c r="M182" s="54"/>
      <c r="N182" s="52"/>
      <c r="O182" s="108"/>
      <c r="P182" s="52"/>
      <c r="Q182" s="52"/>
      <c r="R182" s="52"/>
      <c r="S182" s="52"/>
      <c r="T182" s="52"/>
      <c r="U182" s="52"/>
      <c r="V182" s="52"/>
      <c r="W182" s="52"/>
      <c r="X182" s="45"/>
      <c r="Y182" s="52"/>
      <c r="Z182" s="52"/>
      <c r="AA182" s="52"/>
      <c r="AB182" s="52"/>
      <c r="AC182" s="52"/>
      <c r="AD182" s="52"/>
      <c r="AE182" s="52"/>
      <c r="AF182" s="49"/>
      <c r="AG182" s="122"/>
      <c r="AH182" s="109"/>
      <c r="AI182" s="49"/>
      <c r="AJ182" s="172"/>
      <c r="AK182" s="54"/>
      <c r="AL182" s="8"/>
      <c r="AP182"/>
      <c r="AS182" s="1"/>
      <c r="BE182" s="3"/>
      <c r="BF182" s="3"/>
      <c r="BG182" s="3"/>
      <c r="BH182" s="3"/>
      <c r="BN182"/>
      <c r="BQ182" s="1"/>
      <c r="CG182"/>
      <c r="CJ182" s="1"/>
    </row>
    <row r="183" spans="1:90" x14ac:dyDescent="0.2">
      <c r="A183" s="8">
        <v>85</v>
      </c>
      <c r="B183" t="s">
        <v>143</v>
      </c>
      <c r="C183">
        <v>8</v>
      </c>
      <c r="D183" s="16" t="s">
        <v>28</v>
      </c>
      <c r="E183" t="s">
        <v>27</v>
      </c>
      <c r="F183" s="14" t="s">
        <v>26</v>
      </c>
      <c r="G183" s="26" t="s">
        <v>25</v>
      </c>
      <c r="H183" s="16">
        <v>18</v>
      </c>
      <c r="I183" s="17">
        <v>-1201</v>
      </c>
      <c r="J183" t="s">
        <v>37</v>
      </c>
      <c r="K183" s="6"/>
      <c r="L183" s="1"/>
      <c r="M183" s="6"/>
      <c r="N183" s="1">
        <v>132</v>
      </c>
      <c r="O183" s="29"/>
      <c r="P183" s="30">
        <v>5</v>
      </c>
      <c r="Q183" s="30"/>
      <c r="R183" s="30"/>
      <c r="S183" s="30"/>
      <c r="T183" s="30"/>
      <c r="U183" s="30"/>
      <c r="V183" s="30"/>
      <c r="W183" s="30"/>
      <c r="X183" s="118"/>
      <c r="Y183" s="30"/>
      <c r="Z183" s="30"/>
      <c r="AA183" s="30"/>
      <c r="AB183" s="30"/>
      <c r="AC183" s="30"/>
      <c r="AD183" s="30"/>
      <c r="AE183" s="96"/>
      <c r="AF183" s="98"/>
      <c r="AG183" s="22">
        <v>210</v>
      </c>
      <c r="AH183" s="21"/>
      <c r="AI183" s="99">
        <v>25</v>
      </c>
      <c r="AJ183" s="171"/>
      <c r="AK183" s="118"/>
      <c r="AL183" s="8"/>
      <c r="AM183" s="176"/>
      <c r="AN183" s="242"/>
      <c r="AO183" s="242"/>
      <c r="AP183"/>
      <c r="AQ183" s="16"/>
      <c r="AR183" s="16"/>
      <c r="AS183" s="16"/>
      <c r="AZ183" s="83"/>
      <c r="BA183" s="83"/>
      <c r="BB183" s="83"/>
      <c r="BC183" s="83"/>
      <c r="BD183" s="83"/>
      <c r="BE183" s="188"/>
      <c r="BF183" s="188"/>
      <c r="BG183" s="188"/>
      <c r="BH183" s="188"/>
      <c r="BI183" s="98"/>
      <c r="BK183" s="176"/>
      <c r="BL183" s="242"/>
      <c r="BM183" s="242"/>
      <c r="BN183"/>
      <c r="BO183" s="16"/>
      <c r="BP183" s="16"/>
      <c r="BQ183" s="16"/>
      <c r="BX183" s="83"/>
      <c r="BY183" s="83"/>
      <c r="BZ183" s="83"/>
      <c r="CA183" s="83"/>
      <c r="CB183" s="83"/>
      <c r="CD183" s="176"/>
      <c r="CE183" s="242"/>
      <c r="CF183" s="242"/>
      <c r="CG183"/>
      <c r="CH183" s="16"/>
      <c r="CI183" s="16"/>
      <c r="CJ183" s="16"/>
    </row>
    <row r="184" spans="1:90" x14ac:dyDescent="0.2">
      <c r="A184" s="8">
        <v>86</v>
      </c>
      <c r="B184" t="s">
        <v>143</v>
      </c>
      <c r="C184">
        <v>8</v>
      </c>
      <c r="D184" s="16" t="s">
        <v>28</v>
      </c>
      <c r="E184" t="s">
        <v>27</v>
      </c>
      <c r="F184" s="14" t="s">
        <v>26</v>
      </c>
      <c r="G184" s="26" t="s">
        <v>25</v>
      </c>
      <c r="H184" s="16">
        <v>18</v>
      </c>
      <c r="I184" s="17">
        <v>-1202</v>
      </c>
      <c r="J184" t="s">
        <v>36</v>
      </c>
      <c r="K184" s="6"/>
      <c r="L184" s="1"/>
      <c r="M184" s="6"/>
      <c r="N184" s="1">
        <v>168</v>
      </c>
      <c r="O184" s="29"/>
      <c r="P184" s="1">
        <v>6.7299999999999995</v>
      </c>
      <c r="Q184" s="1"/>
      <c r="R184" s="1"/>
      <c r="S184" s="1"/>
      <c r="T184" s="1"/>
      <c r="U184" s="1"/>
      <c r="V184" s="1"/>
      <c r="W184" s="1"/>
      <c r="X184" s="118"/>
      <c r="Y184" s="1"/>
      <c r="Z184" s="1"/>
      <c r="AA184" s="1"/>
      <c r="AB184" s="1"/>
      <c r="AC184" s="1"/>
      <c r="AD184" s="1"/>
      <c r="AE184" s="96"/>
      <c r="AF184" s="98"/>
      <c r="AG184" s="22">
        <v>15</v>
      </c>
      <c r="AH184" s="21"/>
      <c r="AI184" s="99">
        <v>25</v>
      </c>
      <c r="AJ184" s="171"/>
      <c r="AK184" s="118"/>
      <c r="AL184" s="8"/>
      <c r="AM184" s="176"/>
      <c r="AN184" s="242"/>
      <c r="AO184" s="242"/>
      <c r="AP184"/>
      <c r="AQ184" s="16"/>
      <c r="AR184" s="16"/>
      <c r="AS184" s="16"/>
      <c r="AZ184" s="83"/>
      <c r="BA184" s="83"/>
      <c r="BB184" s="83"/>
      <c r="BC184" s="83"/>
      <c r="BD184" s="83"/>
      <c r="BE184" s="188"/>
      <c r="BF184" s="188"/>
      <c r="BG184" s="188"/>
      <c r="BH184" s="188"/>
      <c r="BI184" s="98"/>
      <c r="BK184" s="176"/>
      <c r="BL184" s="242"/>
      <c r="BM184" s="242"/>
      <c r="BN184"/>
      <c r="BO184" s="16"/>
      <c r="BP184" s="16"/>
      <c r="BQ184" s="16"/>
      <c r="BX184" s="83"/>
      <c r="BY184" s="83"/>
      <c r="BZ184" s="83"/>
      <c r="CA184" s="83"/>
      <c r="CB184" s="83"/>
      <c r="CD184" s="176"/>
      <c r="CE184" s="242"/>
      <c r="CF184" s="242"/>
      <c r="CG184"/>
      <c r="CH184" s="16"/>
      <c r="CI184" s="16"/>
      <c r="CJ184" s="16"/>
    </row>
    <row r="185" spans="1:90" x14ac:dyDescent="0.2">
      <c r="A185" s="105" t="s">
        <v>118</v>
      </c>
      <c r="B185" s="46"/>
      <c r="C185" s="46"/>
      <c r="D185" s="46"/>
      <c r="E185" s="46"/>
      <c r="F185" s="46"/>
      <c r="G185" s="46"/>
      <c r="H185" s="52"/>
      <c r="I185" s="46"/>
      <c r="J185" s="46"/>
      <c r="K185" s="54"/>
      <c r="L185" s="46"/>
      <c r="M185" s="51"/>
      <c r="N185" s="52"/>
      <c r="O185" s="52"/>
      <c r="P185" s="46"/>
      <c r="Q185" s="46"/>
      <c r="R185" s="46"/>
      <c r="S185" s="46"/>
      <c r="T185" s="46"/>
      <c r="U185" s="46"/>
      <c r="V185" s="46"/>
      <c r="W185" s="46"/>
      <c r="X185" s="51"/>
      <c r="Y185" s="46"/>
      <c r="Z185" s="46"/>
      <c r="AA185" s="46"/>
      <c r="AB185" s="46"/>
      <c r="AC185" s="46"/>
      <c r="AD185" s="46"/>
      <c r="AE185" s="46"/>
      <c r="AF185" s="46"/>
      <c r="AG185" s="122"/>
      <c r="AH185" s="46"/>
      <c r="AI185" s="46"/>
      <c r="AJ185" s="170"/>
      <c r="AK185" s="54"/>
      <c r="AL185" s="8"/>
    </row>
    <row r="186" spans="1:90" x14ac:dyDescent="0.2">
      <c r="B186" t="s">
        <v>149</v>
      </c>
      <c r="D186" t="s">
        <v>117</v>
      </c>
      <c r="F186" s="9"/>
      <c r="I186" s="8"/>
      <c r="K186" s="9"/>
      <c r="M186" s="9"/>
      <c r="N186"/>
      <c r="O186"/>
      <c r="X186" s="9"/>
      <c r="AG186" s="22" t="s">
        <v>116</v>
      </c>
      <c r="AH186" s="120" t="s">
        <v>115</v>
      </c>
      <c r="AJ186" s="8"/>
      <c r="AK186" s="9"/>
      <c r="AL186" s="8"/>
      <c r="AP186" s="16"/>
      <c r="AQ186" s="16"/>
      <c r="AR186" s="16"/>
      <c r="BE186"/>
      <c r="BF186"/>
      <c r="BG186"/>
      <c r="BH186"/>
      <c r="BI186"/>
      <c r="BN186" s="16"/>
      <c r="BO186" s="16"/>
      <c r="BP186" s="16"/>
      <c r="CG186" s="16"/>
      <c r="CH186" s="16"/>
      <c r="CI186" s="16"/>
    </row>
    <row r="187" spans="1:90" x14ac:dyDescent="0.2">
      <c r="A187" s="8"/>
      <c r="B187" t="s">
        <v>149</v>
      </c>
      <c r="D187" t="s">
        <v>114</v>
      </c>
      <c r="F187" s="9"/>
      <c r="I187" s="8"/>
      <c r="K187" s="9"/>
      <c r="M187" s="9"/>
      <c r="N187"/>
      <c r="O187"/>
      <c r="X187" s="9"/>
      <c r="AG187" s="22" t="s">
        <v>113</v>
      </c>
      <c r="AH187" s="90" t="s">
        <v>109</v>
      </c>
      <c r="AJ187" s="8"/>
      <c r="AK187" s="9"/>
      <c r="AL187" s="8"/>
      <c r="AP187" s="16"/>
      <c r="AQ187" s="16"/>
      <c r="AR187" s="16"/>
      <c r="BE187"/>
      <c r="BF187"/>
      <c r="BG187"/>
      <c r="BH187"/>
      <c r="BI187"/>
      <c r="BN187" s="16"/>
      <c r="BO187" s="16"/>
      <c r="BP187" s="16"/>
      <c r="CG187" s="16"/>
      <c r="CH187" s="16"/>
      <c r="CI187" s="16"/>
    </row>
    <row r="188" spans="1:90" x14ac:dyDescent="0.2">
      <c r="A188" s="8"/>
      <c r="B188" t="s">
        <v>149</v>
      </c>
      <c r="D188" t="s">
        <v>112</v>
      </c>
      <c r="F188" s="9"/>
      <c r="I188" s="8"/>
      <c r="K188" s="9"/>
      <c r="M188" s="9"/>
      <c r="N188"/>
      <c r="O188"/>
      <c r="X188" s="9"/>
      <c r="AG188" s="22" t="s">
        <v>110</v>
      </c>
      <c r="AH188" s="90" t="s">
        <v>109</v>
      </c>
      <c r="AJ188" s="8"/>
      <c r="AK188" s="9"/>
      <c r="AL188" s="8"/>
      <c r="AP188" s="16"/>
      <c r="AQ188" s="16"/>
      <c r="AR188" s="16"/>
      <c r="BE188"/>
      <c r="BF188"/>
      <c r="BG188"/>
      <c r="BH188"/>
      <c r="BI188"/>
      <c r="BN188" s="16"/>
      <c r="BO188" s="16"/>
      <c r="BP188" s="16"/>
      <c r="CG188" s="16"/>
      <c r="CH188" s="16"/>
      <c r="CI188" s="16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88"/>
  <sheetViews>
    <sheetView topLeftCell="A13" zoomScale="55" zoomScaleNormal="55" workbookViewId="0">
      <selection activeCell="E33" sqref="E33"/>
    </sheetView>
  </sheetViews>
  <sheetFormatPr defaultRowHeight="12.75" outlineLevelRow="1" outlineLevelCol="1" x14ac:dyDescent="0.2"/>
  <cols>
    <col min="1" max="1" width="9.140625" customWidth="1" outlineLevel="1"/>
    <col min="2" max="2" width="12" customWidth="1" outlineLevel="1"/>
    <col min="3" max="3" width="9.140625" customWidth="1" outlineLevel="1"/>
    <col min="4" max="4" width="14.140625" customWidth="1"/>
    <col min="5" max="7" width="9.140625" customWidth="1" outlineLevel="1"/>
    <col min="8" max="8" width="9.140625" style="1" customWidth="1" outlineLevel="1"/>
    <col min="9" max="9" width="9.140625" customWidth="1" outlineLevel="1"/>
    <col min="10" max="10" width="22.5703125" customWidth="1"/>
    <col min="11" max="11" width="12.85546875" style="1" customWidth="1" outlineLevel="1"/>
    <col min="12" max="13" width="12.42578125" customWidth="1"/>
    <col min="14" max="14" width="11" style="1" customWidth="1"/>
    <col min="15" max="15" width="9.7109375" style="1" customWidth="1" outlineLevel="1"/>
    <col min="16" max="17" width="14.7109375" customWidth="1"/>
    <col min="18" max="18" width="10" customWidth="1"/>
    <col min="19" max="23" width="8.42578125" customWidth="1"/>
    <col min="24" max="24" width="12.42578125" customWidth="1" outlineLevel="1"/>
    <col min="25" max="25" width="14.7109375" customWidth="1"/>
    <col min="26" max="30" width="8" customWidth="1"/>
    <col min="31" max="32" width="12.42578125" customWidth="1" outlineLevel="1"/>
    <col min="33" max="33" width="20.140625" style="3" customWidth="1"/>
    <col min="34" max="34" width="17.140625" customWidth="1"/>
    <col min="35" max="35" width="17" customWidth="1"/>
    <col min="36" max="36" width="13.42578125" style="2" customWidth="1"/>
    <col min="37" max="37" width="14.28515625" style="1" customWidth="1" outlineLevel="1"/>
    <col min="39" max="39" width="24.140625" customWidth="1"/>
    <col min="40" max="40" width="11.5703125" customWidth="1"/>
    <col min="41" max="41" width="11.140625" customWidth="1"/>
    <col min="42" max="44" width="11.140625" style="1" customWidth="1"/>
    <col min="45" max="45" width="10.7109375" customWidth="1"/>
    <col min="52" max="56" width="23" customWidth="1"/>
    <col min="57" max="60" width="13.42578125" style="2" customWidth="1"/>
    <col min="61" max="61" width="14.28515625" style="1" customWidth="1" outlineLevel="1"/>
    <col min="63" max="63" width="24.140625" customWidth="1"/>
    <col min="64" max="64" width="11.5703125" customWidth="1"/>
    <col min="65" max="65" width="11.140625" customWidth="1"/>
    <col min="66" max="68" width="11.140625" style="1" customWidth="1"/>
    <col min="69" max="69" width="10.7109375" customWidth="1"/>
    <col min="76" max="80" width="23" customWidth="1"/>
    <col min="82" max="82" width="24.140625" customWidth="1"/>
    <col min="83" max="83" width="11.5703125" customWidth="1"/>
    <col min="84" max="84" width="11.140625" customWidth="1"/>
    <col min="85" max="87" width="11.140625" style="1" customWidth="1"/>
    <col min="88" max="88" width="10.7109375" customWidth="1"/>
    <col min="94" max="94" width="11.140625" customWidth="1"/>
  </cols>
  <sheetData>
    <row r="1" spans="2:88" x14ac:dyDescent="0.2">
      <c r="B1" s="58" t="s">
        <v>257</v>
      </c>
      <c r="K1"/>
      <c r="L1" s="1"/>
      <c r="M1" s="1"/>
      <c r="N1"/>
      <c r="O1"/>
      <c r="AG1"/>
      <c r="AJ1"/>
      <c r="AK1"/>
      <c r="BE1"/>
      <c r="BF1"/>
      <c r="BG1"/>
      <c r="BH1"/>
      <c r="BI1"/>
    </row>
    <row r="2" spans="2:88" x14ac:dyDescent="0.2">
      <c r="K2"/>
      <c r="N2"/>
      <c r="O2"/>
      <c r="AG2"/>
      <c r="AJ2"/>
      <c r="AK2"/>
      <c r="BE2"/>
      <c r="BF2"/>
      <c r="BG2"/>
      <c r="BH2"/>
      <c r="BI2"/>
    </row>
    <row r="3" spans="2:88" x14ac:dyDescent="0.2">
      <c r="B3" s="245" t="s">
        <v>290</v>
      </c>
      <c r="C3" s="246"/>
      <c r="D3" s="247"/>
      <c r="H3"/>
      <c r="I3" s="1"/>
    </row>
    <row r="4" spans="2:88" x14ac:dyDescent="0.2">
      <c r="B4" s="149" t="s">
        <v>291</v>
      </c>
      <c r="C4" s="91"/>
      <c r="D4" s="204" t="s">
        <v>292</v>
      </c>
      <c r="J4" s="192"/>
      <c r="K4" s="20"/>
      <c r="L4" s="195"/>
      <c r="O4" s="20"/>
      <c r="CC4" s="58" t="s">
        <v>103</v>
      </c>
      <c r="CF4" s="1"/>
    </row>
    <row r="5" spans="2:88" x14ac:dyDescent="0.2">
      <c r="B5" s="8" t="s">
        <v>293</v>
      </c>
      <c r="D5" s="9">
        <v>11.5</v>
      </c>
      <c r="J5" s="192"/>
      <c r="K5" s="20"/>
      <c r="L5" s="195"/>
      <c r="O5" s="20"/>
      <c r="CC5" s="136" t="s">
        <v>161</v>
      </c>
      <c r="CD5" s="130" t="s">
        <v>93</v>
      </c>
      <c r="CE5" s="130"/>
      <c r="CF5" s="130" t="s">
        <v>162</v>
      </c>
      <c r="CG5" s="131"/>
    </row>
    <row r="6" spans="2:88" x14ac:dyDescent="0.2">
      <c r="B6" s="8" t="s">
        <v>294</v>
      </c>
      <c r="D6" s="9">
        <v>0</v>
      </c>
      <c r="L6" s="195"/>
      <c r="CC6" s="137" t="s">
        <v>160</v>
      </c>
      <c r="CD6" s="132" t="s">
        <v>93</v>
      </c>
      <c r="CE6" s="132" t="s">
        <v>92</v>
      </c>
      <c r="CF6" s="132" t="s">
        <v>93</v>
      </c>
      <c r="CG6" s="133" t="s">
        <v>92</v>
      </c>
    </row>
    <row r="7" spans="2:88" ht="25.5" x14ac:dyDescent="0.25">
      <c r="B7" s="5"/>
      <c r="C7" s="4"/>
      <c r="D7" s="93"/>
      <c r="L7" s="195"/>
      <c r="T7" s="194"/>
      <c r="U7" s="194"/>
      <c r="V7" s="194"/>
      <c r="Z7" s="194"/>
      <c r="AA7" s="194"/>
      <c r="AB7" s="194"/>
      <c r="AC7" s="194"/>
      <c r="AD7" s="194"/>
      <c r="CC7" s="138" t="s">
        <v>163</v>
      </c>
      <c r="CD7" s="139" t="s">
        <v>102</v>
      </c>
      <c r="CE7" s="139" t="s">
        <v>101</v>
      </c>
      <c r="CF7" s="139" t="s">
        <v>98</v>
      </c>
      <c r="CG7" s="140" t="s">
        <v>97</v>
      </c>
    </row>
    <row r="8" spans="2:88" ht="15" x14ac:dyDescent="0.25">
      <c r="L8" s="195"/>
      <c r="T8" s="194"/>
      <c r="U8" s="194"/>
      <c r="V8" s="194"/>
      <c r="Z8" s="194"/>
      <c r="AA8" s="194"/>
      <c r="AB8" s="194"/>
      <c r="AC8" s="194"/>
      <c r="AD8" s="194"/>
      <c r="CC8" s="129" t="s">
        <v>166</v>
      </c>
      <c r="CD8" s="16">
        <f>COUNTIF($AT$51:$AT$117,0)</f>
        <v>13</v>
      </c>
      <c r="CE8" s="16">
        <f>COUNTIF($AT$51:$AT$117,2)</f>
        <v>0</v>
      </c>
      <c r="CF8" s="16">
        <f>COUNTIF($AT$51:$AT$117,1)</f>
        <v>47</v>
      </c>
      <c r="CG8" s="16">
        <f>COUNTIF($AT$51:$AT$117,3)</f>
        <v>0</v>
      </c>
    </row>
    <row r="9" spans="2:88" ht="15" x14ac:dyDescent="0.25">
      <c r="B9" s="194"/>
      <c r="C9" s="194"/>
      <c r="D9" s="194"/>
      <c r="L9" s="195"/>
      <c r="T9" s="194"/>
      <c r="U9" s="194"/>
      <c r="V9" s="194"/>
      <c r="Z9" s="194"/>
      <c r="AA9" s="194"/>
      <c r="AB9" s="194"/>
      <c r="AC9" s="194"/>
      <c r="AD9" s="194"/>
      <c r="CF9" s="1"/>
    </row>
    <row r="10" spans="2:88" ht="15" x14ac:dyDescent="0.25">
      <c r="B10" s="194"/>
      <c r="C10" s="194"/>
      <c r="D10" s="194"/>
      <c r="L10" s="195"/>
      <c r="T10" s="194"/>
      <c r="U10" s="194"/>
      <c r="V10" s="194"/>
      <c r="Z10" s="194"/>
      <c r="AA10" s="194"/>
      <c r="AB10" s="194"/>
      <c r="AC10" s="194"/>
      <c r="AD10" s="194"/>
      <c r="CF10" s="1"/>
    </row>
    <row r="11" spans="2:88" ht="15" x14ac:dyDescent="0.25">
      <c r="B11" s="194"/>
      <c r="C11" s="194"/>
      <c r="D11" s="194"/>
      <c r="L11" s="195"/>
      <c r="T11" s="194"/>
      <c r="U11" s="194"/>
      <c r="V11" s="194"/>
      <c r="Z11" s="194"/>
      <c r="AA11" s="194"/>
      <c r="AB11" s="194"/>
      <c r="AC11" s="194"/>
      <c r="AD11" s="194"/>
      <c r="CC11" s="58"/>
      <c r="CF11" s="1"/>
    </row>
    <row r="12" spans="2:88" ht="15" x14ac:dyDescent="0.25">
      <c r="B12" s="194"/>
      <c r="C12" s="194"/>
      <c r="D12" s="194"/>
      <c r="L12" s="195"/>
      <c r="T12" s="194"/>
      <c r="U12" s="194"/>
      <c r="V12" s="194"/>
      <c r="W12" s="194"/>
      <c r="Y12" s="194"/>
      <c r="Z12" s="194"/>
      <c r="AA12" s="194"/>
      <c r="AB12" s="194"/>
      <c r="AC12" s="194"/>
      <c r="AD12" s="194"/>
      <c r="AI12" s="2"/>
      <c r="AJ12"/>
      <c r="BE12"/>
      <c r="BF12"/>
      <c r="BG12"/>
      <c r="BH12"/>
      <c r="CC12" s="79" t="s">
        <v>190</v>
      </c>
      <c r="CD12" s="78" t="s">
        <v>90</v>
      </c>
      <c r="CE12" s="77" t="s">
        <v>89</v>
      </c>
      <c r="CF12" s="76"/>
    </row>
    <row r="13" spans="2:88" ht="15" x14ac:dyDescent="0.25">
      <c r="B13" s="194"/>
      <c r="C13" s="194"/>
      <c r="D13" s="194"/>
      <c r="L13" s="195"/>
      <c r="T13" s="194"/>
      <c r="U13" s="194"/>
      <c r="V13" s="194"/>
      <c r="W13" s="194"/>
      <c r="Y13" s="194"/>
      <c r="Z13" s="194"/>
      <c r="AA13" s="194"/>
      <c r="AB13" s="194"/>
      <c r="AC13" s="194"/>
      <c r="AD13" s="194"/>
      <c r="AI13" s="2"/>
      <c r="AJ13"/>
      <c r="AS13" s="72"/>
      <c r="BE13"/>
      <c r="BF13"/>
      <c r="BG13"/>
      <c r="BH13"/>
      <c r="BQ13" s="72"/>
      <c r="CC13" s="75" t="s">
        <v>88</v>
      </c>
      <c r="CD13" s="146" t="e">
        <f>AVERAGE(#REF!)</f>
        <v>#REF!</v>
      </c>
      <c r="CE13" s="146" t="e">
        <f>AVERAGE(BC51:BC60,BD64:BD83,BC86:BC88,BD91:BD117)</f>
        <v>#DIV/0!</v>
      </c>
      <c r="CF13" s="1"/>
      <c r="CJ13" s="72"/>
    </row>
    <row r="14" spans="2:88" ht="15" x14ac:dyDescent="0.25">
      <c r="B14" s="194"/>
      <c r="C14" s="194"/>
      <c r="D14" s="194"/>
      <c r="L14" s="195"/>
      <c r="Q14" s="194"/>
      <c r="R14" s="194"/>
      <c r="S14" s="194"/>
      <c r="T14" s="194"/>
      <c r="U14" s="194"/>
      <c r="V14" s="194"/>
      <c r="W14" s="194"/>
      <c r="Y14" s="194"/>
      <c r="Z14" s="194"/>
      <c r="AA14" s="194"/>
      <c r="AB14" s="194"/>
      <c r="AC14" s="194"/>
      <c r="AD14" s="194"/>
      <c r="AI14" s="2"/>
      <c r="AJ14"/>
      <c r="BE14"/>
      <c r="BF14"/>
      <c r="BG14"/>
      <c r="BH14"/>
      <c r="CC14" s="75" t="s">
        <v>87</v>
      </c>
      <c r="CD14" s="146" t="e">
        <f>MEDIAN(#REF!)</f>
        <v>#REF!</v>
      </c>
      <c r="CE14" s="146" t="e">
        <f>MEDIAN(BC51:BC60,BD64:BD83,BC86:BC88,BD91:BD117)</f>
        <v>#NUM!</v>
      </c>
      <c r="CF14" s="1"/>
    </row>
    <row r="15" spans="2:88" ht="15" x14ac:dyDescent="0.25">
      <c r="B15" s="194"/>
      <c r="C15" s="194"/>
      <c r="D15" s="194"/>
      <c r="L15" s="195"/>
      <c r="Q15" s="193"/>
      <c r="R15" s="193"/>
      <c r="S15" s="193"/>
      <c r="T15" s="193"/>
      <c r="U15" s="193"/>
      <c r="V15" s="193"/>
      <c r="W15" s="193"/>
      <c r="Y15" s="193"/>
      <c r="Z15" s="193"/>
      <c r="AA15" s="193"/>
      <c r="AB15" s="193"/>
      <c r="AC15" s="193"/>
      <c r="AD15" s="193"/>
      <c r="AI15" s="2"/>
      <c r="AJ15"/>
      <c r="BE15"/>
      <c r="BF15"/>
      <c r="BG15"/>
      <c r="BH15"/>
      <c r="CC15" s="75" t="s">
        <v>86</v>
      </c>
      <c r="CD15" s="146" t="e">
        <f>MIN(#REF!)</f>
        <v>#REF!</v>
      </c>
      <c r="CE15" s="146">
        <f>MIN(BC51:BC60,BD64:BD83,BC86:BC88,BD91:BD117)</f>
        <v>0</v>
      </c>
      <c r="CF15" s="1"/>
    </row>
    <row r="16" spans="2:88" ht="15" x14ac:dyDescent="0.25">
      <c r="L16" s="195"/>
      <c r="Q16" s="194"/>
      <c r="R16" s="194"/>
      <c r="S16" s="194"/>
      <c r="T16" s="194"/>
      <c r="U16" s="194"/>
      <c r="V16" s="194"/>
      <c r="W16" s="194"/>
      <c r="Y16" s="194"/>
      <c r="Z16" s="194"/>
      <c r="AA16" s="194"/>
      <c r="AB16" s="194"/>
      <c r="AC16" s="194"/>
      <c r="AD16" s="194"/>
      <c r="AI16" s="2"/>
      <c r="AJ16"/>
      <c r="BE16"/>
      <c r="BF16"/>
      <c r="BG16"/>
      <c r="BH16"/>
      <c r="CC16" s="73" t="s">
        <v>85</v>
      </c>
      <c r="CD16" s="146" t="e">
        <f>MAX(#REF!)</f>
        <v>#REF!</v>
      </c>
      <c r="CE16" s="146">
        <f>MAX(BC51:BC60,BD64:BD83,BC86:BC88,BD91:BD117)</f>
        <v>0</v>
      </c>
      <c r="CF16" s="1"/>
    </row>
    <row r="17" spans="2:84" ht="15" x14ac:dyDescent="0.25">
      <c r="B17" s="1"/>
      <c r="C17" s="1"/>
      <c r="D17" s="1"/>
      <c r="E17" s="1"/>
      <c r="F17" s="1"/>
      <c r="H17" s="20"/>
      <c r="I17" s="1"/>
      <c r="J17" s="192"/>
      <c r="K17" s="20"/>
      <c r="L17" s="195"/>
      <c r="Q17" s="194"/>
      <c r="R17" s="194"/>
      <c r="S17" s="194"/>
      <c r="T17" s="194"/>
      <c r="U17" s="194"/>
      <c r="V17" s="194"/>
      <c r="W17" s="194"/>
      <c r="Y17" s="194"/>
      <c r="Z17" s="194"/>
      <c r="AA17" s="194"/>
      <c r="AB17" s="194"/>
      <c r="AC17" s="194"/>
      <c r="AD17" s="194"/>
      <c r="AI17" s="2"/>
      <c r="AJ17"/>
      <c r="AM17" s="146"/>
      <c r="AN17" s="146"/>
      <c r="AO17" s="1"/>
      <c r="BE17"/>
      <c r="BF17"/>
      <c r="BG17"/>
      <c r="BH17"/>
      <c r="BJ17" s="146"/>
      <c r="BK17" s="146"/>
      <c r="BL17" s="146"/>
      <c r="BM17" s="1"/>
      <c r="CC17" s="47"/>
      <c r="CD17" s="146"/>
      <c r="CE17" s="146"/>
      <c r="CF17" s="1"/>
    </row>
    <row r="18" spans="2:84" ht="15" x14ac:dyDescent="0.25">
      <c r="B18" s="1"/>
      <c r="C18" s="1"/>
      <c r="D18" s="1"/>
      <c r="E18" s="1"/>
      <c r="F18" s="1"/>
      <c r="H18" s="20"/>
      <c r="I18" s="1"/>
      <c r="J18" s="192"/>
      <c r="K18" s="20"/>
      <c r="L18" s="195"/>
      <c r="Q18" s="194"/>
      <c r="R18" s="194"/>
      <c r="S18" s="194"/>
      <c r="T18" s="194"/>
      <c r="U18" s="194"/>
      <c r="V18" s="194"/>
      <c r="W18" s="194"/>
      <c r="Y18" s="194"/>
      <c r="Z18" s="194"/>
      <c r="AA18" s="194"/>
      <c r="AB18" s="194"/>
      <c r="AC18" s="194"/>
      <c r="AD18" s="194"/>
      <c r="AI18" s="2"/>
      <c r="AJ18"/>
      <c r="AM18" s="146"/>
      <c r="AN18" s="146"/>
      <c r="AO18" s="1"/>
      <c r="BE18"/>
      <c r="BF18"/>
      <c r="BG18"/>
      <c r="BH18"/>
      <c r="BJ18" s="146"/>
      <c r="BK18" s="146"/>
      <c r="BL18" s="146"/>
      <c r="BM18" s="1"/>
      <c r="CC18" s="47"/>
      <c r="CD18" s="146"/>
      <c r="CE18" s="146"/>
      <c r="CF18" s="1"/>
    </row>
    <row r="19" spans="2:84" ht="15" x14ac:dyDescent="0.25">
      <c r="B19" s="1"/>
      <c r="C19" s="1"/>
      <c r="D19" s="1"/>
      <c r="E19" s="1"/>
      <c r="F19" s="1"/>
      <c r="H19" s="20"/>
      <c r="I19" s="1"/>
      <c r="J19" s="192"/>
      <c r="K19" s="20"/>
      <c r="L19" s="195"/>
      <c r="Q19" s="194"/>
      <c r="R19" s="194"/>
      <c r="S19" s="194"/>
      <c r="T19" s="194"/>
      <c r="U19" s="194"/>
      <c r="V19" s="194"/>
      <c r="W19" s="194"/>
      <c r="Y19" s="194"/>
      <c r="Z19" s="194"/>
      <c r="AA19" s="194"/>
      <c r="AB19" s="194"/>
      <c r="AC19" s="194"/>
      <c r="AD19" s="194"/>
      <c r="AI19" s="2"/>
      <c r="AJ19"/>
      <c r="AM19" s="146"/>
      <c r="AN19" s="146"/>
      <c r="AO19" s="1"/>
      <c r="BE19"/>
      <c r="BF19"/>
      <c r="BG19"/>
      <c r="BH19"/>
      <c r="BJ19" s="146"/>
      <c r="BK19" s="146"/>
      <c r="BL19" s="146"/>
      <c r="BM19" s="1"/>
      <c r="CC19" s="47"/>
      <c r="CD19" s="146"/>
      <c r="CE19" s="146"/>
      <c r="CF19" s="1"/>
    </row>
    <row r="20" spans="2:84" ht="15" x14ac:dyDescent="0.25">
      <c r="B20" s="1"/>
      <c r="C20" s="1"/>
      <c r="D20" s="1"/>
      <c r="E20" s="1"/>
      <c r="F20" s="1"/>
      <c r="H20" s="20"/>
      <c r="I20" s="1"/>
      <c r="J20" s="192"/>
      <c r="K20" s="20"/>
      <c r="L20" s="195"/>
      <c r="Q20" s="194"/>
      <c r="R20" s="194"/>
      <c r="S20" s="194"/>
      <c r="T20" s="194"/>
      <c r="U20" s="194"/>
      <c r="V20" s="194"/>
      <c r="W20" s="194"/>
      <c r="Y20" s="194"/>
      <c r="Z20" s="194"/>
      <c r="AA20" s="194"/>
      <c r="AB20" s="194"/>
      <c r="AC20" s="194"/>
      <c r="AD20" s="194"/>
      <c r="AI20" s="2"/>
      <c r="AJ20"/>
      <c r="AM20" s="146"/>
      <c r="AN20" s="146"/>
      <c r="AO20" s="1"/>
      <c r="BE20"/>
      <c r="BF20"/>
      <c r="BG20"/>
      <c r="BH20"/>
      <c r="BJ20" s="146"/>
      <c r="BK20" s="146"/>
      <c r="BL20" s="146"/>
      <c r="BM20" s="1"/>
      <c r="CC20" s="47"/>
      <c r="CD20" s="146"/>
      <c r="CE20" s="146"/>
      <c r="CF20" s="1"/>
    </row>
    <row r="21" spans="2:84" ht="15" x14ac:dyDescent="0.25">
      <c r="B21" s="1"/>
      <c r="C21" s="1"/>
      <c r="D21" s="1"/>
      <c r="E21" s="1"/>
      <c r="F21" s="1"/>
      <c r="H21" s="20"/>
      <c r="I21" s="1"/>
      <c r="J21" s="192"/>
      <c r="K21" s="20"/>
      <c r="L21" s="195"/>
      <c r="Q21" s="194"/>
      <c r="R21" s="194"/>
      <c r="S21" s="194"/>
      <c r="T21" s="194"/>
      <c r="U21" s="194"/>
      <c r="V21" s="194"/>
      <c r="W21" s="194"/>
      <c r="Y21" s="194"/>
      <c r="Z21" s="194"/>
      <c r="AA21" s="194"/>
      <c r="AB21" s="194"/>
      <c r="AC21" s="194"/>
      <c r="AD21" s="194"/>
      <c r="AI21" s="2"/>
      <c r="AJ21"/>
      <c r="AM21" s="146"/>
      <c r="AN21" s="146"/>
      <c r="AO21" s="1"/>
      <c r="BE21"/>
      <c r="BF21"/>
      <c r="BG21"/>
      <c r="BH21"/>
      <c r="BJ21" s="146"/>
      <c r="BK21" s="146"/>
      <c r="BL21" s="146"/>
      <c r="BM21" s="1"/>
      <c r="CC21" s="47"/>
      <c r="CD21" s="146"/>
      <c r="CE21" s="146"/>
      <c r="CF21" s="1"/>
    </row>
    <row r="22" spans="2:84" ht="15" x14ac:dyDescent="0.25">
      <c r="B22" s="1"/>
      <c r="C22" s="1"/>
      <c r="D22" s="1"/>
      <c r="E22" s="1"/>
      <c r="F22" s="1"/>
      <c r="H22" s="20"/>
      <c r="I22" s="1"/>
      <c r="J22" s="192"/>
      <c r="K22" s="20"/>
      <c r="L22" s="195"/>
      <c r="Q22" s="194"/>
      <c r="R22" s="194"/>
      <c r="S22" s="194"/>
      <c r="T22" s="194"/>
      <c r="U22" s="194"/>
      <c r="V22" s="194"/>
      <c r="W22" s="194"/>
      <c r="Y22" s="194"/>
      <c r="Z22" s="194"/>
      <c r="AA22" s="194"/>
      <c r="AB22" s="194"/>
      <c r="AC22" s="194"/>
      <c r="AD22" s="194"/>
      <c r="AI22" s="2"/>
      <c r="AJ22"/>
      <c r="AM22" s="146"/>
      <c r="AN22" s="146"/>
      <c r="AO22" s="1"/>
      <c r="BE22"/>
      <c r="BF22"/>
      <c r="BG22"/>
      <c r="BH22"/>
      <c r="BJ22" s="146"/>
      <c r="BK22" s="146"/>
      <c r="BL22" s="146"/>
      <c r="BM22" s="1"/>
      <c r="CC22" s="47"/>
      <c r="CD22" s="146"/>
      <c r="CE22" s="146"/>
      <c r="CF22" s="1"/>
    </row>
    <row r="23" spans="2:84" ht="15" x14ac:dyDescent="0.25">
      <c r="B23" s="1"/>
      <c r="C23" s="1"/>
      <c r="D23" s="1"/>
      <c r="E23" s="1"/>
      <c r="F23" s="1"/>
      <c r="H23" s="20"/>
      <c r="I23" s="1"/>
      <c r="J23" s="192"/>
      <c r="K23" s="20"/>
      <c r="L23" s="195"/>
      <c r="Q23" s="194"/>
      <c r="R23" s="194"/>
      <c r="S23" s="194"/>
      <c r="T23" s="194"/>
      <c r="U23" s="194"/>
      <c r="V23" s="194"/>
      <c r="W23" s="194"/>
      <c r="Y23" s="194"/>
      <c r="Z23" s="194"/>
      <c r="AA23" s="194"/>
      <c r="AB23" s="194"/>
      <c r="AC23" s="194"/>
      <c r="AD23" s="194"/>
      <c r="AI23" s="2"/>
      <c r="AJ23"/>
      <c r="AM23" s="146"/>
      <c r="AN23" s="146"/>
      <c r="AO23" s="1"/>
      <c r="BE23"/>
      <c r="BF23"/>
      <c r="BG23"/>
      <c r="BH23"/>
      <c r="BJ23" s="146"/>
      <c r="BK23" s="146"/>
      <c r="BL23" s="146"/>
      <c r="BM23" s="1"/>
      <c r="CC23" s="47"/>
      <c r="CD23" s="146"/>
      <c r="CE23" s="146"/>
      <c r="CF23" s="1"/>
    </row>
    <row r="24" spans="2:84" ht="15" x14ac:dyDescent="0.25">
      <c r="B24" s="1"/>
      <c r="C24" s="1"/>
      <c r="D24" s="1"/>
      <c r="E24" s="1"/>
      <c r="F24" s="1"/>
      <c r="H24" s="20"/>
      <c r="I24" s="1"/>
      <c r="J24" s="192"/>
      <c r="K24" s="20"/>
      <c r="L24" s="195"/>
      <c r="Q24" s="194"/>
      <c r="R24" s="194"/>
      <c r="S24" s="194"/>
      <c r="T24" s="194"/>
      <c r="U24" s="194"/>
      <c r="V24" s="194"/>
      <c r="W24" s="194"/>
      <c r="Y24" s="194"/>
      <c r="Z24" s="194"/>
      <c r="AA24" s="194"/>
      <c r="AB24" s="194"/>
      <c r="AC24" s="194"/>
      <c r="AD24" s="194"/>
      <c r="AI24" s="2"/>
      <c r="AJ24"/>
      <c r="AL24" s="58" t="s">
        <v>103</v>
      </c>
      <c r="AO24" s="1"/>
      <c r="BE24"/>
      <c r="BF24"/>
      <c r="BG24"/>
      <c r="BH24"/>
      <c r="BJ24" s="58" t="s">
        <v>103</v>
      </c>
      <c r="BM24" s="1"/>
      <c r="CC24" s="47"/>
      <c r="CD24" s="146"/>
      <c r="CE24" s="146"/>
      <c r="CF24" s="1"/>
    </row>
    <row r="25" spans="2:84" ht="15" x14ac:dyDescent="0.25">
      <c r="B25" s="1"/>
      <c r="C25" s="1"/>
      <c r="D25" s="1"/>
      <c r="E25" s="1"/>
      <c r="F25" s="1"/>
      <c r="H25" s="20"/>
      <c r="I25" s="1"/>
      <c r="J25" s="192"/>
      <c r="K25" s="20"/>
      <c r="L25" s="195"/>
      <c r="Q25" s="194"/>
      <c r="R25" s="194"/>
      <c r="S25" s="194"/>
      <c r="T25" s="194"/>
      <c r="U25" s="194"/>
      <c r="V25" s="194"/>
      <c r="W25" s="194"/>
      <c r="Y25" s="194"/>
      <c r="Z25" s="194"/>
      <c r="AA25" s="194"/>
      <c r="AB25" s="194"/>
      <c r="AC25" s="194"/>
      <c r="AD25" s="194"/>
      <c r="AI25" s="2"/>
      <c r="AJ25"/>
      <c r="AL25" s="136" t="s">
        <v>161</v>
      </c>
      <c r="AM25" s="130" t="s">
        <v>93</v>
      </c>
      <c r="AN25" s="130"/>
      <c r="AO25" s="130" t="s">
        <v>162</v>
      </c>
      <c r="AP25" s="131"/>
      <c r="BE25"/>
      <c r="BF25"/>
      <c r="BG25"/>
      <c r="BH25"/>
      <c r="BJ25" s="136" t="s">
        <v>161</v>
      </c>
      <c r="BK25" s="130" t="s">
        <v>93</v>
      </c>
      <c r="BL25" s="130"/>
      <c r="BM25" s="130" t="s">
        <v>162</v>
      </c>
      <c r="BN25" s="131"/>
      <c r="CC25" s="47"/>
      <c r="CD25" s="146"/>
      <c r="CE25" s="146"/>
      <c r="CF25" s="1"/>
    </row>
    <row r="26" spans="2:84" ht="15" x14ac:dyDescent="0.25">
      <c r="B26" s="1"/>
      <c r="C26" s="1"/>
      <c r="D26" s="1"/>
      <c r="E26" s="1"/>
      <c r="F26" s="1"/>
      <c r="H26" s="20"/>
      <c r="I26" s="1"/>
      <c r="J26" s="192"/>
      <c r="K26" s="20"/>
      <c r="L26" s="195"/>
      <c r="Q26" s="194"/>
      <c r="R26" s="194"/>
      <c r="S26" s="194"/>
      <c r="T26" s="194"/>
      <c r="U26" s="194"/>
      <c r="V26" s="194"/>
      <c r="W26" s="194"/>
      <c r="Y26" s="194"/>
      <c r="Z26" s="194"/>
      <c r="AA26" s="194"/>
      <c r="AB26" s="194"/>
      <c r="AC26" s="194"/>
      <c r="AD26" s="194"/>
      <c r="AI26" s="2"/>
      <c r="AJ26"/>
      <c r="AL26" s="137" t="s">
        <v>160</v>
      </c>
      <c r="AM26" s="132" t="s">
        <v>93</v>
      </c>
      <c r="AN26" s="132" t="s">
        <v>92</v>
      </c>
      <c r="AO26" s="132" t="s">
        <v>93</v>
      </c>
      <c r="AP26" s="133" t="s">
        <v>92</v>
      </c>
      <c r="BE26"/>
      <c r="BF26"/>
      <c r="BG26"/>
      <c r="BH26"/>
      <c r="BJ26" s="137" t="s">
        <v>160</v>
      </c>
      <c r="BK26" s="132" t="s">
        <v>93</v>
      </c>
      <c r="BL26" s="132" t="s">
        <v>92</v>
      </c>
      <c r="BM26" s="132" t="s">
        <v>93</v>
      </c>
      <c r="BN26" s="133" t="s">
        <v>92</v>
      </c>
      <c r="CC26" s="47"/>
      <c r="CD26" s="146"/>
      <c r="CE26" s="146"/>
      <c r="CF26" s="1"/>
    </row>
    <row r="27" spans="2:84" ht="25.5" x14ac:dyDescent="0.25">
      <c r="B27" s="1"/>
      <c r="C27" s="1"/>
      <c r="D27" s="1"/>
      <c r="E27" s="1"/>
      <c r="F27" s="1"/>
      <c r="H27" s="20"/>
      <c r="I27" s="1"/>
      <c r="J27" s="192"/>
      <c r="K27" s="20"/>
      <c r="L27" s="195"/>
      <c r="Q27" s="194"/>
      <c r="R27" s="194"/>
      <c r="S27" s="194"/>
      <c r="T27" s="194"/>
      <c r="U27" s="194"/>
      <c r="V27" s="194"/>
      <c r="W27" s="194"/>
      <c r="Y27" s="194"/>
      <c r="Z27" s="194"/>
      <c r="AA27" s="194"/>
      <c r="AB27" s="194"/>
      <c r="AC27" s="194"/>
      <c r="AD27" s="194"/>
      <c r="AI27" s="2"/>
      <c r="AJ27"/>
      <c r="AL27" s="138" t="s">
        <v>163</v>
      </c>
      <c r="AM27" s="139" t="s">
        <v>102</v>
      </c>
      <c r="AN27" s="139" t="s">
        <v>101</v>
      </c>
      <c r="AO27" s="139" t="s">
        <v>98</v>
      </c>
      <c r="AP27" s="140" t="s">
        <v>97</v>
      </c>
      <c r="BE27"/>
      <c r="BF27"/>
      <c r="BG27"/>
      <c r="BH27"/>
      <c r="BJ27" s="138" t="s">
        <v>163</v>
      </c>
      <c r="BK27" s="139" t="s">
        <v>102</v>
      </c>
      <c r="BL27" s="139" t="s">
        <v>101</v>
      </c>
      <c r="BM27" s="139" t="s">
        <v>98</v>
      </c>
      <c r="BN27" s="140" t="s">
        <v>97</v>
      </c>
      <c r="CC27" s="47"/>
      <c r="CD27" s="146"/>
      <c r="CE27" s="146"/>
      <c r="CF27" s="1"/>
    </row>
    <row r="28" spans="2:84" ht="15" x14ac:dyDescent="0.25">
      <c r="B28" s="1"/>
      <c r="C28" s="1"/>
      <c r="D28" s="1"/>
      <c r="E28" s="1"/>
      <c r="F28" s="1"/>
      <c r="H28" s="20"/>
      <c r="I28" s="1"/>
      <c r="J28" s="192"/>
      <c r="K28" s="20"/>
      <c r="L28" s="195"/>
      <c r="Q28" s="194"/>
      <c r="R28" s="194"/>
      <c r="S28" s="194"/>
      <c r="T28" s="194"/>
      <c r="U28" s="194"/>
      <c r="V28" s="194"/>
      <c r="W28" s="194"/>
      <c r="Y28" s="194"/>
      <c r="Z28" s="194"/>
      <c r="AA28" s="194"/>
      <c r="AB28" s="194"/>
      <c r="AC28" s="194"/>
      <c r="AD28" s="194"/>
      <c r="AI28" s="2"/>
      <c r="AJ28"/>
      <c r="AL28" s="129" t="s">
        <v>166</v>
      </c>
      <c r="AM28" s="16">
        <f>COUNTIF($AT$51:$AT$117,0)</f>
        <v>13</v>
      </c>
      <c r="AN28" s="16">
        <f>COUNTIF($AT$51:$AT$117,2)</f>
        <v>0</v>
      </c>
      <c r="AO28" s="16">
        <f>COUNTIF($AT$51:$AT$117,1)</f>
        <v>47</v>
      </c>
      <c r="AP28" s="16">
        <f>COUNTIF($AT$51:$AT$117,3)</f>
        <v>0</v>
      </c>
      <c r="BE28"/>
      <c r="BF28"/>
      <c r="BG28"/>
      <c r="BH28"/>
      <c r="BJ28" s="129" t="s">
        <v>166</v>
      </c>
      <c r="BK28" s="16">
        <f>COUNTIF(BR51:BR117,0)</f>
        <v>13</v>
      </c>
      <c r="BL28" s="16">
        <f>COUNTIF(BR51:BR117,2)</f>
        <v>0</v>
      </c>
      <c r="BM28" s="16">
        <f>COUNTIF(BR51:BR117,1)</f>
        <v>47</v>
      </c>
      <c r="BN28" s="16">
        <f>COUNTIF(BR51:BR117,3)</f>
        <v>0</v>
      </c>
      <c r="CC28" s="47"/>
      <c r="CD28" s="146"/>
      <c r="CE28" s="146"/>
      <c r="CF28" s="1"/>
    </row>
    <row r="29" spans="2:84" ht="15" x14ac:dyDescent="0.25">
      <c r="B29" s="1"/>
      <c r="C29" s="1"/>
      <c r="D29" s="1"/>
      <c r="E29" s="1"/>
      <c r="F29" s="1"/>
      <c r="H29" s="20"/>
      <c r="I29" s="1"/>
      <c r="J29" s="192"/>
      <c r="K29" s="20"/>
      <c r="L29" s="195"/>
      <c r="Q29" s="194"/>
      <c r="R29" s="194"/>
      <c r="S29" s="194"/>
      <c r="T29" s="194"/>
      <c r="U29" s="194"/>
      <c r="V29" s="194"/>
      <c r="W29" s="194"/>
      <c r="Y29" s="194"/>
      <c r="Z29" s="194"/>
      <c r="AA29" s="194"/>
      <c r="AB29" s="194"/>
      <c r="AC29" s="194"/>
      <c r="AD29" s="194"/>
      <c r="AI29" s="2"/>
      <c r="AJ29"/>
      <c r="AO29" s="1"/>
      <c r="BE29"/>
      <c r="BF29"/>
      <c r="BG29"/>
      <c r="BH29"/>
      <c r="BM29" s="1"/>
      <c r="CC29" s="47"/>
      <c r="CD29" s="146"/>
      <c r="CE29" s="146"/>
      <c r="CF29" s="1"/>
    </row>
    <row r="30" spans="2:84" ht="15" x14ac:dyDescent="0.25">
      <c r="B30" s="7"/>
      <c r="C30" s="7"/>
      <c r="D30" s="7"/>
      <c r="E30" s="7"/>
      <c r="F30" s="7"/>
      <c r="H30" s="20"/>
      <c r="I30" s="1"/>
      <c r="J30" s="192"/>
      <c r="K30" s="20"/>
      <c r="L30" s="195"/>
      <c r="N30"/>
      <c r="O30"/>
      <c r="S30" s="194"/>
      <c r="T30" s="194"/>
      <c r="U30" s="194"/>
      <c r="V30" s="194"/>
      <c r="W30" s="194"/>
      <c r="Y30" s="194"/>
      <c r="Z30" s="194"/>
      <c r="AA30" s="194"/>
      <c r="AB30" s="194"/>
      <c r="AC30" s="194"/>
      <c r="AD30" s="194"/>
      <c r="AI30" s="2"/>
      <c r="AJ30"/>
      <c r="AL30" s="58" t="s">
        <v>190</v>
      </c>
      <c r="BE30"/>
      <c r="BF30"/>
      <c r="BG30"/>
      <c r="BH30"/>
      <c r="BM30" s="1"/>
      <c r="CC30" s="47"/>
      <c r="CD30" s="146"/>
      <c r="CE30" s="146"/>
      <c r="CF30" s="1"/>
    </row>
    <row r="31" spans="2:84" ht="15" x14ac:dyDescent="0.25">
      <c r="B31" s="212" t="s">
        <v>255</v>
      </c>
      <c r="C31" s="216"/>
      <c r="D31" s="214"/>
      <c r="E31" s="216"/>
      <c r="F31" s="217"/>
      <c r="H31" s="20"/>
      <c r="I31" s="1"/>
      <c r="J31" s="192"/>
      <c r="K31" s="20"/>
      <c r="N31"/>
      <c r="O31"/>
      <c r="AI31" s="2"/>
      <c r="AJ31"/>
      <c r="AL31" s="233"/>
      <c r="AM31" s="78" t="s">
        <v>90</v>
      </c>
      <c r="AN31" s="77" t="s">
        <v>89</v>
      </c>
      <c r="AO31" s="76"/>
      <c r="BE31"/>
      <c r="BF31"/>
      <c r="BG31"/>
      <c r="BH31"/>
      <c r="BJ31" s="58" t="s">
        <v>190</v>
      </c>
      <c r="BM31" s="1"/>
      <c r="CC31" s="47"/>
      <c r="CD31" s="146"/>
      <c r="CE31" s="146"/>
      <c r="CF31" s="1"/>
    </row>
    <row r="32" spans="2:84" ht="15" x14ac:dyDescent="0.25">
      <c r="B32" s="201" t="s">
        <v>91</v>
      </c>
      <c r="C32" s="202" t="s">
        <v>240</v>
      </c>
      <c r="D32" s="91"/>
      <c r="E32" s="203">
        <f>2.7/1000</f>
        <v>2.7000000000000001E-3</v>
      </c>
      <c r="F32" s="204" t="s">
        <v>94</v>
      </c>
      <c r="G32" s="198"/>
      <c r="I32" s="1"/>
      <c r="J32" s="192"/>
      <c r="K32" s="20"/>
      <c r="N32"/>
      <c r="O32"/>
      <c r="AI32" s="2"/>
      <c r="AJ32"/>
      <c r="AL32" s="234" t="s">
        <v>88</v>
      </c>
      <c r="AM32" s="146">
        <f>AVERAGE(AJ51:AJ117)</f>
        <v>1649.3230134713062</v>
      </c>
      <c r="AN32" s="146">
        <f>AVERAGE($AH51:$AH60,$AI64:$AI83,$AH86:$AH88,$AI91:$AI117)</f>
        <v>1.5575297619047606</v>
      </c>
      <c r="AO32" s="1"/>
      <c r="BE32"/>
      <c r="BF32"/>
      <c r="BG32"/>
      <c r="BH32"/>
      <c r="BJ32" s="233"/>
      <c r="BK32" s="78" t="s">
        <v>90</v>
      </c>
      <c r="BL32" s="77" t="s">
        <v>89</v>
      </c>
      <c r="BM32" s="76"/>
      <c r="CC32" s="47"/>
      <c r="CD32" s="146"/>
      <c r="CE32" s="146"/>
      <c r="CF32" s="1"/>
    </row>
    <row r="33" spans="1:110" ht="15" x14ac:dyDescent="0.25">
      <c r="B33" s="205" t="s">
        <v>241</v>
      </c>
      <c r="C33" s="193" t="s">
        <v>242</v>
      </c>
      <c r="E33" s="357">
        <f>(0.025-2*E32)/2</f>
        <v>9.7999999999999997E-3</v>
      </c>
      <c r="F33" s="9" t="s">
        <v>94</v>
      </c>
      <c r="G33" s="198"/>
      <c r="I33" s="1"/>
      <c r="J33" s="192"/>
      <c r="K33" s="20"/>
      <c r="N33"/>
      <c r="O33"/>
      <c r="AI33" s="2"/>
      <c r="AJ33"/>
      <c r="AL33" s="75" t="s">
        <v>85</v>
      </c>
      <c r="AM33" s="146">
        <f>MAX(AJ51:AJ117)</f>
        <v>19163.030483979976</v>
      </c>
      <c r="AN33" s="146">
        <f>MAX($AH51:$AH60,$AI64:$AI83,$AH86:$AH88,$AI91:$AI117)</f>
        <v>47</v>
      </c>
      <c r="AO33" s="1"/>
      <c r="BE33"/>
      <c r="BF33"/>
      <c r="BG33"/>
      <c r="BH33"/>
      <c r="BJ33" s="234" t="s">
        <v>88</v>
      </c>
      <c r="BK33" s="146">
        <f>AVERAGE(BE51:BE117)</f>
        <v>134.84101199981777</v>
      </c>
      <c r="BL33" s="146">
        <f>AVERAGE($AH52:$AH61,$AI65:$AI84,$AH87:$AH89,$AI92:$AI118)</f>
        <v>0.81255739795918536</v>
      </c>
      <c r="BM33" s="1"/>
      <c r="CC33" s="47"/>
      <c r="CD33" s="146"/>
      <c r="CE33" s="146"/>
      <c r="CF33" s="1"/>
    </row>
    <row r="34" spans="1:110" ht="15" x14ac:dyDescent="0.25">
      <c r="B34" s="205" t="s">
        <v>243</v>
      </c>
      <c r="C34" s="193" t="s">
        <v>244</v>
      </c>
      <c r="E34" s="199" t="s">
        <v>254</v>
      </c>
      <c r="I34" s="1"/>
      <c r="J34" s="192"/>
      <c r="K34" s="20"/>
      <c r="N34"/>
      <c r="O34"/>
      <c r="W34" s="238"/>
      <c r="AD34" s="238"/>
      <c r="AI34" s="2"/>
      <c r="AJ34"/>
      <c r="AL34" s="75" t="s">
        <v>87</v>
      </c>
      <c r="AM34" s="146">
        <f>MEDIAN(AJ51:AJ117)</f>
        <v>183.45871270052709</v>
      </c>
      <c r="AN34" s="146">
        <f>MEDIAN($AH51:$AH60,$AI64:$AI83,$AH86:$AH88,$AI91:$AI117)</f>
        <v>0.05</v>
      </c>
      <c r="BE34"/>
      <c r="BF34"/>
      <c r="BG34"/>
      <c r="BH34"/>
      <c r="BJ34" s="75" t="s">
        <v>85</v>
      </c>
      <c r="BK34" s="146">
        <f>MAX(BE51:BE117)</f>
        <v>1394.4793581783974</v>
      </c>
      <c r="BL34" s="146">
        <f>MAX($AH52:$AH61,$AI65:$AI84,$AH87:$AH89,$AI92:$AI118)</f>
        <v>18</v>
      </c>
      <c r="BM34" s="1"/>
      <c r="CC34" s="47"/>
      <c r="CD34" s="146"/>
      <c r="CE34" s="146"/>
      <c r="CF34" s="1"/>
    </row>
    <row r="35" spans="1:110" ht="15" x14ac:dyDescent="0.25">
      <c r="B35" s="205" t="s">
        <v>245</v>
      </c>
      <c r="C35" s="193" t="s">
        <v>246</v>
      </c>
      <c r="E35" s="199" t="s">
        <v>254</v>
      </c>
      <c r="F35" s="9"/>
      <c r="I35" s="1"/>
      <c r="J35" s="192"/>
      <c r="K35" s="20"/>
      <c r="N35"/>
      <c r="O35"/>
      <c r="AI35" s="2"/>
      <c r="AJ35"/>
      <c r="AL35" s="73" t="s">
        <v>86</v>
      </c>
      <c r="AM35" s="146">
        <f>MIN(AJ51:AJ117)</f>
        <v>0.26382068438277756</v>
      </c>
      <c r="AN35" s="146">
        <f>MIN($AH51:$AH60,$AI64:$AI83,$AH86:$AH88,$AI91:$AI117)</f>
        <v>0.02</v>
      </c>
      <c r="AO35" s="1"/>
      <c r="BE35"/>
      <c r="BF35"/>
      <c r="BG35"/>
      <c r="BH35"/>
      <c r="BJ35" s="75" t="s">
        <v>87</v>
      </c>
      <c r="BK35" s="146">
        <f>MEDIAN(BE51:BE117)</f>
        <v>44.816014526595779</v>
      </c>
      <c r="BL35" s="146">
        <f>MEDIAN($AH52:$AH61,$AI65:$AI84,$AH87:$AH89,$AI92:$AI118)</f>
        <v>0.05</v>
      </c>
      <c r="BM35" s="1"/>
      <c r="CC35" s="47"/>
      <c r="CD35" s="146"/>
      <c r="CE35" s="146"/>
      <c r="CF35" s="1"/>
    </row>
    <row r="36" spans="1:110" ht="15" x14ac:dyDescent="0.25">
      <c r="B36" s="205" t="s">
        <v>247</v>
      </c>
      <c r="C36" s="193" t="s">
        <v>248</v>
      </c>
      <c r="E36" s="200">
        <v>25</v>
      </c>
      <c r="F36" s="9" t="s">
        <v>94</v>
      </c>
      <c r="I36" s="1"/>
      <c r="J36" s="192"/>
      <c r="K36" s="20"/>
      <c r="N36"/>
      <c r="O36"/>
      <c r="AI36" s="2"/>
      <c r="AJ36"/>
      <c r="AL36" s="58"/>
      <c r="AO36" s="1"/>
      <c r="BE36"/>
      <c r="BF36"/>
      <c r="BG36"/>
      <c r="BH36"/>
      <c r="BJ36" s="73" t="s">
        <v>86</v>
      </c>
      <c r="BK36" s="146">
        <f>MIN(BE51:BE117)</f>
        <v>9.8548632903000644E-2</v>
      </c>
      <c r="BL36" s="146">
        <f>MIN($AH52:$AH61,$AI65:$AI84,$AH87:$AH89,$AI92:$AI118)</f>
        <v>0.02</v>
      </c>
      <c r="BM36" s="1"/>
      <c r="CC36" s="47"/>
      <c r="CD36" s="146"/>
      <c r="CE36" s="146"/>
      <c r="CF36" s="1"/>
    </row>
    <row r="37" spans="1:110" ht="15" x14ac:dyDescent="0.25">
      <c r="B37" s="205" t="s">
        <v>249</v>
      </c>
      <c r="C37" s="193" t="s">
        <v>250</v>
      </c>
      <c r="E37" s="200">
        <v>0.5</v>
      </c>
      <c r="F37" s="9" t="s">
        <v>251</v>
      </c>
      <c r="I37" s="1"/>
      <c r="J37" s="192"/>
      <c r="K37" s="20"/>
      <c r="N37"/>
      <c r="O37"/>
      <c r="AI37" s="2"/>
      <c r="AJ37"/>
      <c r="BE37"/>
      <c r="BF37"/>
      <c r="BG37"/>
      <c r="BH37"/>
      <c r="BM37" s="1"/>
      <c r="CC37" s="47"/>
      <c r="CD37" s="146"/>
      <c r="CE37" s="146"/>
      <c r="CF37" s="1"/>
    </row>
    <row r="38" spans="1:110" x14ac:dyDescent="0.2">
      <c r="B38" s="206" t="s">
        <v>252</v>
      </c>
      <c r="C38" s="4" t="s">
        <v>253</v>
      </c>
      <c r="D38" s="4"/>
      <c r="E38" s="222">
        <f>8/24</f>
        <v>0.33333333333333331</v>
      </c>
      <c r="F38" s="93" t="s">
        <v>91</v>
      </c>
      <c r="I38" s="1"/>
      <c r="J38" s="192"/>
      <c r="K38" s="20"/>
      <c r="N38"/>
      <c r="O38"/>
      <c r="AI38" s="2"/>
      <c r="AJ38"/>
      <c r="AL38" s="235" t="s">
        <v>283</v>
      </c>
      <c r="BE38"/>
      <c r="BF38"/>
      <c r="BG38"/>
      <c r="BH38"/>
      <c r="BJ38" s="235" t="s">
        <v>283</v>
      </c>
      <c r="BM38" s="1"/>
      <c r="CC38" s="47"/>
      <c r="CD38" s="146"/>
      <c r="CE38" s="146"/>
      <c r="CF38" s="1"/>
    </row>
    <row r="39" spans="1:110" x14ac:dyDescent="0.2">
      <c r="C39" s="1"/>
      <c r="E39" s="1"/>
      <c r="F39" s="1"/>
      <c r="H39" s="20"/>
      <c r="I39" s="1"/>
      <c r="J39" s="192"/>
      <c r="K39" s="20"/>
      <c r="N39"/>
      <c r="O39"/>
      <c r="AI39" s="2"/>
      <c r="AJ39"/>
      <c r="AL39" s="79"/>
      <c r="AM39" s="129" t="s">
        <v>284</v>
      </c>
      <c r="AN39" s="129" t="s">
        <v>307</v>
      </c>
      <c r="AO39" s="1"/>
      <c r="BE39"/>
      <c r="BF39"/>
      <c r="BG39"/>
      <c r="BH39"/>
      <c r="BJ39" s="79"/>
      <c r="BK39" s="129" t="s">
        <v>284</v>
      </c>
      <c r="BL39" s="129" t="s">
        <v>307</v>
      </c>
      <c r="BM39" s="1"/>
      <c r="CC39" s="47"/>
      <c r="CD39" s="146"/>
      <c r="CE39" s="146"/>
      <c r="CF39" s="1"/>
    </row>
    <row r="40" spans="1:110" x14ac:dyDescent="0.2">
      <c r="B40" s="218" t="s">
        <v>100</v>
      </c>
      <c r="C40" s="207"/>
      <c r="D40" s="82"/>
      <c r="E40" s="219">
        <f>PI()*(E33)^2</f>
        <v>3.0171855845076374E-4</v>
      </c>
      <c r="F40" s="81" t="s">
        <v>99</v>
      </c>
      <c r="H40" s="20"/>
      <c r="I40" s="1"/>
      <c r="J40" s="192"/>
      <c r="K40" s="20"/>
      <c r="N40"/>
      <c r="O40"/>
      <c r="AI40" s="2"/>
      <c r="AJ40"/>
      <c r="AL40" s="236" t="s">
        <v>274</v>
      </c>
      <c r="AM40" s="146">
        <f>PERCENTILE((AM51:AM60,AM86:AM88),0.5)</f>
        <v>407.7240528506378</v>
      </c>
      <c r="AN40" s="146">
        <f>PERCENTILE((AM51:AM117),0.5)</f>
        <v>3010.5376507442347</v>
      </c>
      <c r="AO40" s="1"/>
      <c r="BE40"/>
      <c r="BF40"/>
      <c r="BG40"/>
      <c r="BH40"/>
      <c r="BJ40" s="236" t="s">
        <v>274</v>
      </c>
      <c r="BK40" s="146">
        <f>PERCENTILE((BK51:BK60,BK86:BK88),0.5)</f>
        <v>20.70335479434155</v>
      </c>
      <c r="BL40" s="146">
        <f>PERCENTILE((BK51:BK117),0.5)</f>
        <v>602.20487556870876</v>
      </c>
      <c r="BM40" s="1"/>
      <c r="CC40" s="47"/>
      <c r="CD40" s="146"/>
      <c r="CE40" s="146"/>
      <c r="CF40" s="1"/>
    </row>
    <row r="41" spans="1:110" x14ac:dyDescent="0.2">
      <c r="B41" s="80" t="s">
        <v>96</v>
      </c>
      <c r="C41" s="196"/>
      <c r="D41" s="7"/>
      <c r="E41" s="220">
        <f>PI()*E33*2</f>
        <v>6.1575216010359944E-2</v>
      </c>
      <c r="F41" s="221" t="s">
        <v>95</v>
      </c>
      <c r="H41" s="20"/>
      <c r="I41" s="1"/>
      <c r="J41" s="192"/>
      <c r="K41" s="20"/>
      <c r="AI41" s="2"/>
      <c r="AJ41"/>
      <c r="AL41" s="237" t="s">
        <v>275</v>
      </c>
      <c r="AM41" s="146">
        <f>PERCENTILE((AM51:AM60,AM86:AM88),0.1)</f>
        <v>50.336712734200944</v>
      </c>
      <c r="AN41" s="146">
        <f>PERCENTILE((AM51:AM117),0.1)</f>
        <v>34.164004828392898</v>
      </c>
      <c r="BE41"/>
      <c r="BF41"/>
      <c r="BG41"/>
      <c r="BH41"/>
      <c r="BJ41" s="237" t="s">
        <v>275</v>
      </c>
      <c r="BK41" s="146">
        <f>PERCENTILE((BK51:BK60,BK86:BK88),0.1)</f>
        <v>6.7819224144874193</v>
      </c>
      <c r="BL41" s="146">
        <f>PERCENTILE((BK51:BK117),0.1)</f>
        <v>8.173491374463941</v>
      </c>
      <c r="BM41" s="1"/>
      <c r="CC41" s="47"/>
      <c r="CD41" s="146"/>
      <c r="CE41" s="146"/>
      <c r="CF41" s="1"/>
    </row>
    <row r="42" spans="1:110" x14ac:dyDescent="0.2">
      <c r="E42" s="1"/>
      <c r="J42" s="71"/>
      <c r="AO42" s="1"/>
      <c r="BJ42" t="s">
        <v>308</v>
      </c>
      <c r="BK42" s="267">
        <f>PERCENTILE((BK51:BK60,BK86:BK88),0.9)</f>
        <v>506.68317307078553</v>
      </c>
      <c r="BM42" s="1"/>
      <c r="CF42" s="1"/>
    </row>
    <row r="43" spans="1:110" s="58" customFormat="1" x14ac:dyDescent="0.2">
      <c r="A43" s="64" t="s">
        <v>84</v>
      </c>
      <c r="B43" s="60"/>
      <c r="C43" s="60"/>
      <c r="D43" s="60"/>
      <c r="E43" s="60"/>
      <c r="F43" s="69"/>
      <c r="G43" s="66" t="s">
        <v>83</v>
      </c>
      <c r="H43" s="68"/>
      <c r="I43" s="67" t="s">
        <v>82</v>
      </c>
      <c r="J43" s="66"/>
      <c r="K43" s="148"/>
      <c r="L43" s="66" t="s">
        <v>168</v>
      </c>
      <c r="M43" s="66"/>
      <c r="N43" s="65" t="s">
        <v>81</v>
      </c>
      <c r="O43" s="61"/>
      <c r="P43" s="60"/>
      <c r="Q43" s="60"/>
      <c r="R43" s="64" t="s">
        <v>258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2" t="s">
        <v>80</v>
      </c>
      <c r="AH43" s="63"/>
      <c r="AI43" s="61"/>
      <c r="AJ43" s="163" t="s">
        <v>201</v>
      </c>
      <c r="AK43" s="164"/>
      <c r="AL43" s="65"/>
      <c r="AM43" s="61"/>
      <c r="AN43" s="61"/>
      <c r="AO43" s="66"/>
      <c r="AP43" s="66"/>
      <c r="AQ43" s="60"/>
      <c r="AR43" s="60"/>
      <c r="AS43" s="60"/>
      <c r="AT43" s="59"/>
      <c r="AU43" s="158"/>
      <c r="AV43" s="66"/>
      <c r="AW43" s="60"/>
      <c r="AX43" s="60"/>
      <c r="AY43" s="59"/>
      <c r="AZ43" s="173"/>
      <c r="BA43" s="173"/>
      <c r="BB43" s="173"/>
      <c r="BC43" s="173"/>
      <c r="BD43" s="173"/>
      <c r="BE43" s="163" t="s">
        <v>202</v>
      </c>
      <c r="BF43" s="184"/>
      <c r="BG43" s="184"/>
      <c r="BH43" s="184"/>
      <c r="BI43" s="164"/>
      <c r="BJ43" s="65"/>
      <c r="BK43" s="61"/>
      <c r="BL43" s="61"/>
      <c r="BM43" s="66"/>
      <c r="BN43" s="66"/>
      <c r="BO43" s="60"/>
      <c r="BP43" s="60"/>
      <c r="BQ43" s="60"/>
      <c r="BR43" s="59"/>
      <c r="BS43" s="158"/>
      <c r="BT43" s="66"/>
      <c r="BU43" s="60"/>
      <c r="BV43" s="60"/>
      <c r="BW43" s="59"/>
      <c r="BX43" s="173"/>
      <c r="BY43" s="173"/>
      <c r="BZ43" s="173"/>
      <c r="CA43" s="173"/>
      <c r="CB43" s="173"/>
      <c r="CC43" s="65" t="s">
        <v>196</v>
      </c>
      <c r="CD43" s="61"/>
      <c r="CE43" s="61"/>
      <c r="CF43" s="66"/>
      <c r="CG43" s="66"/>
      <c r="CH43" s="60"/>
      <c r="CI43" s="60"/>
      <c r="CJ43" s="60"/>
      <c r="CK43" s="59"/>
      <c r="CL43" s="158"/>
      <c r="CM43" s="68"/>
      <c r="CN43" s="68"/>
      <c r="CO43" s="68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180"/>
    </row>
    <row r="44" spans="1:110" ht="38.25" x14ac:dyDescent="0.2">
      <c r="A44" s="113" t="s">
        <v>79</v>
      </c>
      <c r="B44" s="114" t="s">
        <v>144</v>
      </c>
      <c r="C44" s="110" t="s">
        <v>78</v>
      </c>
      <c r="D44" s="110" t="s">
        <v>77</v>
      </c>
      <c r="E44" s="110" t="s">
        <v>76</v>
      </c>
      <c r="F44" s="115" t="s">
        <v>75</v>
      </c>
      <c r="G44" s="110" t="s">
        <v>74</v>
      </c>
      <c r="H44" s="116" t="s">
        <v>73</v>
      </c>
      <c r="I44" s="113" t="s">
        <v>72</v>
      </c>
      <c r="J44" s="110" t="s">
        <v>71</v>
      </c>
      <c r="K44" s="147" t="s">
        <v>70</v>
      </c>
      <c r="L44" s="114" t="s">
        <v>169</v>
      </c>
      <c r="M44" s="147" t="s">
        <v>170</v>
      </c>
      <c r="N44" s="114" t="s">
        <v>69</v>
      </c>
      <c r="O44" s="117" t="s">
        <v>156</v>
      </c>
      <c r="P44" s="112" t="s">
        <v>68</v>
      </c>
      <c r="Q44" s="112"/>
      <c r="R44" s="111" t="s">
        <v>237</v>
      </c>
      <c r="S44" s="112"/>
      <c r="T44" s="112"/>
      <c r="U44" s="112"/>
      <c r="V44" s="112"/>
      <c r="W44" s="112"/>
      <c r="X44" s="115"/>
      <c r="Y44" s="112" t="s">
        <v>67</v>
      </c>
      <c r="Z44" s="112"/>
      <c r="AA44" s="112"/>
      <c r="AB44" s="112"/>
      <c r="AC44" s="112"/>
      <c r="AD44" s="112"/>
      <c r="AE44" s="112"/>
      <c r="AF44" s="111" t="s">
        <v>155</v>
      </c>
      <c r="AG44" s="141" t="s">
        <v>66</v>
      </c>
      <c r="AH44" s="179" t="s">
        <v>197</v>
      </c>
      <c r="AI44" s="161" t="s">
        <v>64</v>
      </c>
      <c r="AJ44" s="165" t="s">
        <v>165</v>
      </c>
      <c r="AK44" s="166" t="s">
        <v>65</v>
      </c>
      <c r="AL44" s="179" t="s">
        <v>192</v>
      </c>
      <c r="AM44" s="174" t="s">
        <v>63</v>
      </c>
      <c r="AN44" s="116"/>
      <c r="AO44" s="116" t="s">
        <v>62</v>
      </c>
      <c r="AP44" s="114" t="s">
        <v>158</v>
      </c>
      <c r="AQ44" s="128"/>
      <c r="AR44" s="114" t="s">
        <v>159</v>
      </c>
      <c r="AS44" s="52"/>
      <c r="AT44" s="116" t="s">
        <v>60</v>
      </c>
      <c r="AU44" s="159" t="s">
        <v>176</v>
      </c>
      <c r="AV44" s="160" t="s">
        <v>185</v>
      </c>
      <c r="AW44" s="57" t="s">
        <v>108</v>
      </c>
      <c r="AX44" s="57" t="s">
        <v>107</v>
      </c>
      <c r="AY44" s="56" t="s">
        <v>106</v>
      </c>
      <c r="AZ44" s="142"/>
      <c r="BA44" s="142"/>
      <c r="BB44" s="142"/>
      <c r="BC44" s="142"/>
      <c r="BD44" s="142"/>
      <c r="BE44" s="165" t="s">
        <v>165</v>
      </c>
      <c r="BF44" s="185" t="s">
        <v>259</v>
      </c>
      <c r="BG44" s="185"/>
      <c r="BH44" s="185"/>
      <c r="BI44" s="166" t="s">
        <v>65</v>
      </c>
      <c r="BJ44" s="179" t="s">
        <v>192</v>
      </c>
      <c r="BK44" s="174" t="s">
        <v>63</v>
      </c>
      <c r="BL44" s="116"/>
      <c r="BM44" s="116" t="s">
        <v>62</v>
      </c>
      <c r="BN44" s="114" t="s">
        <v>158</v>
      </c>
      <c r="BO44" s="128"/>
      <c r="BP44" s="114" t="s">
        <v>159</v>
      </c>
      <c r="BQ44" s="52"/>
      <c r="BR44" s="116" t="s">
        <v>60</v>
      </c>
      <c r="BS44" s="159" t="s">
        <v>176</v>
      </c>
      <c r="BT44" s="160" t="s">
        <v>185</v>
      </c>
      <c r="BU44" s="57" t="s">
        <v>108</v>
      </c>
      <c r="BV44" s="57" t="s">
        <v>107</v>
      </c>
      <c r="BW44" s="56" t="s">
        <v>106</v>
      </c>
      <c r="BX44" s="142"/>
      <c r="BY44" s="142"/>
      <c r="BZ44" s="142"/>
      <c r="CA44" s="142"/>
      <c r="CB44" s="142"/>
      <c r="CC44" s="179" t="s">
        <v>192</v>
      </c>
      <c r="CD44" s="181" t="s">
        <v>207</v>
      </c>
      <c r="CE44" s="116"/>
      <c r="CF44" s="116" t="s">
        <v>62</v>
      </c>
      <c r="CG44" s="114" t="s">
        <v>158</v>
      </c>
      <c r="CH44" s="128"/>
      <c r="CI44" s="114" t="s">
        <v>159</v>
      </c>
      <c r="CJ44" s="52"/>
      <c r="CK44" s="116" t="s">
        <v>60</v>
      </c>
      <c r="CL44" s="126" t="s">
        <v>82</v>
      </c>
      <c r="CM44" s="156"/>
      <c r="CN44" s="156"/>
      <c r="CO44" s="157"/>
      <c r="CP44" s="156" t="s">
        <v>194</v>
      </c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7"/>
    </row>
    <row r="45" spans="1:110" x14ac:dyDescent="0.2">
      <c r="A45" s="55"/>
      <c r="B45" s="46"/>
      <c r="C45" s="47"/>
      <c r="D45" s="52"/>
      <c r="E45" s="52"/>
      <c r="F45" s="54"/>
      <c r="G45" s="52"/>
      <c r="H45" s="52"/>
      <c r="I45" s="53"/>
      <c r="J45" s="46"/>
      <c r="K45" s="51"/>
      <c r="L45" s="52"/>
      <c r="M45" s="54"/>
      <c r="N45" s="49" t="s">
        <v>56</v>
      </c>
      <c r="O45" s="49" t="s">
        <v>59</v>
      </c>
      <c r="P45" s="47" t="s">
        <v>58</v>
      </c>
      <c r="Q45" s="47"/>
      <c r="R45" s="46"/>
      <c r="S45" s="46"/>
      <c r="T45" s="46"/>
      <c r="U45" s="46"/>
      <c r="V45" s="46" t="s">
        <v>295</v>
      </c>
      <c r="W45" s="46" t="s">
        <v>239</v>
      </c>
      <c r="X45" s="51" t="s">
        <v>146</v>
      </c>
      <c r="Y45" s="46" t="s">
        <v>230</v>
      </c>
      <c r="Z45" s="46" t="s">
        <v>232</v>
      </c>
      <c r="AA45" s="46" t="s">
        <v>233</v>
      </c>
      <c r="AB45" s="46" t="s">
        <v>234</v>
      </c>
      <c r="AC45" s="46" t="s">
        <v>235</v>
      </c>
      <c r="AD45" s="46" t="s">
        <v>236</v>
      </c>
      <c r="AE45" s="46" t="s">
        <v>141</v>
      </c>
      <c r="AF45" s="46" t="s">
        <v>145</v>
      </c>
      <c r="AG45" s="101" t="s">
        <v>57</v>
      </c>
      <c r="AH45" s="48" t="s">
        <v>54</v>
      </c>
      <c r="AI45" s="47" t="s">
        <v>53</v>
      </c>
      <c r="AJ45" s="48" t="s">
        <v>55</v>
      </c>
      <c r="AK45" s="45" t="s">
        <v>56</v>
      </c>
      <c r="AL45" s="179" t="s">
        <v>90</v>
      </c>
      <c r="AM45" s="52" t="s">
        <v>186</v>
      </c>
      <c r="AN45" s="46" t="s">
        <v>188</v>
      </c>
      <c r="AO45" s="47" t="s">
        <v>52</v>
      </c>
      <c r="AP45" s="127" t="s">
        <v>61</v>
      </c>
      <c r="AQ45" s="125" t="s">
        <v>157</v>
      </c>
      <c r="AR45" s="127" t="s">
        <v>61</v>
      </c>
      <c r="AS45" s="125" t="s">
        <v>157</v>
      </c>
      <c r="AT45" s="49"/>
      <c r="AU45" s="55"/>
      <c r="AV45" s="46"/>
      <c r="AW45" s="46"/>
      <c r="AX45" s="46"/>
      <c r="AY45" s="51"/>
      <c r="AZ45" s="142"/>
      <c r="BA45" s="142"/>
      <c r="BB45" s="142"/>
      <c r="BC45" s="142"/>
      <c r="BD45" s="142"/>
      <c r="BE45" s="48" t="s">
        <v>55</v>
      </c>
      <c r="BF45" s="52"/>
      <c r="BG45" s="49"/>
      <c r="BH45" s="49"/>
      <c r="BI45" s="45" t="s">
        <v>56</v>
      </c>
      <c r="BJ45" s="179" t="s">
        <v>90</v>
      </c>
      <c r="BK45" s="52" t="s">
        <v>186</v>
      </c>
      <c r="BL45" s="46" t="s">
        <v>188</v>
      </c>
      <c r="BM45" s="47" t="s">
        <v>52</v>
      </c>
      <c r="BN45" s="127" t="s">
        <v>61</v>
      </c>
      <c r="BO45" s="125" t="s">
        <v>157</v>
      </c>
      <c r="BP45" s="127" t="s">
        <v>61</v>
      </c>
      <c r="BQ45" s="125" t="s">
        <v>157</v>
      </c>
      <c r="BR45" s="49"/>
      <c r="BS45" s="55"/>
      <c r="BT45" s="46"/>
      <c r="BU45" s="46"/>
      <c r="BV45" s="46"/>
      <c r="BW45" s="51"/>
      <c r="BX45" s="142"/>
      <c r="BY45" s="142"/>
      <c r="BZ45" s="142"/>
      <c r="CA45" s="142"/>
      <c r="CB45" s="142"/>
      <c r="CC45" s="179" t="s">
        <v>90</v>
      </c>
      <c r="CD45" s="52"/>
      <c r="CE45" s="46" t="s">
        <v>188</v>
      </c>
      <c r="CF45" s="47" t="s">
        <v>52</v>
      </c>
      <c r="CG45" s="127" t="s">
        <v>61</v>
      </c>
      <c r="CH45" s="125" t="s">
        <v>157</v>
      </c>
      <c r="CI45" s="127" t="s">
        <v>61</v>
      </c>
      <c r="CJ45" s="125" t="s">
        <v>157</v>
      </c>
      <c r="CK45" s="49"/>
      <c r="CL45" s="55"/>
      <c r="CM45" s="46"/>
      <c r="CN45" s="46"/>
      <c r="CO45" s="51"/>
      <c r="CP45" s="46" t="s">
        <v>167</v>
      </c>
      <c r="CQ45" s="46"/>
      <c r="CR45" s="46"/>
      <c r="CS45" s="46"/>
      <c r="CT45" s="46"/>
      <c r="CU45" s="46" t="s">
        <v>175</v>
      </c>
      <c r="CV45" s="46"/>
      <c r="CW45" s="46"/>
      <c r="CX45" s="46"/>
      <c r="CY45" s="46"/>
      <c r="CZ45" s="46" t="s">
        <v>178</v>
      </c>
      <c r="DA45" s="46"/>
      <c r="DB45" s="46"/>
      <c r="DC45" s="46"/>
      <c r="DD45" s="46"/>
      <c r="DE45" s="46" t="s">
        <v>167</v>
      </c>
      <c r="DF45" s="51"/>
    </row>
    <row r="46" spans="1:110" x14ac:dyDescent="0.2">
      <c r="A46" s="44"/>
      <c r="B46" s="35"/>
      <c r="C46" s="43"/>
      <c r="D46" s="39"/>
      <c r="E46" s="39"/>
      <c r="F46" s="42"/>
      <c r="G46" s="41"/>
      <c r="H46" s="41" t="s">
        <v>51</v>
      </c>
      <c r="I46" s="40"/>
      <c r="J46" s="35"/>
      <c r="K46" s="37"/>
      <c r="L46" s="39" t="s">
        <v>49</v>
      </c>
      <c r="M46" s="42" t="s">
        <v>49</v>
      </c>
      <c r="N46" s="35" t="s">
        <v>50</v>
      </c>
      <c r="O46" s="38" t="s">
        <v>49</v>
      </c>
      <c r="P46" s="35" t="s">
        <v>48</v>
      </c>
      <c r="Q46" s="35"/>
      <c r="R46" s="35"/>
      <c r="S46" s="35"/>
      <c r="T46" s="35"/>
      <c r="U46" s="35"/>
      <c r="V46" s="35"/>
      <c r="W46" s="35"/>
      <c r="X46" s="37" t="s">
        <v>47</v>
      </c>
      <c r="Y46" s="35"/>
      <c r="Z46" s="35" t="s">
        <v>231</v>
      </c>
      <c r="AA46" s="35"/>
      <c r="AB46" s="35"/>
      <c r="AC46" s="35"/>
      <c r="AD46" s="35"/>
      <c r="AE46" s="35"/>
      <c r="AF46" s="35" t="s">
        <v>47</v>
      </c>
      <c r="AG46" s="102" t="s">
        <v>147</v>
      </c>
      <c r="AH46" s="36" t="s">
        <v>46</v>
      </c>
      <c r="AI46" s="41" t="s">
        <v>46</v>
      </c>
      <c r="AJ46" s="102" t="s">
        <v>164</v>
      </c>
      <c r="AK46" s="42" t="s">
        <v>148</v>
      </c>
      <c r="AL46" s="36"/>
      <c r="AM46" s="39" t="s">
        <v>187</v>
      </c>
      <c r="AN46" s="35" t="s">
        <v>189</v>
      </c>
      <c r="AO46" s="35"/>
      <c r="AP46" s="35"/>
      <c r="AQ46" s="35"/>
      <c r="AR46" s="35"/>
      <c r="AS46" s="35"/>
      <c r="AT46" s="41"/>
      <c r="AU46" s="44"/>
      <c r="AV46" s="35"/>
      <c r="AW46" s="35"/>
      <c r="AX46" s="35"/>
      <c r="AY46" s="37"/>
      <c r="AZ46" s="49"/>
      <c r="BA46" s="49"/>
      <c r="BB46" s="49"/>
      <c r="BC46" s="49"/>
      <c r="BD46" s="49"/>
      <c r="BE46" s="102" t="s">
        <v>164</v>
      </c>
      <c r="BF46" s="186"/>
      <c r="BG46" s="186"/>
      <c r="BH46" s="186"/>
      <c r="BI46" s="42" t="s">
        <v>148</v>
      </c>
      <c r="BJ46" s="36"/>
      <c r="BK46" s="39" t="s">
        <v>187</v>
      </c>
      <c r="BL46" s="35" t="s">
        <v>189</v>
      </c>
      <c r="BM46" s="35"/>
      <c r="BN46" s="35"/>
      <c r="BO46" s="35"/>
      <c r="BP46" s="35"/>
      <c r="BQ46" s="35"/>
      <c r="BR46" s="41"/>
      <c r="BS46" s="44"/>
      <c r="BT46" s="35"/>
      <c r="BU46" s="35"/>
      <c r="BV46" s="35"/>
      <c r="BW46" s="37"/>
      <c r="BX46" s="49"/>
      <c r="BY46" s="49"/>
      <c r="BZ46" s="49"/>
      <c r="CA46" s="49"/>
      <c r="CB46" s="49"/>
      <c r="CC46" s="36"/>
      <c r="CD46" s="39" t="s">
        <v>208</v>
      </c>
      <c r="CE46" s="35" t="s">
        <v>189</v>
      </c>
      <c r="CF46" s="35"/>
      <c r="CG46" s="35"/>
      <c r="CH46" s="35"/>
      <c r="CI46" s="35"/>
      <c r="CJ46" s="35"/>
      <c r="CK46" s="41"/>
      <c r="CL46" s="44" t="s">
        <v>195</v>
      </c>
      <c r="CM46" s="35" t="s">
        <v>177</v>
      </c>
      <c r="CN46" s="35" t="s">
        <v>56</v>
      </c>
      <c r="CO46" s="37" t="s">
        <v>179</v>
      </c>
      <c r="CP46" s="35" t="s">
        <v>171</v>
      </c>
      <c r="CQ46" s="35" t="s">
        <v>86</v>
      </c>
      <c r="CR46" s="35" t="s">
        <v>174</v>
      </c>
      <c r="CS46" s="35" t="s">
        <v>172</v>
      </c>
      <c r="CT46" s="35" t="s">
        <v>193</v>
      </c>
      <c r="CU46" s="35" t="s">
        <v>171</v>
      </c>
      <c r="CV46" s="35" t="s">
        <v>86</v>
      </c>
      <c r="CW46" s="35" t="s">
        <v>174</v>
      </c>
      <c r="CX46" s="35" t="s">
        <v>172</v>
      </c>
      <c r="CY46" s="35" t="s">
        <v>193</v>
      </c>
      <c r="CZ46" s="35" t="s">
        <v>171</v>
      </c>
      <c r="DA46" s="35" t="s">
        <v>86</v>
      </c>
      <c r="DB46" s="35" t="s">
        <v>174</v>
      </c>
      <c r="DC46" s="35" t="s">
        <v>172</v>
      </c>
      <c r="DD46" s="35" t="s">
        <v>193</v>
      </c>
      <c r="DE46" s="35" t="s">
        <v>171</v>
      </c>
      <c r="DF46" s="37" t="s">
        <v>180</v>
      </c>
    </row>
    <row r="47" spans="1:110" outlineLevel="1" x14ac:dyDescent="0.2">
      <c r="A47" s="8"/>
      <c r="C47" s="13"/>
      <c r="D47" s="1"/>
      <c r="E47" s="1"/>
      <c r="F47" s="6"/>
      <c r="G47" s="1"/>
      <c r="I47" s="11"/>
      <c r="K47" s="9"/>
      <c r="L47" s="13"/>
      <c r="M47" s="19"/>
      <c r="N47"/>
      <c r="O47" s="20"/>
      <c r="P47" s="13"/>
      <c r="Q47" s="13"/>
      <c r="R47" s="13"/>
      <c r="S47" s="13"/>
      <c r="T47" s="13"/>
      <c r="U47" s="13"/>
      <c r="V47" s="13"/>
      <c r="W47" s="13"/>
      <c r="X47" s="19"/>
      <c r="Y47" s="13"/>
      <c r="Z47" s="13"/>
      <c r="AA47" s="13"/>
      <c r="AB47" s="13"/>
      <c r="AC47" s="13"/>
      <c r="AD47" s="13"/>
      <c r="AF47" s="13"/>
      <c r="AG47" s="121"/>
      <c r="AH47" s="11"/>
      <c r="AI47" s="13"/>
      <c r="AJ47" s="103"/>
      <c r="AK47" s="33"/>
      <c r="AL47" s="8"/>
      <c r="AM47" s="89"/>
      <c r="AP47"/>
      <c r="AQ47"/>
      <c r="AR47"/>
      <c r="AT47" s="14"/>
      <c r="BE47" s="103"/>
      <c r="BF47" s="187"/>
      <c r="BG47" s="187"/>
      <c r="BH47" s="187"/>
      <c r="BI47" s="33"/>
      <c r="BJ47" s="8"/>
      <c r="BK47" s="89"/>
      <c r="BN47"/>
      <c r="BO47"/>
      <c r="BP47"/>
      <c r="BR47" s="14"/>
      <c r="CC47" s="8"/>
      <c r="CD47" s="89"/>
      <c r="CG47"/>
      <c r="CH47"/>
      <c r="CI47"/>
      <c r="CK47" s="14"/>
      <c r="CL47" s="16"/>
    </row>
    <row r="48" spans="1:110" x14ac:dyDescent="0.2">
      <c r="A48" s="8"/>
      <c r="F48" s="9"/>
      <c r="I48" s="8"/>
      <c r="K48" s="9"/>
      <c r="L48" s="13"/>
      <c r="M48" s="19"/>
      <c r="N48"/>
      <c r="O48" s="13"/>
      <c r="P48" s="13"/>
      <c r="Q48" s="13"/>
      <c r="R48" s="13"/>
      <c r="S48" s="13"/>
      <c r="T48" s="13"/>
      <c r="U48" s="13"/>
      <c r="V48" s="13"/>
      <c r="W48" s="13"/>
      <c r="X48" s="19"/>
      <c r="Y48" s="13"/>
      <c r="Z48" s="13"/>
      <c r="AA48" s="13"/>
      <c r="AB48" s="13"/>
      <c r="AC48" s="13"/>
      <c r="AD48" s="13"/>
      <c r="AF48" s="13"/>
      <c r="AG48" s="34"/>
      <c r="AH48" s="17"/>
      <c r="AJ48" s="103"/>
      <c r="AK48" s="14"/>
      <c r="AL48" s="8"/>
      <c r="AM48" s="92"/>
      <c r="AN48" s="135"/>
      <c r="AO48" s="1"/>
      <c r="AP48"/>
      <c r="AQ48"/>
      <c r="AR48"/>
      <c r="AT48" s="6"/>
      <c r="BE48" s="190"/>
      <c r="BF48" s="97"/>
      <c r="BG48" s="189"/>
      <c r="BH48" s="189"/>
      <c r="BI48" s="14"/>
      <c r="BJ48" s="8"/>
      <c r="BK48" s="92"/>
      <c r="BL48" s="135"/>
      <c r="BM48" s="1"/>
      <c r="BN48"/>
      <c r="BO48"/>
      <c r="BP48"/>
      <c r="BR48" s="6"/>
      <c r="CC48" s="8"/>
      <c r="CD48" s="92"/>
      <c r="CE48" s="135"/>
      <c r="CF48" s="1"/>
      <c r="CG48"/>
      <c r="CH48"/>
      <c r="CI48"/>
      <c r="CK48" s="6"/>
    </row>
    <row r="49" spans="1:110" x14ac:dyDescent="0.2">
      <c r="B49" s="58"/>
      <c r="F49" s="9"/>
      <c r="I49" s="8"/>
      <c r="K49" s="9"/>
      <c r="L49" s="13"/>
      <c r="M49" s="19"/>
      <c r="N49"/>
      <c r="O49" s="13"/>
      <c r="P49" s="13"/>
      <c r="Q49" s="13"/>
      <c r="R49" s="13"/>
      <c r="S49" s="13"/>
      <c r="T49" s="13"/>
      <c r="U49" s="13"/>
      <c r="V49" s="13"/>
      <c r="W49" s="13"/>
      <c r="X49" s="118"/>
      <c r="Y49" s="13"/>
      <c r="Z49" s="13"/>
      <c r="AA49" s="13"/>
      <c r="AB49" s="13"/>
      <c r="AC49" s="13"/>
      <c r="AD49" s="13"/>
      <c r="AE49" s="96"/>
      <c r="AF49" s="98"/>
      <c r="AG49" s="34"/>
      <c r="AH49" s="17"/>
      <c r="AI49" s="13"/>
      <c r="AJ49" s="103"/>
      <c r="AK49" s="14"/>
      <c r="AL49" s="8"/>
      <c r="AM49" s="92"/>
      <c r="AN49" s="135"/>
      <c r="AO49" s="1"/>
      <c r="AP49"/>
      <c r="AQ49"/>
      <c r="AR49"/>
      <c r="AT49" s="6"/>
      <c r="BE49" s="103"/>
      <c r="BF49" s="187"/>
      <c r="BG49" s="189"/>
      <c r="BH49" s="187"/>
      <c r="BI49" s="14"/>
      <c r="BJ49" s="8"/>
      <c r="BK49" s="92"/>
      <c r="BL49" s="135"/>
      <c r="BM49" s="1"/>
      <c r="BN49"/>
      <c r="BO49"/>
      <c r="BP49"/>
      <c r="BR49" s="6"/>
      <c r="CC49" s="8"/>
      <c r="CD49" s="92"/>
      <c r="CE49" s="135"/>
      <c r="CF49" s="1"/>
      <c r="CG49"/>
      <c r="CH49"/>
      <c r="CI49"/>
      <c r="CK49" s="6"/>
    </row>
    <row r="50" spans="1:110" x14ac:dyDescent="0.2">
      <c r="A50" s="12" t="s">
        <v>45</v>
      </c>
      <c r="B50" s="58"/>
      <c r="F50" s="9"/>
      <c r="I50" s="8"/>
      <c r="K50" s="9"/>
      <c r="L50" s="13"/>
      <c r="M50" s="19"/>
      <c r="N50"/>
      <c r="O50" s="13"/>
      <c r="P50" s="13"/>
      <c r="Q50" s="13"/>
      <c r="R50" s="13"/>
      <c r="S50" s="13"/>
      <c r="T50" s="13"/>
      <c r="U50" s="13"/>
      <c r="V50" s="13"/>
      <c r="W50" s="13"/>
      <c r="X50" s="118"/>
      <c r="Y50" s="13"/>
      <c r="Z50" s="13"/>
      <c r="AA50" s="13"/>
      <c r="AB50" s="13"/>
      <c r="AC50" s="13"/>
      <c r="AD50" s="13"/>
      <c r="AE50" s="96"/>
      <c r="AF50" s="98"/>
      <c r="AG50" s="34"/>
      <c r="AH50" s="17"/>
      <c r="AI50" s="13"/>
      <c r="AJ50" s="103"/>
      <c r="AK50" s="14"/>
      <c r="AL50" s="8"/>
      <c r="AM50" s="92"/>
      <c r="AN50" s="134"/>
      <c r="AO50" s="1"/>
      <c r="AP50"/>
      <c r="AQ50"/>
      <c r="AR50"/>
      <c r="AT50" s="6"/>
      <c r="BE50" s="8" t="e">
        <f>BI50*$E$38/$E$40</f>
        <v>#DIV/0!</v>
      </c>
      <c r="BF50" s="16"/>
      <c r="BG50" s="16"/>
      <c r="BH50" s="189"/>
      <c r="BI50" s="6" t="e">
        <f t="shared" ref="BI50:BI60" si="0">(1/BF50)*AF50*AG50*E$41/E$32</f>
        <v>#DIV/0!</v>
      </c>
      <c r="BJ50" s="8"/>
      <c r="BK50" s="92"/>
      <c r="BL50" s="134"/>
      <c r="BM50" s="1"/>
      <c r="BN50"/>
      <c r="BO50"/>
      <c r="BP50"/>
      <c r="BR50" s="6"/>
      <c r="CC50" s="8"/>
      <c r="CD50" s="92"/>
      <c r="CE50" s="134"/>
      <c r="CF50" s="1"/>
      <c r="CG50"/>
      <c r="CH50"/>
      <c r="CI50"/>
      <c r="CK50" s="6"/>
    </row>
    <row r="51" spans="1:110" x14ac:dyDescent="0.2">
      <c r="A51" s="21" t="s">
        <v>43</v>
      </c>
      <c r="B51" t="s">
        <v>143</v>
      </c>
      <c r="C51">
        <v>3</v>
      </c>
      <c r="D51" t="s">
        <v>17</v>
      </c>
      <c r="E51" t="s">
        <v>16</v>
      </c>
      <c r="F51" s="9">
        <v>14</v>
      </c>
      <c r="G51" s="26" t="s">
        <v>15</v>
      </c>
      <c r="H51" s="1">
        <v>18</v>
      </c>
      <c r="I51" s="11">
        <v>410</v>
      </c>
      <c r="J51" t="s">
        <v>21</v>
      </c>
      <c r="K51" s="6" t="s">
        <v>181</v>
      </c>
      <c r="L51" s="1">
        <v>1</v>
      </c>
      <c r="M51" s="6">
        <v>20</v>
      </c>
      <c r="N51" s="1">
        <v>96.95</v>
      </c>
      <c r="O51" s="18">
        <v>775600.00000000012</v>
      </c>
      <c r="P51" s="30">
        <v>1.906666666666667</v>
      </c>
      <c r="Q51" s="1"/>
      <c r="R51" s="1"/>
      <c r="S51" s="1"/>
      <c r="T51" s="1"/>
      <c r="U51" s="1"/>
      <c r="V51">
        <v>11.5</v>
      </c>
      <c r="W51" s="238">
        <f>LOG(EXP(V51-0.1351*N51^(2/3)+0.003*N51-10454/(H51+273)))</f>
        <v>-11.719307110671695</v>
      </c>
      <c r="X51" s="118">
        <f>24*60*60*10^W51</f>
        <v>1.6489467528708293E-7</v>
      </c>
      <c r="Y51" s="1"/>
      <c r="Z51" s="1"/>
      <c r="AA51" s="1"/>
      <c r="AB51" s="1"/>
      <c r="AC51" s="197"/>
      <c r="AD51" s="244">
        <f>'Lohman 2011'!AD51</f>
        <v>1.5646036075622856</v>
      </c>
      <c r="AE51" s="96">
        <f>10^AD51</f>
        <v>36.694722484859277</v>
      </c>
      <c r="AF51" s="98">
        <f>AE51*X51</f>
        <v>6.0507643488904912E-6</v>
      </c>
      <c r="AG51" s="24">
        <v>302</v>
      </c>
      <c r="AH51" s="32">
        <f>AVERAGE(AH149:AH155)</f>
        <v>0.87857142857142867</v>
      </c>
      <c r="AI51" s="162">
        <v>0.05</v>
      </c>
      <c r="AJ51" s="167">
        <f t="shared" ref="AJ51:AJ60" si="1">$E$38*AK51/$E$40</f>
        <v>46.040081465480675</v>
      </c>
      <c r="AK51" s="168">
        <f t="shared" ref="AK51:AK60" si="2">AF51*AG51*E$41/E$32</f>
        <v>4.1673441032161668E-2</v>
      </c>
      <c r="AL51" s="151">
        <f>$AG51/AJ51</f>
        <v>6.5595018598398784</v>
      </c>
      <c r="AM51" s="175">
        <f>AJ51/$AH51</f>
        <v>52.403344757457674</v>
      </c>
      <c r="AN51" s="134">
        <f t="shared" ref="AN51:AN60" si="3">LOG(AM51)</f>
        <v>1.7193590076583105</v>
      </c>
      <c r="AO51" s="119">
        <f t="shared" ref="AO51:AO60" si="4">$AG51/$O51</f>
        <v>3.8937596699329546E-4</v>
      </c>
      <c r="AP51">
        <f t="shared" ref="AP51:AP60" si="5">_xlfn.RANK.AVG(AM51,AM$51:AM$117,1)</f>
        <v>9</v>
      </c>
      <c r="AQ51" s="124">
        <f t="shared" ref="AQ51:AS60" si="6">(AP51-0.5)/MAX(AP$51:AP$117)</f>
        <v>0.14166666666666666</v>
      </c>
      <c r="AR51">
        <f>_xlfn.RANK.AVG(AM51,(AM$51:AM$60,AM$86:AM$88),1)</f>
        <v>3</v>
      </c>
      <c r="AS51" s="124">
        <f t="shared" si="6"/>
        <v>0.19230769230769232</v>
      </c>
      <c r="AT51" s="14">
        <f t="shared" ref="AT51:AT60" si="7">IF(AND(AJ51&gt;$AI51,$AH51&gt;$AI51),0,IF(AND(AJ51&gt;$AI51,$AH51&lt;$AI51),1,IF(AND(AJ51&lt;$AI51,$AH51&gt;$AI51),2,3)))</f>
        <v>0</v>
      </c>
      <c r="AU51" s="149" t="s">
        <v>41</v>
      </c>
      <c r="AV51" s="143">
        <f>COUNT(AM64:AM65,AM87,AM91:AM93)</f>
        <v>6</v>
      </c>
      <c r="AW51" s="143">
        <f>MIN(AM64:AM65,AM87,AM91:AM93)</f>
        <v>5.276413687655551</v>
      </c>
      <c r="AX51" s="143">
        <f>AVERAGE(AM64:AM65,AM87,AM91:AM93)</f>
        <v>3431.5607042495139</v>
      </c>
      <c r="AY51" s="143">
        <f>MAX(AM64:AM65,AM87,AM91:AM93)</f>
        <v>18090.561214819034</v>
      </c>
      <c r="AZ51" s="83"/>
      <c r="BA51" s="83"/>
      <c r="BB51" s="83"/>
      <c r="BC51" s="83"/>
      <c r="BD51" s="83"/>
      <c r="BE51" s="8">
        <f t="shared" ref="BE51:BE60" si="8">BI51*$E$38/$E$40</f>
        <v>18.189375997885794</v>
      </c>
      <c r="BF51" s="16">
        <f>10^(MAX(0,((W51+12.5)/2+AD51)*0.73611+-1.03574))</f>
        <v>2.5311523314946074</v>
      </c>
      <c r="BG51" s="16"/>
      <c r="BH51" s="189"/>
      <c r="BI51" s="6">
        <f t="shared" si="0"/>
        <v>1.6464216915603073E-2</v>
      </c>
      <c r="BJ51" s="151">
        <f t="shared" ref="BJ51:BJ60" si="9">$AG51/BE51</f>
        <v>16.603098425976921</v>
      </c>
      <c r="BK51" s="175">
        <f t="shared" ref="BK51:BK60" si="10">BE51/$AH51</f>
        <v>20.70335479434155</v>
      </c>
      <c r="BL51" s="134">
        <f t="shared" ref="BL51:BL60" si="11">LOG(BK51)</f>
        <v>1.316040724713907</v>
      </c>
      <c r="BM51" s="119">
        <f t="shared" ref="BM51:BM60" si="12">$AG51/$O51</f>
        <v>3.8937596699329546E-4</v>
      </c>
      <c r="BN51">
        <f t="shared" ref="BN51:BN60" si="13">_xlfn.RANK.AVG(BK51,BK$51:BK$117,1)</f>
        <v>11</v>
      </c>
      <c r="BO51" s="124">
        <f t="shared" ref="BO51:BO60" si="14">(BN51-0.5)/MAX(BN$51:BN$117)</f>
        <v>0.17499999999999999</v>
      </c>
      <c r="BP51">
        <f>_xlfn.RANK.AVG(BK51,(BK$51:BK$60,BK$86:BK$88),1)</f>
        <v>7</v>
      </c>
      <c r="BQ51" s="124">
        <f>(BP51-0.5)/MAX(BP$51:BP$117)</f>
        <v>0.5</v>
      </c>
      <c r="BR51" s="14">
        <f t="shared" ref="BR51:BR60" si="15">IF(AND(BE51&gt;$AI51,$AH51&gt;$AI51),0,IF(AND(BE51&gt;$AI51,$AH51&lt;$AI51),1,IF(AND(BE51&lt;$AI51,$AH51&gt;$AI51),2,3)))</f>
        <v>0</v>
      </c>
      <c r="BS51" s="149" t="s">
        <v>41</v>
      </c>
      <c r="BT51" s="143">
        <f>COUNT(BK64:BK65,BK87,BK91:BK93)</f>
        <v>6</v>
      </c>
      <c r="BU51" s="143">
        <f>MIN(BK64:BK65,BK87,BK91:BK93)</f>
        <v>1.9709726580600129</v>
      </c>
      <c r="BV51" s="143">
        <f>AVERAGE(BK64:BK65,BK87,BK91:BK93)</f>
        <v>1281.9862692590534</v>
      </c>
      <c r="BW51" s="143">
        <f>MAX(BK64:BK65,BK87,BK91:BK93)</f>
        <v>6757.6205419200433</v>
      </c>
      <c r="BX51" s="83"/>
      <c r="BY51" s="83"/>
      <c r="BZ51" s="83"/>
      <c r="CA51" s="83"/>
      <c r="CB51" s="83"/>
      <c r="CC51" s="151"/>
      <c r="CD51" s="175">
        <f t="shared" ref="CD51:CD60" si="16">AG51/AH51</f>
        <v>343.73983739837394</v>
      </c>
      <c r="CE51" s="134">
        <f t="shared" ref="CE51:CE60" si="17">LOG(CD51)</f>
        <v>2.5362298671959906</v>
      </c>
      <c r="CF51" s="119">
        <f t="shared" ref="CF51:CF60" si="18">$AG51/$O51</f>
        <v>3.8937596699329546E-4</v>
      </c>
      <c r="CG51">
        <f t="shared" ref="CG51:CG60" si="19">_xlfn.RANK.AVG(CD51,CD$51:CD$117,1)</f>
        <v>10</v>
      </c>
      <c r="CH51" s="124">
        <f t="shared" ref="CH51:CJ60" si="20">(CG51-0.5)/MAX(CG$51:CG$117)</f>
        <v>0.15833333333333333</v>
      </c>
      <c r="CI51">
        <f>_xlfn.RANK.AVG(CD51,(CD$51:CD$60,CD$86:CD$88),1)</f>
        <v>5</v>
      </c>
      <c r="CJ51" s="124">
        <f t="shared" si="20"/>
        <v>0.34615384615384615</v>
      </c>
      <c r="CK51" s="14">
        <f t="shared" ref="CK51:CK60" si="21">IF(AND(BC51&gt;$AI51,$AH51&gt;$AI51),0,IF(AND(BC51&gt;$AI51,$AH51&lt;$AI51),1,IF(AND(BC51&lt;$AI51,$AH51&gt;$AI51),2,3)))</f>
        <v>2</v>
      </c>
      <c r="CL51" s="149" t="s">
        <v>41</v>
      </c>
      <c r="CM51" s="150">
        <f>AVERAGE($P64:$P65,$P$87,$P91:$P93)</f>
        <v>2.1299999999999994</v>
      </c>
      <c r="CN51" s="150">
        <f>AVERAGE($N64:$N65,$N$87,$N91:$N93)</f>
        <v>78.106666524406947</v>
      </c>
      <c r="CO51" s="153">
        <f>AVERAGE($AF64:$AF65,$AF$87,$AF91:$AF93)</f>
        <v>6.648344722208696E-6</v>
      </c>
      <c r="CP51" s="143">
        <f>COUNT($CD64:$CD65,$CD$87,$CD91:$CD93)</f>
        <v>6</v>
      </c>
      <c r="CQ51" s="88">
        <f>PERCENTILE(($CD64:$CD65,$CD$87,$CD91:$CD93),0)</f>
        <v>35</v>
      </c>
      <c r="CR51" s="88">
        <f>PERCENTILE(($CD64:$CD65,$CD$87,$CD91:$CD93),0.1)</f>
        <v>35</v>
      </c>
      <c r="CS51" s="88">
        <f>PERCENTILE(($CD64:$CD65,$CD$87,$CD91:$CD93),0.5)</f>
        <v>2537.4500000000003</v>
      </c>
      <c r="CT51" s="88">
        <f>PERCENTILE(($CD64:$CD65,$CD$87,$CD91:$CD93),0.9)</f>
        <v>65750</v>
      </c>
      <c r="CU51" s="143">
        <f>COUNT($CD64:$CD65,$CD91:$CD93)</f>
        <v>5</v>
      </c>
      <c r="CV51" s="88">
        <f>PERCENTILE(($CD64:$CD65,$CD91:$CD93),0)</f>
        <v>35</v>
      </c>
      <c r="CW51" s="88">
        <f>PERCENTILE(($CD64:$CD65,$CD91:$CD93),0.1)</f>
        <v>90.95999999999998</v>
      </c>
      <c r="CX51" s="88">
        <f>PERCENTILE(($CD64:$CD65,$CD91:$CD93),0.5)</f>
        <v>4900</v>
      </c>
      <c r="CY51" s="87">
        <f>PERCENTILE(($CD64:$CD65,$CD91:$CD93),0.9)</f>
        <v>76599.999999999971</v>
      </c>
      <c r="CZ51" s="149">
        <f>COUNT($CD87)</f>
        <v>1</v>
      </c>
      <c r="DA51" s="88">
        <f>PERCENTILE($CD87,0)</f>
        <v>35</v>
      </c>
      <c r="DB51" s="88">
        <f>PERCENTILE($CD87,0.1)</f>
        <v>35</v>
      </c>
      <c r="DC51" s="88">
        <f>PERCENTILE($CD87,0.5)</f>
        <v>35</v>
      </c>
      <c r="DD51" s="87">
        <f>PERCENTILE($CD87,0.9)</f>
        <v>35</v>
      </c>
      <c r="DE51" s="143">
        <f>CU51+CZ51</f>
        <v>6</v>
      </c>
      <c r="DF51" s="87">
        <f>MIN(DA51,CY51)</f>
        <v>35</v>
      </c>
    </row>
    <row r="52" spans="1:110" x14ac:dyDescent="0.2">
      <c r="A52" s="21" t="s">
        <v>43</v>
      </c>
      <c r="B52" t="s">
        <v>143</v>
      </c>
      <c r="C52">
        <v>3</v>
      </c>
      <c r="D52" t="s">
        <v>17</v>
      </c>
      <c r="E52" t="s">
        <v>16</v>
      </c>
      <c r="F52" s="9">
        <v>16</v>
      </c>
      <c r="G52" s="26" t="s">
        <v>15</v>
      </c>
      <c r="H52" s="1">
        <v>18</v>
      </c>
      <c r="I52" s="11">
        <v>403</v>
      </c>
      <c r="J52" t="s">
        <v>14</v>
      </c>
      <c r="K52" s="6" t="s">
        <v>153</v>
      </c>
      <c r="L52" s="1">
        <v>10</v>
      </c>
      <c r="M52" s="6">
        <v>40</v>
      </c>
      <c r="N52" s="1">
        <v>165.80749949115744</v>
      </c>
      <c r="O52" s="18">
        <v>118882.50367033854</v>
      </c>
      <c r="P52" s="30">
        <v>3.4</v>
      </c>
      <c r="Q52" s="1"/>
      <c r="R52" s="1"/>
      <c r="S52" s="1"/>
      <c r="T52" s="1"/>
      <c r="U52" s="1"/>
      <c r="V52">
        <v>11.5</v>
      </c>
      <c r="W52" s="238">
        <f t="shared" ref="W52:W60" si="22">LOG(EXP(V52-0.1351*N52^(2/3)+0.003*N52-10454/(H52+273)))</f>
        <v>-12.162179226388442</v>
      </c>
      <c r="X52" s="118">
        <f t="shared" ref="X52:X60" si="23">24*60*60*10^W52</f>
        <v>5.9475008953703265E-8</v>
      </c>
      <c r="Y52" s="1"/>
      <c r="Z52" s="1"/>
      <c r="AA52" s="1"/>
      <c r="AB52" s="1"/>
      <c r="AC52" s="197"/>
      <c r="AD52" s="244">
        <f>'Lohman 2011'!AD52</f>
        <v>3.0430036075622855</v>
      </c>
      <c r="AE52" s="96">
        <f t="shared" ref="AE52:AE60" si="24">10^AD52</f>
        <v>1104.0877912111705</v>
      </c>
      <c r="AF52" s="98">
        <f t="shared" ref="AF52:AF60" si="25">AE52*X52</f>
        <v>6.566563126795882E-5</v>
      </c>
      <c r="AG52" s="24">
        <v>132</v>
      </c>
      <c r="AH52" s="32">
        <f>AVERAGE(AH157:AH163)</f>
        <v>0.2442857142857143</v>
      </c>
      <c r="AI52" s="162">
        <v>0.05</v>
      </c>
      <c r="AJ52" s="167">
        <f t="shared" si="1"/>
        <v>218.38909869918274</v>
      </c>
      <c r="AK52" s="168">
        <f t="shared" si="2"/>
        <v>0.19767613212263696</v>
      </c>
      <c r="AL52" s="151">
        <f t="shared" ref="AL52:AL60" si="26">$AG52/AJ52</f>
        <v>0.60442577393398977</v>
      </c>
      <c r="AM52" s="175">
        <f t="shared" ref="AM52:AM60" si="27">AJ52/$AH52</f>
        <v>893.99046251127436</v>
      </c>
      <c r="AN52" s="134">
        <f t="shared" si="3"/>
        <v>2.9513328855735246</v>
      </c>
      <c r="AO52" s="119">
        <f t="shared" si="4"/>
        <v>1.1103400073574855E-3</v>
      </c>
      <c r="AP52">
        <f t="shared" si="5"/>
        <v>19</v>
      </c>
      <c r="AQ52" s="124">
        <f t="shared" si="6"/>
        <v>0.30833333333333335</v>
      </c>
      <c r="AR52">
        <f>_xlfn.RANK.AVG(AM52,(AM$51:AM$60,AM$86:AM$88),1)</f>
        <v>9</v>
      </c>
      <c r="AS52" s="124">
        <f t="shared" si="6"/>
        <v>0.65384615384615385</v>
      </c>
      <c r="AT52" s="14">
        <f t="shared" si="7"/>
        <v>0</v>
      </c>
      <c r="AU52" s="21" t="s">
        <v>8</v>
      </c>
      <c r="AV52" s="144">
        <f>COUNT(AM51:AM51,AM66:AM72)</f>
        <v>8</v>
      </c>
      <c r="AW52" s="144">
        <f>MIN(AM51:AM51,AM66:AM72)</f>
        <v>52.403344757457674</v>
      </c>
      <c r="AX52" s="144">
        <f>AVERAGE(AM51:AM51,AM66:AM72)</f>
        <v>1737.6622508034466</v>
      </c>
      <c r="AY52" s="144">
        <f>MAX(AM51:AM51,AM66:AM72)</f>
        <v>3010.5376507442347</v>
      </c>
      <c r="AZ52" s="83"/>
      <c r="BA52" s="83"/>
      <c r="BB52" s="83"/>
      <c r="BC52" s="83"/>
      <c r="BD52" s="83"/>
      <c r="BE52" s="8">
        <f t="shared" si="8"/>
        <v>10.248231932241016</v>
      </c>
      <c r="BF52" s="16">
        <f>10^(MAX(0,((W52+12.5)/2+AD52)*0.73611+-1.03574))</f>
        <v>21.309929375439776</v>
      </c>
      <c r="BG52" s="16"/>
      <c r="BH52" s="189"/>
      <c r="BI52" s="6">
        <f t="shared" si="0"/>
        <v>9.2762452957945336E-3</v>
      </c>
      <c r="BJ52" s="151">
        <f t="shared" si="9"/>
        <v>12.880270555228849</v>
      </c>
      <c r="BK52" s="175">
        <f t="shared" si="10"/>
        <v>41.951826623208831</v>
      </c>
      <c r="BL52" s="134">
        <f t="shared" si="11"/>
        <v>1.6227508751792483</v>
      </c>
      <c r="BM52" s="119">
        <f t="shared" si="12"/>
        <v>1.1103400073574855E-3</v>
      </c>
      <c r="BN52">
        <f t="shared" si="13"/>
        <v>17</v>
      </c>
      <c r="BO52" s="124">
        <f t="shared" si="14"/>
        <v>0.27500000000000002</v>
      </c>
      <c r="BP52">
        <f>_xlfn.RANK.AVG(BK52,(BK$51:BK$60,BK$86:BK$88),1)</f>
        <v>9</v>
      </c>
      <c r="BQ52" s="124">
        <f t="shared" ref="BQ52:BQ60" si="28">(BP52-0.5)/MAX(BP$51:BP$117)</f>
        <v>0.65384615384615385</v>
      </c>
      <c r="BR52" s="14">
        <f t="shared" si="15"/>
        <v>0</v>
      </c>
      <c r="BS52" s="21" t="s">
        <v>8</v>
      </c>
      <c r="BT52" s="144">
        <f>COUNT(BK51:BK51,BK66:BK72)</f>
        <v>8</v>
      </c>
      <c r="BU52" s="144">
        <f>MIN(BK51:BK51,BK66:BK72)</f>
        <v>20.70335479434155</v>
      </c>
      <c r="BV52" s="144">
        <f>AVERAGE(BK51:BK51,BK66:BK72)</f>
        <v>1733.6997520580571</v>
      </c>
      <c r="BW52" s="144">
        <f>MAX(BK51:BK51,BK66:BK72)</f>
        <v>3010.5376507442347</v>
      </c>
      <c r="BX52" s="83"/>
      <c r="BY52" s="83"/>
      <c r="BZ52" s="83"/>
      <c r="CA52" s="83"/>
      <c r="CB52" s="83"/>
      <c r="CC52" s="151"/>
      <c r="CD52" s="175">
        <f t="shared" si="16"/>
        <v>540.35087719298247</v>
      </c>
      <c r="CE52" s="134">
        <f t="shared" si="17"/>
        <v>2.7326758608279529</v>
      </c>
      <c r="CF52" s="119">
        <f t="shared" si="18"/>
        <v>1.1103400073574855E-3</v>
      </c>
      <c r="CG52">
        <f t="shared" si="19"/>
        <v>13</v>
      </c>
      <c r="CH52" s="124">
        <f t="shared" si="20"/>
        <v>0.20833333333333334</v>
      </c>
      <c r="CI52">
        <f>_xlfn.RANK.AVG(CD52,(CD$51:CD$60,CD$86:CD$88),1)</f>
        <v>8</v>
      </c>
      <c r="CJ52" s="124">
        <f t="shared" si="20"/>
        <v>0.57692307692307687</v>
      </c>
      <c r="CK52" s="14">
        <f t="shared" si="21"/>
        <v>2</v>
      </c>
      <c r="CL52" s="21" t="s">
        <v>8</v>
      </c>
      <c r="CM52" s="151">
        <f>AVERAGE($P51:$P51,$P66:$P72)</f>
        <v>1.9066666666666667</v>
      </c>
      <c r="CN52" s="151">
        <f>AVERAGE($N51:$N51,$N66:$N72)</f>
        <v>96.950000000000017</v>
      </c>
      <c r="CO52" s="154">
        <f>AVERAGE($AF51:$AF51,$AF66:$AF72)</f>
        <v>1.5186926983128867E-6</v>
      </c>
      <c r="CP52" s="144">
        <f>COUNT($CD51:$CD51,$CD66:$CD72)</f>
        <v>8</v>
      </c>
      <c r="CQ52" s="83">
        <f>PERCENTILE(($CD51:$CD51,$CD66:$CD72),0)</f>
        <v>343.73983739837394</v>
      </c>
      <c r="CR52" s="83">
        <f>PERCENTILE(($CD51:$CD51,$CD66:$CD72),0.1)</f>
        <v>38507.121951219524</v>
      </c>
      <c r="CS52" s="83">
        <f>PERCENTILE(($CD51:$CD51,$CD66:$CD72),0.5)</f>
        <v>54862.857142857145</v>
      </c>
      <c r="CT52" s="83">
        <f>PERCENTILE(($CD51:$CD51,$CD66:$CD72),0.9)</f>
        <v>137145.14285714287</v>
      </c>
      <c r="CU52" s="144">
        <f>COUNT($CD66:$CD72)</f>
        <v>7</v>
      </c>
      <c r="CV52" s="83">
        <f>PERCENTILE(($CD66:$CD72),0)</f>
        <v>54862.857142857145</v>
      </c>
      <c r="CW52" s="83">
        <f>PERCENTILE(($CD66:$CD72),0.1)</f>
        <v>54862.857142857145</v>
      </c>
      <c r="CX52" s="83">
        <f>PERCENTILE(($CD66:$CD72),0.5)</f>
        <v>54862.857142857145</v>
      </c>
      <c r="CY52" s="86">
        <f>PERCENTILE(($CD66:$CD72),0.9)</f>
        <v>137145.14285714287</v>
      </c>
      <c r="CZ52" s="8">
        <f>COUNT($CD51)</f>
        <v>1</v>
      </c>
      <c r="DA52" s="83">
        <f>PERCENTILE($CD51,0)</f>
        <v>343.73983739837394</v>
      </c>
      <c r="DB52" s="83">
        <f>PERCENTILE($CD51,0.1)</f>
        <v>343.73983739837394</v>
      </c>
      <c r="DC52" s="83">
        <f>PERCENTILE($CD51,0.5)</f>
        <v>343.73983739837394</v>
      </c>
      <c r="DD52" s="86">
        <f>PERCENTILE($CD51,0.9)</f>
        <v>343.73983739837394</v>
      </c>
      <c r="DE52" s="144">
        <f t="shared" ref="DE52:DE62" si="29">CU52+CZ52</f>
        <v>8</v>
      </c>
      <c r="DF52" s="86">
        <f>MIN(DA52,CY52)</f>
        <v>343.73983739837394</v>
      </c>
    </row>
    <row r="53" spans="1:110" x14ac:dyDescent="0.2">
      <c r="A53" s="8">
        <v>65</v>
      </c>
      <c r="B53" t="s">
        <v>143</v>
      </c>
      <c r="C53">
        <v>6</v>
      </c>
      <c r="D53" t="s">
        <v>6</v>
      </c>
      <c r="E53" t="s">
        <v>5</v>
      </c>
      <c r="F53" s="9">
        <v>2</v>
      </c>
      <c r="G53" s="26" t="s">
        <v>31</v>
      </c>
      <c r="H53" s="1">
        <v>9</v>
      </c>
      <c r="I53" s="11">
        <v>403</v>
      </c>
      <c r="J53" t="s">
        <v>44</v>
      </c>
      <c r="K53" s="6" t="s">
        <v>153</v>
      </c>
      <c r="L53" s="1">
        <v>10</v>
      </c>
      <c r="M53" s="6">
        <v>40</v>
      </c>
      <c r="N53" s="1">
        <v>165.80749949115744</v>
      </c>
      <c r="O53" s="18">
        <v>118882.50367033854</v>
      </c>
      <c r="P53" s="30">
        <v>3.4</v>
      </c>
      <c r="Q53" s="1"/>
      <c r="R53" s="1"/>
      <c r="S53" s="1"/>
      <c r="T53" s="1"/>
      <c r="U53" s="1"/>
      <c r="V53">
        <v>11.5</v>
      </c>
      <c r="W53" s="238">
        <f t="shared" si="22"/>
        <v>-12.660107995177276</v>
      </c>
      <c r="X53" s="118">
        <f t="shared" si="23"/>
        <v>1.889756062638462E-8</v>
      </c>
      <c r="Y53" s="1"/>
      <c r="Z53" s="1"/>
      <c r="AA53" s="1"/>
      <c r="AB53" s="1"/>
      <c r="AC53" s="197"/>
      <c r="AD53" s="244">
        <f>'Lohman 2011'!AD53</f>
        <v>2.6992668676849045</v>
      </c>
      <c r="AE53" s="96">
        <f t="shared" si="24"/>
        <v>500.34189339873814</v>
      </c>
      <c r="AF53" s="98">
        <f t="shared" si="25"/>
        <v>9.4552412644227248E-6</v>
      </c>
      <c r="AG53" s="22">
        <v>570</v>
      </c>
      <c r="AH53" s="15">
        <v>1.5</v>
      </c>
      <c r="AI53" s="162">
        <v>0.05</v>
      </c>
      <c r="AJ53" s="167">
        <f t="shared" si="1"/>
        <v>135.78955708543594</v>
      </c>
      <c r="AK53" s="168">
        <f t="shared" si="2"/>
        <v>0.12291068824945628</v>
      </c>
      <c r="AL53" s="151">
        <f t="shared" si="26"/>
        <v>4.1976718404152971</v>
      </c>
      <c r="AM53" s="175">
        <f t="shared" si="27"/>
        <v>90.526371390290635</v>
      </c>
      <c r="AN53" s="134">
        <f t="shared" si="3"/>
        <v>1.9567751126961681</v>
      </c>
      <c r="AO53" s="119">
        <f t="shared" si="4"/>
        <v>4.7946500317709601E-3</v>
      </c>
      <c r="AP53">
        <f t="shared" si="5"/>
        <v>11</v>
      </c>
      <c r="AQ53" s="124">
        <f t="shared" si="6"/>
        <v>0.17499999999999999</v>
      </c>
      <c r="AR53">
        <f>_xlfn.RANK.AVG(AM53,(AM$51:AM$60,AM$86:AM$88),1)</f>
        <v>5</v>
      </c>
      <c r="AS53" s="124">
        <f t="shared" si="6"/>
        <v>0.34615384615384615</v>
      </c>
      <c r="AT53" s="14">
        <f t="shared" si="7"/>
        <v>0</v>
      </c>
      <c r="AU53" s="8" t="s">
        <v>12</v>
      </c>
      <c r="AV53" s="144">
        <f>COUNT(AM52:AM59,AM78,AM86,AM107:AM108)</f>
        <v>12</v>
      </c>
      <c r="AW53" s="144">
        <f>MIN(AM52:AM59,AM78,AM86,AM107:AM108)</f>
        <v>49.820054728386758</v>
      </c>
      <c r="AX53" s="144">
        <f>AVERAGE(AM52:AM59,AM78,AM86,AM107:AM108)</f>
        <v>7785.0887377211629</v>
      </c>
      <c r="AY53" s="144">
        <f>MAX(AM52:AM59,AM78,AM86,AM107:AM108)</f>
        <v>34040.910500148653</v>
      </c>
      <c r="AZ53" s="83"/>
      <c r="BA53" s="83"/>
      <c r="BB53" s="83"/>
      <c r="BC53" s="83"/>
      <c r="BD53" s="83"/>
      <c r="BE53" s="8">
        <f t="shared" si="8"/>
        <v>17.401135384947764</v>
      </c>
      <c r="BF53" s="16">
        <f t="shared" ref="BF53:BF60" si="30">10^(MAX(0,((W53+12.5)/2+AD53)*0.73611+-1.03574))</f>
        <v>7.8034883403582906</v>
      </c>
      <c r="BG53" s="16"/>
      <c r="BH53" s="189"/>
      <c r="BI53" s="6">
        <f t="shared" si="0"/>
        <v>1.5750736451259045E-2</v>
      </c>
      <c r="BJ53" s="151">
        <f t="shared" si="9"/>
        <v>32.756483263331098</v>
      </c>
      <c r="BK53" s="175">
        <f t="shared" si="10"/>
        <v>11.60075692329851</v>
      </c>
      <c r="BL53" s="134">
        <f t="shared" si="11"/>
        <v>1.0644863268896052</v>
      </c>
      <c r="BM53" s="119">
        <f t="shared" si="12"/>
        <v>4.7946500317709601E-3</v>
      </c>
      <c r="BN53">
        <f t="shared" si="13"/>
        <v>9</v>
      </c>
      <c r="BO53" s="124">
        <f t="shared" si="14"/>
        <v>0.14166666666666666</v>
      </c>
      <c r="BP53">
        <f>_xlfn.RANK.AVG(BK53,(BK$51:BK$60,BK$86:BK$88),1)</f>
        <v>5</v>
      </c>
      <c r="BQ53" s="124">
        <f t="shared" si="28"/>
        <v>0.34615384615384615</v>
      </c>
      <c r="BR53" s="14">
        <f t="shared" si="15"/>
        <v>0</v>
      </c>
      <c r="BS53" s="8" t="s">
        <v>12</v>
      </c>
      <c r="BT53" s="144">
        <f>COUNT(BK52:BK59,BK78,BK86,BK107:BK108)</f>
        <v>12</v>
      </c>
      <c r="BU53" s="144">
        <f>MIN(BK52:BK59,BK78,BK86,BK107:BK108)</f>
        <v>6.3843312830655554</v>
      </c>
      <c r="BV53" s="144">
        <f>AVERAGE(BK52:BK59,BK78,BK86,BK107:BK108)</f>
        <v>796.46254228934924</v>
      </c>
      <c r="BW53" s="144">
        <f>MAX(BK52:BK59,BK78,BK86,BK107:BK108)</f>
        <v>4362.2683875998064</v>
      </c>
      <c r="BX53" s="83"/>
      <c r="BY53" s="83"/>
      <c r="BZ53" s="83"/>
      <c r="CA53" s="83"/>
      <c r="CB53" s="83"/>
      <c r="CC53" s="151"/>
      <c r="CD53" s="175">
        <f t="shared" si="16"/>
        <v>380</v>
      </c>
      <c r="CE53" s="134">
        <f t="shared" si="17"/>
        <v>2.5797835966168101</v>
      </c>
      <c r="CF53" s="119">
        <f t="shared" si="18"/>
        <v>4.7946500317709601E-3</v>
      </c>
      <c r="CG53">
        <f t="shared" si="19"/>
        <v>12</v>
      </c>
      <c r="CH53" s="124">
        <f t="shared" si="20"/>
        <v>0.19166666666666668</v>
      </c>
      <c r="CI53">
        <f>_xlfn.RANK.AVG(CD53,(CD$51:CD$60,CD$86:CD$88),1)</f>
        <v>7</v>
      </c>
      <c r="CJ53" s="124">
        <f t="shared" si="20"/>
        <v>0.5</v>
      </c>
      <c r="CK53" s="14">
        <f t="shared" si="21"/>
        <v>2</v>
      </c>
      <c r="CL53" s="8" t="s">
        <v>12</v>
      </c>
      <c r="CM53" s="151">
        <f>AVERAGE($P52:$P59,$P78,$P86,$P107:$P108)</f>
        <v>3.399999999999999</v>
      </c>
      <c r="CN53" s="151">
        <f>AVERAGE($N52:$N59,$N78,$N86,$N107:$N108)</f>
        <v>165.80749949115742</v>
      </c>
      <c r="CO53" s="154">
        <f>AVERAGE($AF52:$AF59,$AF78,$AF86,$AF107:$AF108)</f>
        <v>1.8818043818141029E-5</v>
      </c>
      <c r="CP53" s="144">
        <f>COUNT($CD52:$CD59,$CD78,$CD86,$CD107:$CD108)</f>
        <v>12</v>
      </c>
      <c r="CQ53" s="83">
        <f>PERCENTILE(($CD52:$CD59,$CD78,$CD86,$CD107:$CD108),0)</f>
        <v>209.12824082129808</v>
      </c>
      <c r="CR53" s="83">
        <f>PERCENTILE(($CD52:$CD59,$CD78,$CD86,$CD107:$CD108),0.1)</f>
        <v>368.7466976516634</v>
      </c>
      <c r="CS53" s="83">
        <f>PERCENTILE(($CD52:$CD59,$CD78,$CD86,$CD107:$CD108),0.5)</f>
        <v>6130.3884854602884</v>
      </c>
      <c r="CT53" s="83">
        <f>PERCENTILE(($CD52:$CD59,$CD78,$CD86,$CD107:$CD108),0.9)</f>
        <v>44972.314285714288</v>
      </c>
      <c r="CU53" s="144">
        <f>COUNT($CD78,CD107:$CD108)</f>
        <v>3</v>
      </c>
      <c r="CV53" s="83">
        <f>PERCENTILE(($CD78,CD107:$CD108),0)</f>
        <v>13000</v>
      </c>
      <c r="CW53" s="83">
        <f>PERCENTILE(($CD78,CD107:$CD108),0.1)</f>
        <v>19600</v>
      </c>
      <c r="CX53" s="83">
        <f>PERCENTILE(($CD78,CD107:$CD108),0.5)</f>
        <v>46000</v>
      </c>
      <c r="CY53" s="86">
        <f>PERCENTILE(($CD78,CD107:$CD108),0.9)</f>
        <v>123514.05714285711</v>
      </c>
      <c r="CZ53" s="8">
        <f>COUNT($CD52:$CD59,$CD86)</f>
        <v>9</v>
      </c>
      <c r="DA53" s="83">
        <f>PERCENTILE(($CD52:$CD59,$CD86),0)</f>
        <v>209.12824082129808</v>
      </c>
      <c r="DB53" s="83">
        <f>PERCENTILE(($CD52:$CD59,$CD86),0.1)</f>
        <v>335.82271274351598</v>
      </c>
      <c r="DC53" s="83">
        <f>PERCENTILE(($CD52:$CD59,$CD86),0.5)</f>
        <v>574.468085106383</v>
      </c>
      <c r="DD53" s="86">
        <f>PERCENTILE(($CD52:$CD59,$CD86),0.9)</f>
        <v>22406.342857142845</v>
      </c>
      <c r="DE53" s="144">
        <f t="shared" si="29"/>
        <v>12</v>
      </c>
      <c r="DF53" s="86">
        <f>MIN(DA53,CY53)</f>
        <v>209.12824082129808</v>
      </c>
    </row>
    <row r="54" spans="1:110" x14ac:dyDescent="0.2">
      <c r="A54" s="8">
        <v>5</v>
      </c>
      <c r="B54" t="s">
        <v>143</v>
      </c>
      <c r="C54">
        <v>1</v>
      </c>
      <c r="D54" s="23" t="s">
        <v>11</v>
      </c>
      <c r="E54" t="s">
        <v>10</v>
      </c>
      <c r="F54" s="6">
        <v>48</v>
      </c>
      <c r="G54" s="28" t="s">
        <v>33</v>
      </c>
      <c r="H54" s="1">
        <v>9</v>
      </c>
      <c r="I54" s="11">
        <v>403</v>
      </c>
      <c r="J54" t="s">
        <v>12</v>
      </c>
      <c r="K54" s="6" t="s">
        <v>153</v>
      </c>
      <c r="L54" s="1">
        <v>10</v>
      </c>
      <c r="M54" s="6">
        <v>40</v>
      </c>
      <c r="N54" s="1">
        <v>165.80749949115744</v>
      </c>
      <c r="O54" s="18">
        <v>118882.50367033854</v>
      </c>
      <c r="P54" s="30">
        <v>3.4</v>
      </c>
      <c r="Q54" s="1"/>
      <c r="R54" s="1"/>
      <c r="S54" s="1"/>
      <c r="T54" s="1"/>
      <c r="U54" s="1"/>
      <c r="V54">
        <v>11.5</v>
      </c>
      <c r="W54" s="238">
        <f t="shared" si="22"/>
        <v>-12.660107995177276</v>
      </c>
      <c r="X54" s="118">
        <f t="shared" si="23"/>
        <v>1.889756062638462E-8</v>
      </c>
      <c r="Y54" s="1"/>
      <c r="Z54" s="1"/>
      <c r="AA54" s="1"/>
      <c r="AB54" s="1"/>
      <c r="AC54" s="197"/>
      <c r="AD54" s="244">
        <f>'Lohman 2011'!AD54</f>
        <v>2.6992668676849045</v>
      </c>
      <c r="AE54" s="96">
        <f t="shared" si="24"/>
        <v>500.34189339873814</v>
      </c>
      <c r="AF54" s="98">
        <f t="shared" si="25"/>
        <v>9.4552412644227248E-6</v>
      </c>
      <c r="AG54" s="22">
        <v>7144.6285714285714</v>
      </c>
      <c r="AH54" s="32">
        <v>1.07</v>
      </c>
      <c r="AI54" s="162">
        <v>0.05</v>
      </c>
      <c r="AJ54" s="167">
        <f t="shared" si="1"/>
        <v>1702.0455250074326</v>
      </c>
      <c r="AK54" s="168">
        <f t="shared" si="2"/>
        <v>1.5406161666684479</v>
      </c>
      <c r="AL54" s="151">
        <f t="shared" si="26"/>
        <v>4.197671840415298</v>
      </c>
      <c r="AM54" s="175">
        <f t="shared" si="27"/>
        <v>1590.6967523433948</v>
      </c>
      <c r="AN54" s="134">
        <f t="shared" si="3"/>
        <v>3.2015873943942061</v>
      </c>
      <c r="AO54" s="119">
        <f t="shared" si="4"/>
        <v>6.0098234398231073E-2</v>
      </c>
      <c r="AP54">
        <f t="shared" si="5"/>
        <v>26</v>
      </c>
      <c r="AQ54" s="124">
        <f t="shared" si="6"/>
        <v>0.42499999999999999</v>
      </c>
      <c r="AR54">
        <f>_xlfn.RANK.AVG(AM54,(AM$51:AM$60,AM$86:AM$88),1)</f>
        <v>11</v>
      </c>
      <c r="AS54" s="124">
        <f t="shared" si="6"/>
        <v>0.80769230769230771</v>
      </c>
      <c r="AT54" s="14">
        <f t="shared" si="7"/>
        <v>0</v>
      </c>
      <c r="AU54" t="s">
        <v>173</v>
      </c>
      <c r="AV54" s="144">
        <f>COUNT(AM77)</f>
        <v>1</v>
      </c>
      <c r="AW54" s="144">
        <f>MIN(AM77)</f>
        <v>34.316378641046597</v>
      </c>
      <c r="AX54" s="144">
        <f>AVERAGE(AM77)</f>
        <v>34.316378641046597</v>
      </c>
      <c r="AY54" s="144">
        <f>MAX(AM77)</f>
        <v>34.316378641046597</v>
      </c>
      <c r="AZ54" s="83"/>
      <c r="BA54" s="83"/>
      <c r="BB54" s="83"/>
      <c r="BC54" s="83"/>
      <c r="BD54" s="83"/>
      <c r="BE54" s="8">
        <f t="shared" si="8"/>
        <v>218.11341937999035</v>
      </c>
      <c r="BF54" s="16">
        <f t="shared" si="30"/>
        <v>7.8034883403582906</v>
      </c>
      <c r="BG54" s="16"/>
      <c r="BH54" s="189"/>
      <c r="BI54" s="6">
        <f t="shared" si="0"/>
        <v>0.19742659942229268</v>
      </c>
      <c r="BJ54" s="151">
        <f t="shared" si="9"/>
        <v>32.756483263331098</v>
      </c>
      <c r="BK54" s="175">
        <f t="shared" si="10"/>
        <v>203.84431717756107</v>
      </c>
      <c r="BL54" s="134">
        <f t="shared" si="11"/>
        <v>2.309298608587643</v>
      </c>
      <c r="BM54" s="119">
        <f t="shared" si="12"/>
        <v>6.0098234398231073E-2</v>
      </c>
      <c r="BN54">
        <f t="shared" si="13"/>
        <v>21</v>
      </c>
      <c r="BO54" s="124">
        <f t="shared" si="14"/>
        <v>0.34166666666666667</v>
      </c>
      <c r="BP54">
        <f>_xlfn.RANK.AVG(BK54,(BK$51:BK$60,BK$86:BK$88),1)</f>
        <v>11</v>
      </c>
      <c r="BQ54" s="124">
        <f t="shared" si="28"/>
        <v>0.80769230769230771</v>
      </c>
      <c r="BR54" s="14">
        <f t="shared" si="15"/>
        <v>0</v>
      </c>
      <c r="BS54" t="s">
        <v>173</v>
      </c>
      <c r="BT54" s="144">
        <f>COUNT(BK77)</f>
        <v>1</v>
      </c>
      <c r="BU54" s="144">
        <f>MIN(BK77)</f>
        <v>24.188623868799873</v>
      </c>
      <c r="BV54" s="144">
        <f>AVERAGE(BK77)</f>
        <v>24.188623868799873</v>
      </c>
      <c r="BW54" s="144">
        <f>MAX(BK77)</f>
        <v>24.188623868799873</v>
      </c>
      <c r="BX54" s="83"/>
      <c r="BY54" s="83"/>
      <c r="BZ54" s="83"/>
      <c r="CA54" s="83"/>
      <c r="CB54" s="83"/>
      <c r="CC54" s="151"/>
      <c r="CD54" s="175">
        <f t="shared" si="16"/>
        <v>6677.2229639519355</v>
      </c>
      <c r="CE54" s="134">
        <f t="shared" si="17"/>
        <v>3.8245958783148479</v>
      </c>
      <c r="CF54" s="119">
        <f t="shared" si="18"/>
        <v>6.0098234398231073E-2</v>
      </c>
      <c r="CG54">
        <f t="shared" si="19"/>
        <v>28</v>
      </c>
      <c r="CH54" s="124">
        <f t="shared" si="20"/>
        <v>0.45833333333333331</v>
      </c>
      <c r="CI54">
        <f>_xlfn.RANK.AVG(CD54,(CD$51:CD$60,CD$86:CD$88),1)</f>
        <v>11</v>
      </c>
      <c r="CJ54" s="124">
        <f t="shared" si="20"/>
        <v>0.80769230769230771</v>
      </c>
      <c r="CK54" s="14">
        <f t="shared" si="21"/>
        <v>2</v>
      </c>
      <c r="CL54" t="s">
        <v>173</v>
      </c>
      <c r="CM54" s="151">
        <f>AVERAGE($P77)</f>
        <v>2.39</v>
      </c>
      <c r="CN54" s="151">
        <f>AVERAGE($N77)</f>
        <v>167.85</v>
      </c>
      <c r="CO54" s="154">
        <f>AVERAGE($AF77)</f>
        <v>9.2028180288049991E-7</v>
      </c>
      <c r="CP54" s="144">
        <f>COUNT($CD77)</f>
        <v>1</v>
      </c>
      <c r="CQ54" s="83">
        <f>PERCENTILE(($CD77),0)</f>
        <v>1480</v>
      </c>
      <c r="CR54" s="83">
        <f>PERCENTILE(($CD77),0.1)</f>
        <v>1480</v>
      </c>
      <c r="CS54" s="83">
        <f>PERCENTILE(($CD77),0.5)</f>
        <v>1480</v>
      </c>
      <c r="CT54" s="83">
        <f>PERCENTILE(($CD77),0.9)</f>
        <v>1480</v>
      </c>
      <c r="CU54" s="144">
        <f>COUNT($CD77)</f>
        <v>1</v>
      </c>
      <c r="CV54" s="83">
        <f>PERCENTILE(($CD77),0)</f>
        <v>1480</v>
      </c>
      <c r="CW54" s="83">
        <f>PERCENTILE(($CD77),0.1)</f>
        <v>1480</v>
      </c>
      <c r="CX54" s="83">
        <f>PERCENTILE(($CD77),0.5)</f>
        <v>1480</v>
      </c>
      <c r="CY54" s="86">
        <f>PERCENTILE(($CD77),0.9)</f>
        <v>1480</v>
      </c>
      <c r="CZ54" s="8"/>
      <c r="DA54" s="83"/>
      <c r="DB54" s="83"/>
      <c r="DC54" s="83"/>
      <c r="DD54" s="86"/>
      <c r="DE54" s="144">
        <f t="shared" si="29"/>
        <v>1</v>
      </c>
      <c r="DF54" s="9"/>
    </row>
    <row r="55" spans="1:110" x14ac:dyDescent="0.2">
      <c r="A55" s="8">
        <v>4</v>
      </c>
      <c r="B55" t="s">
        <v>143</v>
      </c>
      <c r="C55">
        <v>1</v>
      </c>
      <c r="D55" s="23" t="s">
        <v>11</v>
      </c>
      <c r="E55" t="s">
        <v>10</v>
      </c>
      <c r="F55" s="6">
        <v>46</v>
      </c>
      <c r="G55" s="28" t="s">
        <v>33</v>
      </c>
      <c r="H55" s="1">
        <v>9</v>
      </c>
      <c r="I55" s="11">
        <v>403</v>
      </c>
      <c r="J55" t="s">
        <v>12</v>
      </c>
      <c r="K55" s="6" t="s">
        <v>153</v>
      </c>
      <c r="L55" s="1">
        <v>10</v>
      </c>
      <c r="M55" s="6">
        <v>40</v>
      </c>
      <c r="N55" s="1">
        <v>165.80749949115744</v>
      </c>
      <c r="O55" s="18">
        <v>118882.50367033854</v>
      </c>
      <c r="P55" s="30">
        <v>3.4</v>
      </c>
      <c r="Q55" s="1"/>
      <c r="R55" s="1"/>
      <c r="S55" s="1"/>
      <c r="T55" s="1"/>
      <c r="U55" s="1"/>
      <c r="V55">
        <v>11.5</v>
      </c>
      <c r="W55" s="238">
        <f t="shared" si="22"/>
        <v>-12.660107995177276</v>
      </c>
      <c r="X55" s="118">
        <f t="shared" si="23"/>
        <v>1.889756062638462E-8</v>
      </c>
      <c r="Y55" s="1"/>
      <c r="Z55" s="1"/>
      <c r="AA55" s="1"/>
      <c r="AB55" s="1"/>
      <c r="AC55" s="197"/>
      <c r="AD55" s="244">
        <f>'Lohman 2011'!AD55</f>
        <v>2.6992668676849045</v>
      </c>
      <c r="AE55" s="96">
        <f t="shared" si="24"/>
        <v>500.34189339873814</v>
      </c>
      <c r="AF55" s="98">
        <f t="shared" si="25"/>
        <v>9.4552412644227248E-6</v>
      </c>
      <c r="AG55" s="22">
        <v>7144.6285714285714</v>
      </c>
      <c r="AH55" s="32">
        <v>0.2</v>
      </c>
      <c r="AI55" s="162">
        <v>0.05</v>
      </c>
      <c r="AJ55" s="167">
        <f t="shared" si="1"/>
        <v>1702.0455250074326</v>
      </c>
      <c r="AK55" s="168">
        <f t="shared" si="2"/>
        <v>1.5406161666684479</v>
      </c>
      <c r="AL55" s="151">
        <f t="shared" si="26"/>
        <v>4.197671840415298</v>
      </c>
      <c r="AM55" s="175">
        <f t="shared" si="27"/>
        <v>8510.2276250371633</v>
      </c>
      <c r="AN55" s="134">
        <f t="shared" si="3"/>
        <v>3.9299411764154346</v>
      </c>
      <c r="AO55" s="119">
        <f t="shared" si="4"/>
        <v>6.0098234398231073E-2</v>
      </c>
      <c r="AP55">
        <f t="shared" si="5"/>
        <v>39</v>
      </c>
      <c r="AQ55" s="124">
        <f t="shared" si="6"/>
        <v>0.64166666666666672</v>
      </c>
      <c r="AR55">
        <f>_xlfn.RANK.AVG(AM55,(AM$51:AM$60,AM$86:AM$88),1)</f>
        <v>13</v>
      </c>
      <c r="AS55" s="124">
        <f t="shared" si="6"/>
        <v>0.96153846153846156</v>
      </c>
      <c r="AT55" s="14">
        <f t="shared" si="7"/>
        <v>0</v>
      </c>
      <c r="AU55" s="8" t="s">
        <v>19</v>
      </c>
      <c r="AV55" s="144">
        <f>COUNT(AM60)</f>
        <v>1</v>
      </c>
      <c r="AW55" s="144">
        <f>MIN(AM60)</f>
        <v>98.036273942046762</v>
      </c>
      <c r="AX55" s="144">
        <f>AVERAGE(AM60)</f>
        <v>98.036273942046762</v>
      </c>
      <c r="AY55" s="144">
        <f>MAX(AM60)</f>
        <v>98.036273942046762</v>
      </c>
      <c r="AZ55" s="83"/>
      <c r="BA55" s="83"/>
      <c r="BB55" s="83"/>
      <c r="BC55" s="83"/>
      <c r="BD55" s="83"/>
      <c r="BE55" s="8">
        <f t="shared" si="8"/>
        <v>218.11341937999035</v>
      </c>
      <c r="BF55" s="16">
        <f t="shared" si="30"/>
        <v>7.8034883403582906</v>
      </c>
      <c r="BG55" s="16"/>
      <c r="BH55" s="189"/>
      <c r="BI55" s="6">
        <f t="shared" si="0"/>
        <v>0.19742659942229268</v>
      </c>
      <c r="BJ55" s="151">
        <f t="shared" si="9"/>
        <v>32.756483263331098</v>
      </c>
      <c r="BK55" s="175">
        <f t="shared" si="10"/>
        <v>1090.5670968999516</v>
      </c>
      <c r="BL55" s="134">
        <f t="shared" si="11"/>
        <v>3.0376523906088715</v>
      </c>
      <c r="BM55" s="119">
        <f t="shared" si="12"/>
        <v>6.0098234398231073E-2</v>
      </c>
      <c r="BN55">
        <f t="shared" si="13"/>
        <v>37</v>
      </c>
      <c r="BO55" s="124">
        <f t="shared" si="14"/>
        <v>0.60833333333333328</v>
      </c>
      <c r="BP55">
        <f>_xlfn.RANK.AVG(BK55,(BK$51:BK$60,BK$86:BK$88),1)</f>
        <v>13</v>
      </c>
      <c r="BQ55" s="124">
        <f t="shared" si="28"/>
        <v>0.96153846153846156</v>
      </c>
      <c r="BR55" s="14">
        <f t="shared" si="15"/>
        <v>0</v>
      </c>
      <c r="BS55" s="8" t="s">
        <v>19</v>
      </c>
      <c r="BT55" s="144">
        <f>COUNT(BK60)</f>
        <v>1</v>
      </c>
      <c r="BU55" s="144">
        <f>MIN(BK60)</f>
        <v>14.501156795454115</v>
      </c>
      <c r="BV55" s="144">
        <f>AVERAGE(BK60)</f>
        <v>14.501156795454115</v>
      </c>
      <c r="BW55" s="144">
        <f>MAX(BK60)</f>
        <v>14.501156795454115</v>
      </c>
      <c r="BX55" s="83"/>
      <c r="BY55" s="83"/>
      <c r="BZ55" s="83"/>
      <c r="CA55" s="83"/>
      <c r="CB55" s="83"/>
      <c r="CC55" s="151"/>
      <c r="CD55" s="175">
        <f t="shared" si="16"/>
        <v>35723.142857142855</v>
      </c>
      <c r="CE55" s="134">
        <f t="shared" si="17"/>
        <v>4.5529496603360764</v>
      </c>
      <c r="CF55" s="119">
        <f t="shared" si="18"/>
        <v>6.0098234398231073E-2</v>
      </c>
      <c r="CG55">
        <f t="shared" si="19"/>
        <v>41</v>
      </c>
      <c r="CH55" s="124">
        <f t="shared" si="20"/>
        <v>0.67500000000000004</v>
      </c>
      <c r="CI55">
        <f>_xlfn.RANK.AVG(CD55,(CD$51:CD$60,CD$86:CD$88),1)</f>
        <v>13</v>
      </c>
      <c r="CJ55" s="124">
        <f t="shared" si="20"/>
        <v>0.96153846153846156</v>
      </c>
      <c r="CK55" s="14">
        <f t="shared" si="21"/>
        <v>2</v>
      </c>
      <c r="CL55" s="8" t="s">
        <v>19</v>
      </c>
      <c r="CM55" s="151">
        <f>AVERAGE($P60)</f>
        <v>2.61</v>
      </c>
      <c r="CN55" s="151">
        <f>AVERAGE($N60)</f>
        <v>131.4</v>
      </c>
      <c r="CO55" s="154">
        <f>AVERAGE($AF60)</f>
        <v>1.7569325743839062E-5</v>
      </c>
      <c r="CP55" s="144">
        <f>COUNT($CD60)</f>
        <v>1</v>
      </c>
      <c r="CQ55" s="83">
        <f>PERCENTILE(($CD60),0)</f>
        <v>221.46892655367228</v>
      </c>
      <c r="CR55" s="83">
        <f>PERCENTILE(($CD60),0.1)</f>
        <v>221.46892655367228</v>
      </c>
      <c r="CS55" s="83">
        <f>PERCENTILE(($CD60),0.5)</f>
        <v>221.46892655367228</v>
      </c>
      <c r="CT55" s="83">
        <f>PERCENTILE(($CD60),0.9)</f>
        <v>221.46892655367228</v>
      </c>
      <c r="CU55" s="144"/>
      <c r="CV55" s="83"/>
      <c r="CW55" s="83"/>
      <c r="CX55" s="83"/>
      <c r="CY55" s="86"/>
      <c r="CZ55" s="8">
        <f>COUNT($CD60)</f>
        <v>1</v>
      </c>
      <c r="DA55" s="83">
        <f>PERCENTILE($CD60,0.9)</f>
        <v>221.46892655367228</v>
      </c>
      <c r="DB55" s="83">
        <f>PERCENTILE($CD60,0.9)</f>
        <v>221.46892655367228</v>
      </c>
      <c r="DC55" s="83">
        <f>PERCENTILE($CD60,0.9)</f>
        <v>221.46892655367228</v>
      </c>
      <c r="DD55" s="86">
        <f>PERCENTILE($CD60,0.9)</f>
        <v>221.46892655367228</v>
      </c>
      <c r="DE55" s="144">
        <f t="shared" si="29"/>
        <v>1</v>
      </c>
      <c r="DF55" s="86">
        <f>MIN(DA55,CY55)</f>
        <v>221.46892655367228</v>
      </c>
    </row>
    <row r="56" spans="1:110" x14ac:dyDescent="0.2">
      <c r="A56" s="8">
        <v>6</v>
      </c>
      <c r="B56" t="s">
        <v>143</v>
      </c>
      <c r="C56">
        <v>1</v>
      </c>
      <c r="D56" s="23" t="s">
        <v>11</v>
      </c>
      <c r="E56" t="s">
        <v>10</v>
      </c>
      <c r="F56" s="6">
        <v>52</v>
      </c>
      <c r="G56" s="28" t="s">
        <v>33</v>
      </c>
      <c r="H56" s="1">
        <v>9</v>
      </c>
      <c r="I56" s="11">
        <v>403</v>
      </c>
      <c r="J56" t="s">
        <v>12</v>
      </c>
      <c r="K56" s="6" t="s">
        <v>153</v>
      </c>
      <c r="L56" s="1">
        <v>10</v>
      </c>
      <c r="M56" s="6">
        <v>40</v>
      </c>
      <c r="N56" s="1">
        <v>165.80749949115744</v>
      </c>
      <c r="O56" s="18">
        <v>118882.50367033854</v>
      </c>
      <c r="P56" s="30">
        <v>3.4</v>
      </c>
      <c r="Q56" s="1"/>
      <c r="R56" s="1"/>
      <c r="S56" s="1"/>
      <c r="T56" s="1"/>
      <c r="U56" s="1"/>
      <c r="V56">
        <v>11.5</v>
      </c>
      <c r="W56" s="238">
        <f t="shared" si="22"/>
        <v>-12.660107995177276</v>
      </c>
      <c r="X56" s="118">
        <f t="shared" si="23"/>
        <v>1.889756062638462E-8</v>
      </c>
      <c r="Y56" s="1"/>
      <c r="Z56" s="1"/>
      <c r="AA56" s="1"/>
      <c r="AB56" s="1"/>
      <c r="AC56" s="197"/>
      <c r="AD56" s="244">
        <f>'Lohman 2011'!AD56</f>
        <v>2.6992668676849045</v>
      </c>
      <c r="AE56" s="96">
        <f t="shared" si="24"/>
        <v>500.34189339873814</v>
      </c>
      <c r="AF56" s="98">
        <f t="shared" si="25"/>
        <v>9.4552412644227248E-6</v>
      </c>
      <c r="AG56" s="22">
        <v>2861.5714285714284</v>
      </c>
      <c r="AH56" s="32">
        <v>13.683333333333332</v>
      </c>
      <c r="AI56" s="162">
        <v>0.05</v>
      </c>
      <c r="AJ56" s="167">
        <f t="shared" si="1"/>
        <v>681.70441553342539</v>
      </c>
      <c r="AK56" s="168">
        <f t="shared" si="2"/>
        <v>0.61704862063279664</v>
      </c>
      <c r="AL56" s="151">
        <f t="shared" si="26"/>
        <v>4.1976718404152971</v>
      </c>
      <c r="AM56" s="175">
        <f t="shared" si="27"/>
        <v>49.820054728386758</v>
      </c>
      <c r="AN56" s="134">
        <f t="shared" si="3"/>
        <v>1.6974042002824492</v>
      </c>
      <c r="AO56" s="119">
        <f t="shared" si="4"/>
        <v>2.4070585159499776E-2</v>
      </c>
      <c r="AP56">
        <f t="shared" si="5"/>
        <v>8</v>
      </c>
      <c r="AQ56" s="124">
        <f t="shared" si="6"/>
        <v>0.125</v>
      </c>
      <c r="AR56">
        <f>_xlfn.RANK.AVG(AM56,(AM$51:AM$60,AM$86:AM$88),1)</f>
        <v>2</v>
      </c>
      <c r="AS56" s="124">
        <f t="shared" si="6"/>
        <v>0.11538461538461539</v>
      </c>
      <c r="AT56" s="14">
        <f t="shared" si="7"/>
        <v>0</v>
      </c>
      <c r="AU56" s="21" t="s">
        <v>39</v>
      </c>
      <c r="AV56" s="144">
        <f>COUNT(AM73:AM74,AM94)</f>
        <v>3</v>
      </c>
      <c r="AW56" s="144">
        <f>MIN(AM73:AM74,AM94)</f>
        <v>3883.2602216095324</v>
      </c>
      <c r="AX56" s="144">
        <f>AVERAGE(AM73:AM74,AM94)</f>
        <v>274395.75927520433</v>
      </c>
      <c r="AY56" s="144">
        <f>MAX(AM73:AM74,AM94)</f>
        <v>813725.03051094688</v>
      </c>
      <c r="AZ56" s="83"/>
      <c r="BA56" s="83"/>
      <c r="BB56" s="83"/>
      <c r="BC56" s="83"/>
      <c r="BD56" s="83"/>
      <c r="BE56" s="8">
        <f t="shared" si="8"/>
        <v>87.358933056613679</v>
      </c>
      <c r="BF56" s="16">
        <f t="shared" si="30"/>
        <v>7.8034883403582906</v>
      </c>
      <c r="BG56" s="16"/>
      <c r="BH56" s="189"/>
      <c r="BI56" s="6">
        <f t="shared" si="0"/>
        <v>7.9073434048914759E-2</v>
      </c>
      <c r="BJ56" s="151">
        <f t="shared" si="9"/>
        <v>32.756483263331106</v>
      </c>
      <c r="BK56" s="175">
        <f t="shared" si="10"/>
        <v>6.3843312830655554</v>
      </c>
      <c r="BL56" s="134">
        <f t="shared" si="11"/>
        <v>0.80511541447588597</v>
      </c>
      <c r="BM56" s="119">
        <f t="shared" si="12"/>
        <v>2.4070585159499776E-2</v>
      </c>
      <c r="BN56">
        <f t="shared" si="13"/>
        <v>6</v>
      </c>
      <c r="BO56" s="124">
        <f t="shared" si="14"/>
        <v>9.166666666666666E-2</v>
      </c>
      <c r="BP56">
        <f>_xlfn.RANK.AVG(BK56,(BK$51:BK$60,BK$86:BK$88),1)</f>
        <v>2</v>
      </c>
      <c r="BQ56" s="124">
        <f t="shared" si="28"/>
        <v>0.11538461538461539</v>
      </c>
      <c r="BR56" s="14">
        <f t="shared" si="15"/>
        <v>0</v>
      </c>
      <c r="BS56" s="21" t="s">
        <v>39</v>
      </c>
      <c r="BT56" s="144">
        <f>COUNT(BK73:BK74,BK94)</f>
        <v>3</v>
      </c>
      <c r="BU56" s="144">
        <f>MIN(BK73:BK74,BK94)</f>
        <v>289.22454605746543</v>
      </c>
      <c r="BV56" s="144">
        <f>AVERAGE(BK73:BK74,BK94)</f>
        <v>22085.163621029464</v>
      </c>
      <c r="BW56" s="144">
        <f>MAX(BK73:BK74,BK94)</f>
        <v>65416.510909215525</v>
      </c>
      <c r="BX56" s="83"/>
      <c r="BY56" s="83"/>
      <c r="BZ56" s="83"/>
      <c r="CA56" s="83"/>
      <c r="CB56" s="83"/>
      <c r="CC56" s="151"/>
      <c r="CD56" s="175">
        <f t="shared" si="16"/>
        <v>209.12824082129808</v>
      </c>
      <c r="CE56" s="134">
        <f t="shared" si="17"/>
        <v>2.3204126842030912</v>
      </c>
      <c r="CF56" s="119">
        <f t="shared" si="18"/>
        <v>2.4070585159499776E-2</v>
      </c>
      <c r="CG56">
        <f t="shared" si="19"/>
        <v>7</v>
      </c>
      <c r="CH56" s="124">
        <f t="shared" si="20"/>
        <v>0.10833333333333334</v>
      </c>
      <c r="CI56">
        <f>_xlfn.RANK.AVG(CD56,(CD$51:CD$60,CD$86:CD$88),1)</f>
        <v>3</v>
      </c>
      <c r="CJ56" s="124">
        <f t="shared" si="20"/>
        <v>0.19230769230769232</v>
      </c>
      <c r="CK56" s="14">
        <f t="shared" si="21"/>
        <v>2</v>
      </c>
      <c r="CL56" s="21" t="s">
        <v>39</v>
      </c>
      <c r="CM56" s="151">
        <f>AVERAGE($P73:$P74,$P94)</f>
        <v>3.15</v>
      </c>
      <c r="CN56" s="151">
        <f>AVERAGE($N73:$N74,$N94)</f>
        <v>106.18666499232586</v>
      </c>
      <c r="CO56" s="154">
        <f>AVERAGE($AF73:$AF74,$AF94)</f>
        <v>4.6440572321643774E-5</v>
      </c>
      <c r="CP56" s="144">
        <f>COUNT($CD73:$CD74,$CD94)</f>
        <v>3</v>
      </c>
      <c r="CQ56" s="83">
        <f>PERCENTILE(($CD73:$CD74,$CD94),0)</f>
        <v>2500</v>
      </c>
      <c r="CR56" s="83">
        <f>PERCENTILE(($CD73:$CD74,$CD94),0.1)</f>
        <v>4417</v>
      </c>
      <c r="CS56" s="83">
        <f>PERCENTILE(($CD73:$CD74,$CD94),0.5)</f>
        <v>12085</v>
      </c>
      <c r="CT56" s="83">
        <f>PERCENTILE(($CD73:$CD74,$CD94),0.9)</f>
        <v>682416.99999999988</v>
      </c>
      <c r="CU56" s="144">
        <f>COUNT($CD73:$CD74,$CD94)</f>
        <v>3</v>
      </c>
      <c r="CV56" s="83">
        <f>PERCENTILE(($CD73:$CD74,$CD94),0)</f>
        <v>2500</v>
      </c>
      <c r="CW56" s="83">
        <f>PERCENTILE(($CD73:$CD74,$CD94),0.1)</f>
        <v>4417</v>
      </c>
      <c r="CX56" s="83">
        <f>PERCENTILE(($CD73:$CD74,$CD94),0.5)</f>
        <v>12085</v>
      </c>
      <c r="CY56" s="86">
        <f>PERCENTILE(($CD73:$CD74,$CD94),0.9)</f>
        <v>682416.99999999988</v>
      </c>
      <c r="CZ56" s="8"/>
      <c r="DA56" s="83"/>
      <c r="DB56" s="83"/>
      <c r="DC56" s="83"/>
      <c r="DD56" s="86"/>
      <c r="DE56" s="144">
        <f t="shared" si="29"/>
        <v>3</v>
      </c>
      <c r="DF56" s="9"/>
    </row>
    <row r="57" spans="1:110" x14ac:dyDescent="0.2">
      <c r="A57" s="8">
        <v>8</v>
      </c>
      <c r="B57" t="s">
        <v>143</v>
      </c>
      <c r="C57">
        <v>1</v>
      </c>
      <c r="D57" s="23" t="s">
        <v>11</v>
      </c>
      <c r="E57" t="s">
        <v>10</v>
      </c>
      <c r="F57" s="6">
        <v>56</v>
      </c>
      <c r="G57" s="28" t="s">
        <v>33</v>
      </c>
      <c r="H57" s="1">
        <v>9</v>
      </c>
      <c r="I57" s="11">
        <v>403</v>
      </c>
      <c r="J57" t="s">
        <v>12</v>
      </c>
      <c r="K57" s="6" t="s">
        <v>153</v>
      </c>
      <c r="L57" s="1">
        <v>10</v>
      </c>
      <c r="M57" s="6">
        <v>40</v>
      </c>
      <c r="N57" s="1">
        <v>165.80749949115744</v>
      </c>
      <c r="O57" s="18">
        <v>118882.50367033854</v>
      </c>
      <c r="P57" s="30">
        <v>3.4</v>
      </c>
      <c r="Q57" s="1"/>
      <c r="R57" s="1"/>
      <c r="S57" s="1"/>
      <c r="T57" s="1"/>
      <c r="U57" s="1"/>
      <c r="V57">
        <v>11.5</v>
      </c>
      <c r="W57" s="238">
        <f t="shared" si="22"/>
        <v>-12.660107995177276</v>
      </c>
      <c r="X57" s="118">
        <f t="shared" si="23"/>
        <v>1.889756062638462E-8</v>
      </c>
      <c r="Y57" s="1"/>
      <c r="Z57" s="1"/>
      <c r="AA57" s="1"/>
      <c r="AB57" s="1"/>
      <c r="AC57" s="197"/>
      <c r="AD57" s="244">
        <f>'Lohman 2011'!AD57</f>
        <v>2.6992668676849045</v>
      </c>
      <c r="AE57" s="96">
        <f t="shared" si="24"/>
        <v>500.34189339873814</v>
      </c>
      <c r="AF57" s="98">
        <f t="shared" si="25"/>
        <v>9.4552412644227248E-6</v>
      </c>
      <c r="AG57" s="22">
        <v>2861.5714285714284</v>
      </c>
      <c r="AH57" s="32">
        <v>7.7866666666666662</v>
      </c>
      <c r="AI57" s="162">
        <v>0.05</v>
      </c>
      <c r="AJ57" s="167">
        <f t="shared" si="1"/>
        <v>681.70441553342539</v>
      </c>
      <c r="AK57" s="168">
        <f t="shared" si="2"/>
        <v>0.61704862063279664</v>
      </c>
      <c r="AL57" s="151">
        <f t="shared" si="26"/>
        <v>4.1976718404152971</v>
      </c>
      <c r="AM57" s="175">
        <f t="shared" si="27"/>
        <v>87.547656104463883</v>
      </c>
      <c r="AN57" s="134">
        <f t="shared" si="3"/>
        <v>1.9422445232975467</v>
      </c>
      <c r="AO57" s="119">
        <f t="shared" si="4"/>
        <v>2.4070585159499776E-2</v>
      </c>
      <c r="AP57">
        <f t="shared" si="5"/>
        <v>10</v>
      </c>
      <c r="AQ57" s="124">
        <f t="shared" si="6"/>
        <v>0.15833333333333333</v>
      </c>
      <c r="AR57">
        <f>_xlfn.RANK.AVG(AM57,(AM$51:AM$60,AM$86:AM$88),1)</f>
        <v>4</v>
      </c>
      <c r="AS57" s="124">
        <f t="shared" si="6"/>
        <v>0.26923076923076922</v>
      </c>
      <c r="AT57" s="14">
        <f t="shared" si="7"/>
        <v>0</v>
      </c>
      <c r="AU57" s="8" t="s">
        <v>37</v>
      </c>
      <c r="AV57" s="144">
        <f>COUNT(AM183:AM184)</f>
        <v>0</v>
      </c>
      <c r="AW57" s="144">
        <f>MIN(AM183:AM184)</f>
        <v>0</v>
      </c>
      <c r="AX57" s="144" t="e">
        <f>AVERAGE(AM183:AM184)</f>
        <v>#DIV/0!</v>
      </c>
      <c r="AY57" s="144">
        <f>MAX(AM183:AM184)</f>
        <v>0</v>
      </c>
      <c r="AZ57" s="83"/>
      <c r="BA57" s="83"/>
      <c r="BB57" s="83"/>
      <c r="BC57" s="83"/>
      <c r="BD57" s="83"/>
      <c r="BE57" s="8">
        <f t="shared" si="8"/>
        <v>87.358933056613679</v>
      </c>
      <c r="BF57" s="16">
        <f t="shared" si="30"/>
        <v>7.8034883403582906</v>
      </c>
      <c r="BG57" s="16"/>
      <c r="BH57" s="189"/>
      <c r="BI57" s="6">
        <f t="shared" si="0"/>
        <v>7.9073434048914759E-2</v>
      </c>
      <c r="BJ57" s="151">
        <f t="shared" si="9"/>
        <v>32.756483263331106</v>
      </c>
      <c r="BK57" s="175">
        <f t="shared" si="10"/>
        <v>11.219041060352785</v>
      </c>
      <c r="BL57" s="134">
        <f t="shared" si="11"/>
        <v>1.0499557374909836</v>
      </c>
      <c r="BM57" s="119">
        <f t="shared" si="12"/>
        <v>2.4070585159499776E-2</v>
      </c>
      <c r="BN57">
        <f t="shared" si="13"/>
        <v>8</v>
      </c>
      <c r="BO57" s="124">
        <f t="shared" si="14"/>
        <v>0.125</v>
      </c>
      <c r="BP57">
        <f>_xlfn.RANK.AVG(BK57,(BK$51:BK$60,BK$86:BK$88),1)</f>
        <v>4</v>
      </c>
      <c r="BQ57" s="124">
        <f t="shared" si="28"/>
        <v>0.26923076923076922</v>
      </c>
      <c r="BR57" s="14">
        <f t="shared" si="15"/>
        <v>0</v>
      </c>
      <c r="BS57" s="8" t="s">
        <v>37</v>
      </c>
      <c r="BT57" s="144">
        <f>COUNT(BK183:BK184)</f>
        <v>0</v>
      </c>
      <c r="BU57" s="144"/>
      <c r="BV57" s="144"/>
      <c r="BW57" s="144"/>
      <c r="BX57" s="83"/>
      <c r="BY57" s="83"/>
      <c r="BZ57" s="83"/>
      <c r="CA57" s="83"/>
      <c r="CB57" s="83"/>
      <c r="CC57" s="151"/>
      <c r="CD57" s="175">
        <f t="shared" si="16"/>
        <v>367.49633072407045</v>
      </c>
      <c r="CE57" s="134">
        <f t="shared" si="17"/>
        <v>2.5652530072181889</v>
      </c>
      <c r="CF57" s="119">
        <f t="shared" si="18"/>
        <v>2.4070585159499776E-2</v>
      </c>
      <c r="CG57">
        <f t="shared" si="19"/>
        <v>11</v>
      </c>
      <c r="CH57" s="124">
        <f t="shared" si="20"/>
        <v>0.17499999999999999</v>
      </c>
      <c r="CI57">
        <f>_xlfn.RANK.AVG(CD57,(CD$51:CD$60,CD$86:CD$88),1)</f>
        <v>6</v>
      </c>
      <c r="CJ57" s="124">
        <f t="shared" si="20"/>
        <v>0.42307692307692307</v>
      </c>
      <c r="CK57" s="14">
        <f t="shared" si="21"/>
        <v>2</v>
      </c>
      <c r="CL57" s="8" t="s">
        <v>37</v>
      </c>
      <c r="CM57" s="151">
        <f>AVERAGE($P183:$P184)</f>
        <v>5.8650000000000002</v>
      </c>
      <c r="CN57" s="151">
        <f>AVERAGE($N183:$N184)</f>
        <v>150</v>
      </c>
      <c r="CO57" s="154">
        <f>AVERAGE($AF74:$AF75,$AF95)</f>
        <v>4.6486428877018679E-5</v>
      </c>
      <c r="CP57" s="144">
        <f>COUNT($CD183:$CD184)</f>
        <v>0</v>
      </c>
      <c r="CQ57" s="83"/>
      <c r="CR57" s="83"/>
      <c r="CS57" s="83"/>
      <c r="CT57" s="83"/>
      <c r="CU57" s="144">
        <f>COUNT($CD183:$CD184)</f>
        <v>0</v>
      </c>
      <c r="CV57" s="83"/>
      <c r="CW57" s="83"/>
      <c r="CX57" s="83"/>
      <c r="CY57" s="86"/>
      <c r="CZ57" s="8"/>
      <c r="DA57" s="83"/>
      <c r="DB57" s="83"/>
      <c r="DC57" s="83"/>
      <c r="DD57" s="86"/>
      <c r="DE57" s="144">
        <f t="shared" si="29"/>
        <v>0</v>
      </c>
      <c r="DF57" s="9"/>
    </row>
    <row r="58" spans="1:110" x14ac:dyDescent="0.2">
      <c r="A58" s="8">
        <v>7</v>
      </c>
      <c r="B58" t="s">
        <v>143</v>
      </c>
      <c r="C58">
        <v>1</v>
      </c>
      <c r="D58" s="23" t="s">
        <v>11</v>
      </c>
      <c r="E58" t="s">
        <v>10</v>
      </c>
      <c r="F58" s="6">
        <v>54</v>
      </c>
      <c r="G58" s="28" t="s">
        <v>33</v>
      </c>
      <c r="H58" s="1">
        <v>9</v>
      </c>
      <c r="I58" s="11">
        <v>403</v>
      </c>
      <c r="J58" t="s">
        <v>12</v>
      </c>
      <c r="K58" s="6" t="s">
        <v>153</v>
      </c>
      <c r="L58" s="1">
        <v>10</v>
      </c>
      <c r="M58" s="6">
        <v>40</v>
      </c>
      <c r="N58" s="1">
        <v>165.80749949115744</v>
      </c>
      <c r="O58" s="18">
        <v>118882.50367033854</v>
      </c>
      <c r="P58" s="30">
        <v>3.4</v>
      </c>
      <c r="Q58" s="1"/>
      <c r="R58" s="1"/>
      <c r="S58" s="1"/>
      <c r="T58" s="1"/>
      <c r="U58" s="1"/>
      <c r="V58">
        <v>11.5</v>
      </c>
      <c r="W58" s="238">
        <f t="shared" si="22"/>
        <v>-12.660107995177276</v>
      </c>
      <c r="X58" s="118">
        <f t="shared" si="23"/>
        <v>1.889756062638462E-8</v>
      </c>
      <c r="Y58" s="1"/>
      <c r="Z58" s="1"/>
      <c r="AA58" s="1"/>
      <c r="AB58" s="1"/>
      <c r="AC58" s="197"/>
      <c r="AD58" s="244">
        <f>'Lohman 2011'!AD58</f>
        <v>2.6992668676849045</v>
      </c>
      <c r="AE58" s="96">
        <f t="shared" si="24"/>
        <v>500.34189339873814</v>
      </c>
      <c r="AF58" s="98">
        <f t="shared" si="25"/>
        <v>9.4552412644227248E-6</v>
      </c>
      <c r="AG58" s="22">
        <v>2861.5714285714284</v>
      </c>
      <c r="AH58" s="32">
        <v>0.51249999999999996</v>
      </c>
      <c r="AI58" s="162">
        <v>0.05</v>
      </c>
      <c r="AJ58" s="167">
        <f t="shared" si="1"/>
        <v>681.70441553342539</v>
      </c>
      <c r="AK58" s="168">
        <f t="shared" si="2"/>
        <v>0.61704862063279664</v>
      </c>
      <c r="AL58" s="151">
        <f t="shared" si="26"/>
        <v>4.1976718404152971</v>
      </c>
      <c r="AM58" s="175">
        <f t="shared" si="27"/>
        <v>1330.1549571383912</v>
      </c>
      <c r="AN58" s="134">
        <f t="shared" si="3"/>
        <v>3.1239022372904541</v>
      </c>
      <c r="AO58" s="119">
        <f t="shared" si="4"/>
        <v>2.4070585159499776E-2</v>
      </c>
      <c r="AP58">
        <f t="shared" si="5"/>
        <v>25</v>
      </c>
      <c r="AQ58" s="124">
        <f t="shared" si="6"/>
        <v>0.40833333333333333</v>
      </c>
      <c r="AR58">
        <f>_xlfn.RANK.AVG(AM58,(AM$51:AM$60,AM$86:AM$88),1)</f>
        <v>10</v>
      </c>
      <c r="AS58" s="124">
        <f t="shared" si="6"/>
        <v>0.73076923076923073</v>
      </c>
      <c r="AT58" s="14">
        <f t="shared" si="7"/>
        <v>0</v>
      </c>
      <c r="AU58" s="21" t="s">
        <v>35</v>
      </c>
      <c r="AV58" s="144">
        <f>COUNT(AM75:AM76,AM95:AM106)</f>
        <v>14</v>
      </c>
      <c r="AW58" s="144">
        <f>MIN(AM75:AM76,AM95:AM106)</f>
        <v>581.78747305654861</v>
      </c>
      <c r="AX58" s="144">
        <f>AVERAGE(AM75:AM76,AM95:AM106)</f>
        <v>78621.439366956663</v>
      </c>
      <c r="AY58" s="144">
        <f>MAX(AM75:AM76,AM95:AM106)</f>
        <v>527955.24522349262</v>
      </c>
      <c r="AZ58" s="83"/>
      <c r="BA58" s="83"/>
      <c r="BB58" s="83"/>
      <c r="BC58" s="83"/>
      <c r="BD58" s="83"/>
      <c r="BE58" s="8">
        <f t="shared" si="8"/>
        <v>87.358933056613679</v>
      </c>
      <c r="BF58" s="16">
        <f t="shared" si="30"/>
        <v>7.8034883403582906</v>
      </c>
      <c r="BG58" s="16"/>
      <c r="BH58" s="189"/>
      <c r="BI58" s="6">
        <f t="shared" si="0"/>
        <v>7.9073434048914759E-2</v>
      </c>
      <c r="BJ58" s="151">
        <f t="shared" si="9"/>
        <v>32.756483263331106</v>
      </c>
      <c r="BK58" s="175">
        <f t="shared" si="10"/>
        <v>170.45645474461207</v>
      </c>
      <c r="BL58" s="134">
        <f t="shared" si="11"/>
        <v>2.231613451483891</v>
      </c>
      <c r="BM58" s="119">
        <f t="shared" si="12"/>
        <v>2.4070585159499776E-2</v>
      </c>
      <c r="BN58">
        <f t="shared" si="13"/>
        <v>20</v>
      </c>
      <c r="BO58" s="124">
        <f t="shared" si="14"/>
        <v>0.32500000000000001</v>
      </c>
      <c r="BP58">
        <f>_xlfn.RANK.AVG(BK58,(BK$51:BK$60,BK$86:BK$88),1)</f>
        <v>10</v>
      </c>
      <c r="BQ58" s="124">
        <f t="shared" si="28"/>
        <v>0.73076923076923073</v>
      </c>
      <c r="BR58" s="14">
        <f t="shared" si="15"/>
        <v>0</v>
      </c>
      <c r="BS58" s="21" t="s">
        <v>35</v>
      </c>
      <c r="BT58" s="144">
        <f>COUNT(BK75:BK76,BK95:BK106)</f>
        <v>14</v>
      </c>
      <c r="BU58" s="144">
        <f>MIN(BK75:BK76,BK95:BK106)</f>
        <v>26.567780751218518</v>
      </c>
      <c r="BV58" s="144">
        <f>AVERAGE(BK75:BK76,BK95:BK106)</f>
        <v>5570.1842652220566</v>
      </c>
      <c r="BW58" s="144">
        <f>MAX(BK75:BK76,BK95:BK106)</f>
        <v>37386.768740922664</v>
      </c>
      <c r="BX58" s="83"/>
      <c r="BY58" s="83"/>
      <c r="BZ58" s="83"/>
      <c r="CA58" s="83"/>
      <c r="CB58" s="83"/>
      <c r="CC58" s="151"/>
      <c r="CD58" s="175">
        <f t="shared" si="16"/>
        <v>5583.5540069686413</v>
      </c>
      <c r="CE58" s="134">
        <f t="shared" si="17"/>
        <v>3.7469107212110964</v>
      </c>
      <c r="CF58" s="119">
        <f t="shared" si="18"/>
        <v>2.4070585159499776E-2</v>
      </c>
      <c r="CG58">
        <f t="shared" si="19"/>
        <v>27</v>
      </c>
      <c r="CH58" s="124">
        <f t="shared" si="20"/>
        <v>0.44166666666666665</v>
      </c>
      <c r="CI58">
        <f>_xlfn.RANK.AVG(CD58,(CD$51:CD$60,CD$86:CD$88),1)</f>
        <v>10</v>
      </c>
      <c r="CJ58" s="124">
        <f t="shared" si="20"/>
        <v>0.73076923076923073</v>
      </c>
      <c r="CK58" s="14">
        <f t="shared" si="21"/>
        <v>2</v>
      </c>
      <c r="CL58" s="21" t="s">
        <v>35</v>
      </c>
      <c r="CM58" s="151">
        <f>AVERAGE($P75:$P76,$P95:$P106)</f>
        <v>3.2999999999999994</v>
      </c>
      <c r="CN58" s="151">
        <f>AVERAGE($N75:$N76,$N95:$N106)</f>
        <v>128.19000000000003</v>
      </c>
      <c r="CO58" s="154">
        <f>AVERAGE($AF75:$AF76,$AF95:$AF106)</f>
        <v>3.9913589757593363E-5</v>
      </c>
      <c r="CP58" s="144">
        <f>COUNT($CD75:$CD76,$CD95:$CD106)</f>
        <v>14</v>
      </c>
      <c r="CQ58" s="83">
        <f>PERCENTILE(($CD75:$CD76,$CD95:$CD106),0)</f>
        <v>260</v>
      </c>
      <c r="CR58" s="83">
        <f>PERCENTILE(($CD75:$CD76,$CD95:$CD106),0.1)</f>
        <v>2297.1499999999996</v>
      </c>
      <c r="CS58" s="83">
        <f>PERCENTILE(($CD75:$CD76,$CD95:$CD106),0.5)</f>
        <v>6825</v>
      </c>
      <c r="CT58" s="83">
        <f>PERCENTILE(($CD75:$CD76,$CD95:$CD106),0.9)</f>
        <v>286000.00000000023</v>
      </c>
      <c r="CU58" s="144">
        <f>COUNT($CD75:$CD76,$CD95:$CD106)</f>
        <v>14</v>
      </c>
      <c r="CV58" s="83">
        <f>PERCENTILE(($CD75:$CD76,$CD95:$CD106),0)</f>
        <v>260</v>
      </c>
      <c r="CW58" s="83">
        <f>PERCENTILE(($CD75:$CD76,$CD95:$CD106),0.1)</f>
        <v>2297.1499999999996</v>
      </c>
      <c r="CX58" s="83">
        <f>PERCENTILE(($CD75:$CD76,$CD95:$CD106),0.5)</f>
        <v>6825</v>
      </c>
      <c r="CY58" s="86">
        <f>PERCENTILE(($CD75:$CD76,$CD95:$CD106),0.9)</f>
        <v>286000.00000000023</v>
      </c>
      <c r="CZ58" s="8"/>
      <c r="DA58" s="83"/>
      <c r="DB58" s="83"/>
      <c r="DC58" s="83"/>
      <c r="DD58" s="86"/>
      <c r="DE58" s="144">
        <f t="shared" si="29"/>
        <v>14</v>
      </c>
      <c r="DF58" s="9"/>
    </row>
    <row r="59" spans="1:110" x14ac:dyDescent="0.2">
      <c r="A59" s="8">
        <v>9</v>
      </c>
      <c r="B59" t="s">
        <v>143</v>
      </c>
      <c r="C59">
        <v>1</v>
      </c>
      <c r="D59" s="23" t="s">
        <v>11</v>
      </c>
      <c r="E59" t="s">
        <v>10</v>
      </c>
      <c r="F59" s="6" t="s">
        <v>40</v>
      </c>
      <c r="G59" s="28" t="s">
        <v>33</v>
      </c>
      <c r="H59" s="1">
        <v>9</v>
      </c>
      <c r="I59" s="11">
        <v>403</v>
      </c>
      <c r="J59" t="s">
        <v>12</v>
      </c>
      <c r="K59" s="6" t="s">
        <v>153</v>
      </c>
      <c r="L59" s="1">
        <v>10</v>
      </c>
      <c r="M59" s="6">
        <v>40</v>
      </c>
      <c r="N59" s="1">
        <v>165.80749949115744</v>
      </c>
      <c r="O59" s="18">
        <v>118882.50367033854</v>
      </c>
      <c r="P59" s="30">
        <v>3.4</v>
      </c>
      <c r="Q59" s="1"/>
      <c r="R59" s="1"/>
      <c r="S59" s="1"/>
      <c r="T59" s="1"/>
      <c r="U59" s="1"/>
      <c r="V59">
        <v>11.5</v>
      </c>
      <c r="W59" s="238">
        <f t="shared" si="22"/>
        <v>-12.660107995177276</v>
      </c>
      <c r="X59" s="118">
        <f t="shared" si="23"/>
        <v>1.889756062638462E-8</v>
      </c>
      <c r="Y59" s="1"/>
      <c r="Z59" s="1"/>
      <c r="AA59" s="1"/>
      <c r="AB59" s="1"/>
      <c r="AC59" s="197"/>
      <c r="AD59" s="244">
        <f>'Lohman 2011'!AD59</f>
        <v>2.6992668676849045</v>
      </c>
      <c r="AE59" s="96">
        <f t="shared" si="24"/>
        <v>500.34189339873814</v>
      </c>
      <c r="AF59" s="98">
        <f t="shared" si="25"/>
        <v>9.4552412644227248E-6</v>
      </c>
      <c r="AG59" s="22">
        <v>2861.5714285714284</v>
      </c>
      <c r="AH59" s="32">
        <v>0.15</v>
      </c>
      <c r="AI59" s="162">
        <v>0.05</v>
      </c>
      <c r="AJ59" s="167">
        <f t="shared" si="1"/>
        <v>681.70441553342539</v>
      </c>
      <c r="AK59" s="168">
        <f t="shared" si="2"/>
        <v>0.61704862063279664</v>
      </c>
      <c r="AL59" s="151">
        <f t="shared" si="26"/>
        <v>4.1976718404152971</v>
      </c>
      <c r="AM59" s="175">
        <f t="shared" si="27"/>
        <v>4544.6961035561699</v>
      </c>
      <c r="AN59" s="134">
        <f t="shared" si="3"/>
        <v>3.6575048479625649</v>
      </c>
      <c r="AO59" s="119">
        <f t="shared" si="4"/>
        <v>2.4070585159499776E-2</v>
      </c>
      <c r="AP59">
        <f t="shared" si="5"/>
        <v>37</v>
      </c>
      <c r="AQ59" s="124">
        <f t="shared" si="6"/>
        <v>0.60833333333333328</v>
      </c>
      <c r="AR59">
        <f>_xlfn.RANK.AVG(AM59,(AM$51:AM$60,AM$86:AM$88),1)</f>
        <v>12</v>
      </c>
      <c r="AS59" s="124">
        <f t="shared" si="6"/>
        <v>0.88461538461538458</v>
      </c>
      <c r="AT59" s="14">
        <f t="shared" si="7"/>
        <v>0</v>
      </c>
      <c r="AU59" s="9" t="s">
        <v>135</v>
      </c>
      <c r="AV59" s="144">
        <f>COUNT(AM88)</f>
        <v>1</v>
      </c>
      <c r="AW59" s="144">
        <f>MIN(AM88)</f>
        <v>652.37271930221084</v>
      </c>
      <c r="AX59" s="144">
        <f>AVERAGE(AM88)</f>
        <v>652.37271930221084</v>
      </c>
      <c r="AY59" s="144">
        <f>MAX(AM88)</f>
        <v>652.37271930221084</v>
      </c>
      <c r="AZ59" s="83"/>
      <c r="BA59" s="83"/>
      <c r="BB59" s="83"/>
      <c r="BC59" s="83"/>
      <c r="BD59" s="83"/>
      <c r="BE59" s="8">
        <f t="shared" si="8"/>
        <v>87.358933056613679</v>
      </c>
      <c r="BF59" s="16">
        <f t="shared" si="30"/>
        <v>7.8034883403582906</v>
      </c>
      <c r="BG59" s="16"/>
      <c r="BH59" s="189"/>
      <c r="BI59" s="6">
        <f t="shared" si="0"/>
        <v>7.9073434048914759E-2</v>
      </c>
      <c r="BJ59" s="151">
        <f t="shared" si="9"/>
        <v>32.756483263331106</v>
      </c>
      <c r="BK59" s="175">
        <f t="shared" si="10"/>
        <v>582.39288704409125</v>
      </c>
      <c r="BL59" s="134">
        <f t="shared" si="11"/>
        <v>2.7652160621560018</v>
      </c>
      <c r="BM59" s="119">
        <f t="shared" si="12"/>
        <v>2.4070585159499776E-2</v>
      </c>
      <c r="BN59">
        <f t="shared" si="13"/>
        <v>29</v>
      </c>
      <c r="BO59" s="124">
        <f t="shared" si="14"/>
        <v>0.47499999999999998</v>
      </c>
      <c r="BP59">
        <f>_xlfn.RANK.AVG(BK59,(BK$51:BK$60,BK$86:BK$88),1)</f>
        <v>12</v>
      </c>
      <c r="BQ59" s="124">
        <f t="shared" si="28"/>
        <v>0.88461538461538458</v>
      </c>
      <c r="BR59" s="14">
        <f t="shared" si="15"/>
        <v>0</v>
      </c>
      <c r="BS59" s="9" t="s">
        <v>135</v>
      </c>
      <c r="BT59" s="144">
        <f>COUNT(BK88)</f>
        <v>1</v>
      </c>
      <c r="BU59" s="144">
        <f>MIN(BK88)</f>
        <v>8.3722869401748721</v>
      </c>
      <c r="BV59" s="144">
        <f>AVERAGE(BK88)</f>
        <v>8.3722869401748721</v>
      </c>
      <c r="BW59" s="144">
        <f>MAX(BK88)</f>
        <v>8.3722869401748721</v>
      </c>
      <c r="BX59" s="83"/>
      <c r="BY59" s="83"/>
      <c r="BZ59" s="83"/>
      <c r="CA59" s="83"/>
      <c r="CB59" s="83"/>
      <c r="CC59" s="151"/>
      <c r="CD59" s="175">
        <f t="shared" si="16"/>
        <v>19077.142857142859</v>
      </c>
      <c r="CE59" s="134">
        <f t="shared" si="17"/>
        <v>4.2805133318832072</v>
      </c>
      <c r="CF59" s="119">
        <f t="shared" si="18"/>
        <v>2.4070585159499776E-2</v>
      </c>
      <c r="CG59">
        <f t="shared" si="19"/>
        <v>37</v>
      </c>
      <c r="CH59" s="124">
        <f t="shared" si="20"/>
        <v>0.60833333333333328</v>
      </c>
      <c r="CI59">
        <f>_xlfn.RANK.AVG(CD59,(CD$51:CD$60,CD$86:CD$88),1)</f>
        <v>12</v>
      </c>
      <c r="CJ59" s="124">
        <f t="shared" si="20"/>
        <v>0.88461538461538458</v>
      </c>
      <c r="CK59" s="14">
        <f t="shared" si="21"/>
        <v>2</v>
      </c>
      <c r="CL59" s="9" t="s">
        <v>135</v>
      </c>
      <c r="CM59" s="151">
        <f>AVERAGE($P88)</f>
        <v>4.47</v>
      </c>
      <c r="CN59" s="151">
        <f>AVERAGE($N88)</f>
        <v>178.21</v>
      </c>
      <c r="CO59" s="154">
        <f>AVERAGE($AF88)</f>
        <v>2.7415771654346212E-4</v>
      </c>
      <c r="CP59" s="144">
        <f>COUNT($CD88)</f>
        <v>1</v>
      </c>
      <c r="CQ59" s="83">
        <f>PERCENTILE(($CD88),0)</f>
        <v>94.444444444444443</v>
      </c>
      <c r="CR59" s="83">
        <f>PERCENTILE(($CD88),0.1)</f>
        <v>94.444444444444443</v>
      </c>
      <c r="CS59" s="83">
        <f>PERCENTILE(($CD88),0.5)</f>
        <v>94.444444444444443</v>
      </c>
      <c r="CT59" s="83">
        <f>PERCENTILE(($CD88),0.9)</f>
        <v>94.444444444444443</v>
      </c>
      <c r="CU59" s="144"/>
      <c r="CV59" s="83"/>
      <c r="CW59" s="83"/>
      <c r="CX59" s="83"/>
      <c r="CY59" s="86"/>
      <c r="CZ59" s="8">
        <f>COUNT($CD88)</f>
        <v>1</v>
      </c>
      <c r="DA59" s="83">
        <f>PERCENTILE($CD88,0.9)</f>
        <v>94.444444444444443</v>
      </c>
      <c r="DB59" s="83">
        <f>PERCENTILE($CD88,0.9)</f>
        <v>94.444444444444443</v>
      </c>
      <c r="DC59" s="83">
        <f>PERCENTILE($CD88,0.9)</f>
        <v>94.444444444444443</v>
      </c>
      <c r="DD59" s="86">
        <f>PERCENTILE($CD88,0.9)</f>
        <v>94.444444444444443</v>
      </c>
      <c r="DE59" s="144">
        <f t="shared" si="29"/>
        <v>1</v>
      </c>
      <c r="DF59" s="86">
        <f>MIN(DA59,CY59)</f>
        <v>94.444444444444443</v>
      </c>
    </row>
    <row r="60" spans="1:110" x14ac:dyDescent="0.2">
      <c r="A60" s="21" t="s">
        <v>43</v>
      </c>
      <c r="B60" t="s">
        <v>143</v>
      </c>
      <c r="C60">
        <v>3</v>
      </c>
      <c r="D60" t="s">
        <v>17</v>
      </c>
      <c r="E60" t="s">
        <v>16</v>
      </c>
      <c r="F60" s="9">
        <v>11</v>
      </c>
      <c r="G60" s="26" t="s">
        <v>15</v>
      </c>
      <c r="H60" s="1">
        <v>18</v>
      </c>
      <c r="I60" s="11">
        <v>405</v>
      </c>
      <c r="J60" t="s">
        <v>19</v>
      </c>
      <c r="K60" s="6" t="s">
        <v>182</v>
      </c>
      <c r="L60" s="1">
        <v>1</v>
      </c>
      <c r="M60" s="6">
        <v>500</v>
      </c>
      <c r="N60" s="1">
        <v>131.4</v>
      </c>
      <c r="O60" s="18">
        <v>1164844.1611748487</v>
      </c>
      <c r="P60" s="30">
        <v>2.61</v>
      </c>
      <c r="Q60" s="1"/>
      <c r="R60" s="1"/>
      <c r="S60" s="1"/>
      <c r="T60" s="1"/>
      <c r="U60" s="1"/>
      <c r="V60">
        <v>11.5</v>
      </c>
      <c r="W60" s="238">
        <f t="shared" si="22"/>
        <v>-11.952662255099604</v>
      </c>
      <c r="X60" s="118">
        <f t="shared" si="23"/>
        <v>9.6349948615907179E-8</v>
      </c>
      <c r="Y60" s="1"/>
      <c r="Z60" s="1"/>
      <c r="AA60" s="1"/>
      <c r="AB60" s="1"/>
      <c r="AC60" s="197"/>
      <c r="AD60" s="244">
        <f>'Lohman 2011'!AD60</f>
        <v>2.2609036075622857</v>
      </c>
      <c r="AE60" s="96">
        <f t="shared" si="24"/>
        <v>182.34909303250424</v>
      </c>
      <c r="AF60" s="98">
        <f t="shared" si="25"/>
        <v>1.7569325743839062E-5</v>
      </c>
      <c r="AG60" s="24">
        <v>28</v>
      </c>
      <c r="AH60" s="32">
        <f>AVERAGE(AH165:AH171)</f>
        <v>0.12642857142857145</v>
      </c>
      <c r="AI60" s="162">
        <v>0.05</v>
      </c>
      <c r="AJ60" s="167">
        <f t="shared" si="1"/>
        <v>12.394586062673056</v>
      </c>
      <c r="AK60" s="168">
        <f t="shared" si="2"/>
        <v>1.1219029918270928E-2</v>
      </c>
      <c r="AL60" s="151">
        <f t="shared" si="26"/>
        <v>2.2590508354549623</v>
      </c>
      <c r="AM60" s="175">
        <f t="shared" si="27"/>
        <v>98.036273942046762</v>
      </c>
      <c r="AN60" s="134">
        <f t="shared" si="3"/>
        <v>1.9913867966930607</v>
      </c>
      <c r="AO60" s="119">
        <f t="shared" si="4"/>
        <v>2.4037550200500225E-5</v>
      </c>
      <c r="AP60">
        <f t="shared" si="5"/>
        <v>12</v>
      </c>
      <c r="AQ60" s="124">
        <f t="shared" si="6"/>
        <v>0.19166666666666668</v>
      </c>
      <c r="AR60">
        <f>_xlfn.RANK.AVG(AM60,(AM$51:AM$60,AM$86:AM$88),1)</f>
        <v>6</v>
      </c>
      <c r="AS60" s="124">
        <f t="shared" si="6"/>
        <v>0.42307692307692307</v>
      </c>
      <c r="AT60" s="14">
        <f t="shared" si="7"/>
        <v>0</v>
      </c>
      <c r="AU60" s="21" t="s">
        <v>32</v>
      </c>
      <c r="AV60" s="144">
        <f>COUNT(AM79:AM80)</f>
        <v>2</v>
      </c>
      <c r="AW60" s="144">
        <f>MIN(AM79:AM80)</f>
        <v>23.750257820373399</v>
      </c>
      <c r="AX60" s="144">
        <f>AVERAGE(AM79:AM80)</f>
        <v>85.362324887604515</v>
      </c>
      <c r="AY60" s="144">
        <f>MAX(AM79:AM80)</f>
        <v>146.97439195483562</v>
      </c>
      <c r="AZ60" s="83"/>
      <c r="BA60" s="83"/>
      <c r="BB60" s="83"/>
      <c r="BC60" s="83"/>
      <c r="BD60" s="83"/>
      <c r="BE60" s="8">
        <f t="shared" si="8"/>
        <v>1.8333605377109847</v>
      </c>
      <c r="BF60" s="16">
        <f t="shared" si="30"/>
        <v>6.7605829883019837</v>
      </c>
      <c r="BG60" s="16"/>
      <c r="BH60" s="189"/>
      <c r="BI60" s="6">
        <f t="shared" si="0"/>
        <v>1.6594766956760261E-3</v>
      </c>
      <c r="BJ60" s="151">
        <f t="shared" si="9"/>
        <v>15.272500647886197</v>
      </c>
      <c r="BK60" s="175">
        <f t="shared" si="10"/>
        <v>14.501156795454115</v>
      </c>
      <c r="BL60" s="134">
        <f t="shared" si="11"/>
        <v>1.1614026484310713</v>
      </c>
      <c r="BM60" s="119">
        <f t="shared" si="12"/>
        <v>2.4037550200500225E-5</v>
      </c>
      <c r="BN60">
        <f t="shared" si="13"/>
        <v>10</v>
      </c>
      <c r="BO60" s="124">
        <f t="shared" si="14"/>
        <v>0.15833333333333333</v>
      </c>
      <c r="BP60">
        <f>_xlfn.RANK.AVG(BK60,(BK$51:BK$60,BK$86:BK$88),1)</f>
        <v>6</v>
      </c>
      <c r="BQ60" s="124">
        <f t="shared" si="28"/>
        <v>0.42307692307692307</v>
      </c>
      <c r="BR60" s="14">
        <f t="shared" si="15"/>
        <v>0</v>
      </c>
      <c r="BS60" s="21" t="s">
        <v>32</v>
      </c>
      <c r="BT60" s="144">
        <f>COUNT(BK79:BK80)</f>
        <v>2</v>
      </c>
      <c r="BU60" s="144">
        <f>MIN(BK79:BK80)</f>
        <v>2.2880145608580924</v>
      </c>
      <c r="BV60" s="144">
        <f>AVERAGE(BK79:BK80)</f>
        <v>20.476833920387399</v>
      </c>
      <c r="BW60" s="144">
        <f>MAX(BK79:BK80)</f>
        <v>38.665653279916704</v>
      </c>
      <c r="BX60" s="83"/>
      <c r="BY60" s="83"/>
      <c r="BZ60" s="83"/>
      <c r="CA60" s="83"/>
      <c r="CB60" s="83"/>
      <c r="CC60" s="151"/>
      <c r="CD60" s="175">
        <f t="shared" si="16"/>
        <v>221.46892655367228</v>
      </c>
      <c r="CE60" s="134">
        <f t="shared" si="17"/>
        <v>2.3453128006586503</v>
      </c>
      <c r="CF60" s="119">
        <f t="shared" si="18"/>
        <v>2.4037550200500225E-5</v>
      </c>
      <c r="CG60">
        <f t="shared" si="19"/>
        <v>8</v>
      </c>
      <c r="CH60" s="124">
        <f t="shared" si="20"/>
        <v>0.125</v>
      </c>
      <c r="CI60">
        <f>_xlfn.RANK.AVG(CD60,(CD$51:CD$60,CD$86:CD$88),1)</f>
        <v>4</v>
      </c>
      <c r="CJ60" s="124">
        <f t="shared" si="20"/>
        <v>0.26923076923076922</v>
      </c>
      <c r="CK60" s="14">
        <f t="shared" si="21"/>
        <v>2</v>
      </c>
      <c r="CL60" s="21" t="s">
        <v>32</v>
      </c>
      <c r="CM60" s="151">
        <f>AVERAGE($P79:$P80)</f>
        <v>2.73</v>
      </c>
      <c r="CN60" s="151">
        <f>AVERAGE($N79:$N80)</f>
        <v>92.14249284505685</v>
      </c>
      <c r="CO60" s="154">
        <f>AVERAGE($AF79:$AF80)</f>
        <v>2.4508642156992569E-5</v>
      </c>
      <c r="CP60" s="144">
        <f>COUNT($CD79:$CD80)</f>
        <v>2</v>
      </c>
      <c r="CQ60" s="83">
        <f>PERCENTILE(($CD79:$CD80),0)</f>
        <v>22</v>
      </c>
      <c r="CR60" s="83">
        <f>PERCENTILE(($CD79:$CD80),0.1)</f>
        <v>114.35000000000007</v>
      </c>
      <c r="CS60" s="83">
        <f>PERCENTILE(($CD79:$CD80),0.5)</f>
        <v>483.74999999999994</v>
      </c>
      <c r="CT60" s="83">
        <f>PERCENTILE(($CD79:$CD80),0.9)</f>
        <v>853.14999999999986</v>
      </c>
      <c r="CU60" s="144">
        <f>COUNT($CD79:$CD80)</f>
        <v>2</v>
      </c>
      <c r="CV60" s="83">
        <f>PERCENTILE(($CD79:$CD80),0)</f>
        <v>22</v>
      </c>
      <c r="CW60" s="83">
        <f>PERCENTILE(($CD79:$CD80),0.1)</f>
        <v>114.35000000000007</v>
      </c>
      <c r="CX60" s="83">
        <f>PERCENTILE(($CD79:$CD80),0.5)</f>
        <v>483.74999999999994</v>
      </c>
      <c r="CY60" s="86">
        <f>PERCENTILE(($CD79:$CD80),0.9)</f>
        <v>853.14999999999986</v>
      </c>
      <c r="CZ60" s="8"/>
      <c r="DD60" s="9"/>
      <c r="DE60" s="144">
        <f t="shared" si="29"/>
        <v>2</v>
      </c>
      <c r="DF60" s="9"/>
    </row>
    <row r="61" spans="1:110" x14ac:dyDescent="0.2">
      <c r="A61" s="8"/>
      <c r="D61" s="1"/>
      <c r="E61" s="1"/>
      <c r="F61" s="6"/>
      <c r="G61" s="1"/>
      <c r="I61" s="11"/>
      <c r="K61" s="6"/>
      <c r="M61" s="9"/>
      <c r="O61" s="31"/>
      <c r="X61" s="9"/>
      <c r="AG61" s="10"/>
      <c r="AH61" s="8"/>
      <c r="AJ61" s="167"/>
      <c r="AK61" s="168"/>
      <c r="AL61" s="8"/>
      <c r="AM61" s="176"/>
      <c r="AN61" s="97"/>
      <c r="AO61" s="97"/>
      <c r="AP61"/>
      <c r="AQ61"/>
      <c r="AR61"/>
      <c r="AT61" s="6"/>
      <c r="AU61" s="21" t="s">
        <v>30</v>
      </c>
      <c r="AV61" s="144">
        <f>COUNT(AM81,AM109:AM110)</f>
        <v>3</v>
      </c>
      <c r="AW61" s="144">
        <f>MIN(AM81,AM109:AM110)</f>
        <v>2.769786268870865</v>
      </c>
      <c r="AX61" s="144">
        <f>AVERAGE(AM81,AM109:AM110)</f>
        <v>238.47301880510668</v>
      </c>
      <c r="AY61" s="144">
        <f>MAX(AM81,AM109:AM110)</f>
        <v>679.85662963193954</v>
      </c>
      <c r="BE61" s="167"/>
      <c r="BF61" s="3"/>
      <c r="BG61" s="3"/>
      <c r="BH61" s="3"/>
      <c r="BI61" s="168"/>
      <c r="BJ61" s="8"/>
      <c r="BK61" s="176"/>
      <c r="BL61" s="97"/>
      <c r="BM61" s="97"/>
      <c r="BN61"/>
      <c r="BO61"/>
      <c r="BP61"/>
      <c r="BR61" s="6"/>
      <c r="BS61" s="21" t="s">
        <v>30</v>
      </c>
      <c r="BT61" s="144">
        <f>COUNT(BK81,BK109:BK110)</f>
        <v>3</v>
      </c>
      <c r="BU61" s="144">
        <f>MIN(BK81,BK109:BK110)</f>
        <v>2.58416073363958</v>
      </c>
      <c r="BV61" s="144">
        <f>AVERAGE(BK81,BK109:BK110)</f>
        <v>223.22359983504566</v>
      </c>
      <c r="BW61" s="144">
        <f>MAX(BK81,BK109:BK110)</f>
        <v>634.29399825698783</v>
      </c>
      <c r="CC61" s="8"/>
      <c r="CD61" s="176"/>
      <c r="CE61" s="97"/>
      <c r="CF61" s="97"/>
      <c r="CG61"/>
      <c r="CH61"/>
      <c r="CI61"/>
      <c r="CK61" s="6"/>
      <c r="CL61" s="21" t="s">
        <v>30</v>
      </c>
      <c r="CM61" s="151">
        <f>AVERAGE($P81,$P109:$P110)</f>
        <v>1.5200000000000002</v>
      </c>
      <c r="CN61" s="151">
        <f>AVERAGE($N81,$N109:$N110)</f>
        <v>62.5</v>
      </c>
      <c r="CO61" s="154">
        <f>AVERAGE($AF81,$AF109:$AF110)</f>
        <v>1.556151279649201E-6</v>
      </c>
      <c r="CP61" s="144">
        <f>COUNT($CD81,$CD109:$CD110)</f>
        <v>3</v>
      </c>
      <c r="CQ61" s="83">
        <f>PERCENTILE(($CD81,$CD109:$CD110),0)</f>
        <v>55</v>
      </c>
      <c r="CR61" s="83">
        <f>PERCENTILE(($CD81,$CD109:$CD110),0.1)</f>
        <v>431.99999999999994</v>
      </c>
      <c r="CS61" s="83">
        <f>PERCENTILE(($CD81,$CD109:$CD110),0.5)</f>
        <v>1940</v>
      </c>
      <c r="CT61" s="83">
        <f>PERCENTILE(($CD81,$CD109:$CD110),0.9)</f>
        <v>11187.999999999998</v>
      </c>
      <c r="CU61" s="144">
        <f>COUNT($CD81,$CD109:$CD110)</f>
        <v>3</v>
      </c>
      <c r="CV61" s="83">
        <f>PERCENTILE(($CD81,$CD109:$CD110),0)</f>
        <v>55</v>
      </c>
      <c r="CW61" s="83">
        <f>PERCENTILE(($CD81,$CD109:$CD110),0.1)</f>
        <v>431.99999999999994</v>
      </c>
      <c r="CX61" s="83">
        <f>PERCENTILE(($CD81,$CD109:$CD110),0.5)</f>
        <v>1940</v>
      </c>
      <c r="CY61" s="86">
        <f>PERCENTILE(($CD81,$CD109:$CD110),0.9)</f>
        <v>11187.999999999998</v>
      </c>
      <c r="CZ61" s="8"/>
      <c r="DD61" s="9"/>
      <c r="DE61" s="144">
        <f t="shared" si="29"/>
        <v>3</v>
      </c>
      <c r="DF61" s="9"/>
    </row>
    <row r="62" spans="1:110" x14ac:dyDescent="0.2">
      <c r="A62" s="8"/>
      <c r="F62" s="9"/>
      <c r="I62" s="8"/>
      <c r="K62" s="6"/>
      <c r="M62" s="9"/>
      <c r="X62" s="9"/>
      <c r="AG62" s="10"/>
      <c r="AH62" s="8"/>
      <c r="AJ62" s="167"/>
      <c r="AK62" s="168"/>
      <c r="AL62" s="8"/>
      <c r="AN62" s="97"/>
      <c r="AO62" s="97"/>
      <c r="AP62"/>
      <c r="AQ62"/>
      <c r="AR62"/>
      <c r="AT62" s="6"/>
      <c r="AU62" s="5" t="s">
        <v>24</v>
      </c>
      <c r="AV62" s="145">
        <f>COUNT(AM82:AM83,AM111:AM117)</f>
        <v>9</v>
      </c>
      <c r="AW62" s="145">
        <f>MIN(AM82:AM83,AM111:AM117)</f>
        <v>10691.624626572964</v>
      </c>
      <c r="AX62" s="145">
        <f>AVERAGE(AM82:AM83,AM111:AM117)</f>
        <v>100231.54689504311</v>
      </c>
      <c r="AY62" s="145">
        <f>MAX(AM82:AM83,AM111:AM117)</f>
        <v>485982.93757149833</v>
      </c>
      <c r="BE62" s="167"/>
      <c r="BF62" s="3"/>
      <c r="BG62" s="3"/>
      <c r="BH62" s="3"/>
      <c r="BI62" s="168"/>
      <c r="BJ62" s="8"/>
      <c r="BL62" s="97"/>
      <c r="BM62" s="97"/>
      <c r="BN62"/>
      <c r="BO62"/>
      <c r="BP62"/>
      <c r="BR62" s="6"/>
      <c r="BS62" s="5" t="s">
        <v>24</v>
      </c>
      <c r="BT62" s="145">
        <f>COUNT(BK82:BK83,BK111:BK117)</f>
        <v>9</v>
      </c>
      <c r="BU62" s="145">
        <f>MIN(BK82:BK83,BK111:BK117)</f>
        <v>592.62626264959215</v>
      </c>
      <c r="BV62" s="145">
        <f>AVERAGE(BK82:BK83,BK111:BK117)</f>
        <v>8047.6135935556167</v>
      </c>
      <c r="BW62" s="145">
        <f>MAX(BK82:BK83,BK111:BK117)</f>
        <v>38634.495281548079</v>
      </c>
      <c r="CC62" s="8"/>
      <c r="CE62" s="97"/>
      <c r="CF62" s="97"/>
      <c r="CG62"/>
      <c r="CH62"/>
      <c r="CI62"/>
      <c r="CK62" s="6"/>
      <c r="CL62" s="5" t="s">
        <v>24</v>
      </c>
      <c r="CM62" s="152">
        <f>AVERAGE($P82:$P83,$P111:$P117)</f>
        <v>3.1566666666666667</v>
      </c>
      <c r="CN62" s="152">
        <f>AVERAGE($N82:$N83,$N111:$N117)</f>
        <v>106.1877763476281</v>
      </c>
      <c r="CO62" s="155">
        <f>AVERAGE($AF82:$AF83,$AF111:$AF117)</f>
        <v>4.1435178090342209E-5</v>
      </c>
      <c r="CP62" s="145">
        <f>COUNT($CD82:$CD83,$CD111:$CD117)</f>
        <v>9</v>
      </c>
      <c r="CQ62" s="85">
        <f>PERCENTILE(($CD82:$CD83,$CD111:$CD117),0)</f>
        <v>5102.0999999999995</v>
      </c>
      <c r="CR62" s="85">
        <f>PERCENTILE(($CD82:$CD83,$CD111:$CD117),0.1)</f>
        <v>9820.42</v>
      </c>
      <c r="CS62" s="85">
        <f>PERCENTILE(($CD82:$CD83,$CD111:$CD117),0.5)</f>
        <v>34500</v>
      </c>
      <c r="CT62" s="85">
        <f>PERCENTILE(($CD82:$CD83,$CD111:$CD117),0.9)</f>
        <v>271999.99999999977</v>
      </c>
      <c r="CU62" s="145">
        <f>COUNT($CD82:$CD83,$CD111:$CD117)</f>
        <v>9</v>
      </c>
      <c r="CV62" s="85">
        <f>PERCENTILE(($CD82:$CD83,$CD111:$CD117),0)</f>
        <v>5102.0999999999995</v>
      </c>
      <c r="CW62" s="85">
        <f>PERCENTILE(($CD82:$CD83,$CD111:$CD117),0.1)</f>
        <v>9820.42</v>
      </c>
      <c r="CX62" s="85">
        <f>PERCENTILE(($CD82:$CD83,$CD111:$CD117),0.5)</f>
        <v>34500</v>
      </c>
      <c r="CY62" s="84">
        <f>PERCENTILE(($CD82:$CD83,$CD111:$CD117),0.9)</f>
        <v>271999.99999999977</v>
      </c>
      <c r="CZ62" s="5"/>
      <c r="DA62" s="4"/>
      <c r="DB62" s="4"/>
      <c r="DC62" s="4"/>
      <c r="DD62" s="93"/>
      <c r="DE62" s="145">
        <f t="shared" si="29"/>
        <v>9</v>
      </c>
      <c r="DF62" s="93"/>
    </row>
    <row r="63" spans="1:110" x14ac:dyDescent="0.2">
      <c r="A63" s="12" t="s">
        <v>42</v>
      </c>
      <c r="B63" s="58"/>
      <c r="F63" s="9"/>
      <c r="I63" s="8"/>
      <c r="K63" s="6"/>
      <c r="M63" s="9"/>
      <c r="X63" s="9"/>
      <c r="AG63" s="10"/>
      <c r="AH63" s="8"/>
      <c r="AJ63" s="167"/>
      <c r="AK63" s="168"/>
      <c r="AL63" s="8"/>
      <c r="AM63" s="13"/>
      <c r="AN63" s="97"/>
      <c r="AO63" s="97"/>
      <c r="AP63"/>
      <c r="AQ63"/>
      <c r="AR63"/>
      <c r="AT63" s="6"/>
      <c r="BE63" s="167"/>
      <c r="BF63" s="3"/>
      <c r="BG63" s="3"/>
      <c r="BH63" s="3"/>
      <c r="BI63" s="168"/>
      <c r="BJ63" s="8"/>
      <c r="BK63" s="13"/>
      <c r="BL63" s="97"/>
      <c r="BM63" s="97"/>
      <c r="BN63"/>
      <c r="BO63"/>
      <c r="BP63"/>
      <c r="BR63" s="6"/>
      <c r="CC63" s="8"/>
      <c r="CD63" s="13"/>
      <c r="CE63" s="97"/>
      <c r="CF63" s="97"/>
      <c r="CG63"/>
      <c r="CH63"/>
      <c r="CI63"/>
      <c r="CK63" s="6"/>
      <c r="CL63" s="16"/>
    </row>
    <row r="64" spans="1:110" x14ac:dyDescent="0.2">
      <c r="A64" s="8">
        <v>22</v>
      </c>
      <c r="B64" t="s">
        <v>143</v>
      </c>
      <c r="C64">
        <v>2</v>
      </c>
      <c r="D64" t="s">
        <v>2</v>
      </c>
      <c r="E64" t="s">
        <v>1</v>
      </c>
      <c r="F64" s="6">
        <v>59</v>
      </c>
      <c r="G64" s="26" t="s">
        <v>29</v>
      </c>
      <c r="H64" s="1">
        <v>9</v>
      </c>
      <c r="I64" s="11">
        <v>200</v>
      </c>
      <c r="J64" s="13" t="s">
        <v>41</v>
      </c>
      <c r="K64" s="6" t="s">
        <v>151</v>
      </c>
      <c r="L64" s="1">
        <v>1</v>
      </c>
      <c r="M64" s="6">
        <v>30</v>
      </c>
      <c r="N64" s="1">
        <v>78.106666524406961</v>
      </c>
      <c r="O64" s="18">
        <v>1988898.8259336799</v>
      </c>
      <c r="P64" s="30">
        <v>2.13</v>
      </c>
      <c r="Q64" s="1"/>
      <c r="R64" s="1"/>
      <c r="S64" s="1"/>
      <c r="T64" s="1"/>
      <c r="U64" s="1"/>
      <c r="V64">
        <v>11.5</v>
      </c>
      <c r="W64" s="238">
        <f t="shared" ref="W64:W83" si="31">LOG(EXP(V64-0.1351*N64^(2/3)+0.003*N64-10454/(H64+273)))</f>
        <v>-12.07563762754997</v>
      </c>
      <c r="X64" s="118">
        <f t="shared" ref="X64:X83" si="32">24*60*60*10^W64</f>
        <v>7.2589886095292067E-8</v>
      </c>
      <c r="Y64" s="1"/>
      <c r="Z64" s="1"/>
      <c r="AA64" s="1"/>
      <c r="AB64" s="1"/>
      <c r="AC64" s="197"/>
      <c r="AD64" s="244">
        <f>'Lohman 2011'!AD64</f>
        <v>1.4419668676849042</v>
      </c>
      <c r="AE64" s="96">
        <f t="shared" ref="AE64:AE83" si="33">10^AD64</f>
        <v>27.667305635548288</v>
      </c>
      <c r="AF64" s="98">
        <f t="shared" ref="AF64:AF83" si="34">AE64*X64</f>
        <v>2.0083665646480826E-6</v>
      </c>
      <c r="AG64" s="22">
        <v>8.745000000000001</v>
      </c>
      <c r="AH64" s="21"/>
      <c r="AI64" s="162">
        <v>0.05</v>
      </c>
      <c r="AJ64" s="167">
        <f t="shared" ref="AJ64:AJ83" si="35">$E$38*AK64/$E$40</f>
        <v>0.44250858170439605</v>
      </c>
      <c r="AK64" s="168">
        <f t="shared" ref="AK64:AK83" si="36">AF64*AG64*E$41/E$32</f>
        <v>4.0053915412182717E-4</v>
      </c>
      <c r="AL64" s="151">
        <f>$AG64/AJ64</f>
        <v>19.762328600085372</v>
      </c>
      <c r="AM64" s="177">
        <f>AJ64/$AI64</f>
        <v>8.8501716340879213</v>
      </c>
      <c r="AN64" s="134">
        <f t="shared" ref="AN64:AN83" si="37">LOG(AM64)</f>
        <v>0.94695169318533956</v>
      </c>
      <c r="AO64" s="119">
        <f t="shared" ref="AO64:AO83" si="38">$AG64/$O64</f>
        <v>4.3969054061333151E-6</v>
      </c>
      <c r="AP64">
        <f t="shared" ref="AP64:AP83" si="39">_xlfn.RANK.AVG(AM64,AM$51:AM$117,1)</f>
        <v>3</v>
      </c>
      <c r="AQ64" s="124">
        <f t="shared" ref="AQ64:AQ83" si="40">(AP64-0.5)/MAX(AP$51:AP$117)</f>
        <v>4.1666666666666664E-2</v>
      </c>
      <c r="AR64" s="124"/>
      <c r="AS64" s="124"/>
      <c r="AT64" s="14">
        <f t="shared" ref="AT64:AT83" si="41">IF(AND(AJ64&gt;$AI64,$AH64&gt;$AI64),0,IF(AND(AJ64&gt;$AI64,$AH64&lt;$AI64),1,IF(AND(AJ64&lt;$AI64,$AH64&gt;$AI64),2,3)))</f>
        <v>1</v>
      </c>
      <c r="AZ64" s="83"/>
      <c r="BA64" s="83"/>
      <c r="BB64" s="83"/>
      <c r="BC64" s="83"/>
      <c r="BD64" s="83"/>
      <c r="BE64" s="8">
        <f t="shared" ref="BE64:BE83" si="42">BI64*$E$38/$E$40</f>
        <v>0.29108965646362117</v>
      </c>
      <c r="BF64" s="16">
        <f t="shared" ref="BF64:BF83" si="43">10^(MAX(0,((W64+12.5)/2+AD64)*0.73611+-1.03574))</f>
        <v>1.5201796830582281</v>
      </c>
      <c r="BG64" s="16"/>
      <c r="BH64" s="189"/>
      <c r="BI64" s="6">
        <f t="shared" ref="BI64:BI83" si="44">(1/BF64)*AF64*AG64*E$41/E$32</f>
        <v>2.634814545843955E-4</v>
      </c>
      <c r="BJ64" s="151">
        <f t="shared" ref="BJ64:BJ83" si="45">$AG64/BE64</f>
        <v>30.042290427770332</v>
      </c>
      <c r="BK64" s="177">
        <f t="shared" ref="BK64:BK83" si="46">BE64/$AI64</f>
        <v>5.8217931292724234</v>
      </c>
      <c r="BL64" s="134">
        <f t="shared" ref="BL64:BL83" si="47">LOG(BK64)</f>
        <v>0.76505676922170895</v>
      </c>
      <c r="BM64" s="119">
        <f t="shared" ref="BM64:BM83" si="48">$AG64/$O64</f>
        <v>4.3969054061333151E-6</v>
      </c>
      <c r="BN64">
        <f t="shared" ref="BN64:BN83" si="49">_xlfn.RANK.AVG(BK64,BK$51:BK$117,1)</f>
        <v>5</v>
      </c>
      <c r="BO64" s="124">
        <f t="shared" ref="BO64:BO83" si="50">(BN64-0.5)/MAX(BN$51:BN$117)</f>
        <v>7.4999999999999997E-2</v>
      </c>
      <c r="BP64" s="124"/>
      <c r="BQ64" s="124"/>
      <c r="BR64" s="14">
        <f t="shared" ref="BR64:BR83" si="51">IF(AND(BE64&gt;$AI64,$AH64&gt;$AI64),0,IF(AND(BE64&gt;$AI64,$AH64&lt;$AI64),1,IF(AND(BE64&lt;$AI64,$AH64&gt;$AI64),2,3)))</f>
        <v>1</v>
      </c>
      <c r="BX64" s="83"/>
      <c r="BY64" s="83"/>
      <c r="BZ64" s="83"/>
      <c r="CA64" s="83"/>
      <c r="CB64" s="83"/>
      <c r="CC64" s="151"/>
      <c r="CD64" s="177">
        <f t="shared" ref="CD64:CD83" si="52">AG64/AI64</f>
        <v>174.9</v>
      </c>
      <c r="CE64" s="134">
        <f t="shared" ref="CE64:CE83" si="53">LOG(CD64)</f>
        <v>2.2427898094786767</v>
      </c>
      <c r="CF64" s="119">
        <f t="shared" ref="CF64:CF83" si="54">$AG64/$O64</f>
        <v>4.3969054061333151E-6</v>
      </c>
      <c r="CG64">
        <f t="shared" ref="CG64:CG83" si="55">_xlfn.RANK.AVG(CD64,CD$51:CD$117,1)</f>
        <v>6</v>
      </c>
      <c r="CH64" s="124">
        <f t="shared" ref="CH64:CH83" si="56">(CG64-0.5)/MAX(CG$51:CG$117)</f>
        <v>9.166666666666666E-2</v>
      </c>
      <c r="CI64" s="124"/>
      <c r="CJ64" s="124"/>
      <c r="CK64" s="14">
        <f t="shared" ref="CK64:CK83" si="57">IF(AND(BC64&gt;$AI64,$AH64&gt;$AI64),0,IF(AND(BC64&gt;$AI64,$AH64&lt;$AI64),1,IF(AND(BC64&lt;$AI64,$AH64&gt;$AI64),2,3)))</f>
        <v>3</v>
      </c>
      <c r="CL64" s="1"/>
      <c r="CP64" s="83">
        <f>SUM(CP51:CP62)</f>
        <v>60</v>
      </c>
      <c r="CU64" s="83">
        <f>SUM(CU51:CU62)</f>
        <v>47</v>
      </c>
      <c r="CZ64" s="83">
        <f>SUM(CZ51:CZ62)</f>
        <v>13</v>
      </c>
    </row>
    <row r="65" spans="1:90" x14ac:dyDescent="0.2">
      <c r="A65" s="8">
        <v>87</v>
      </c>
      <c r="B65" t="s">
        <v>143</v>
      </c>
      <c r="C65">
        <v>8</v>
      </c>
      <c r="D65" s="16" t="s">
        <v>28</v>
      </c>
      <c r="E65" t="s">
        <v>27</v>
      </c>
      <c r="F65" s="14" t="s">
        <v>26</v>
      </c>
      <c r="G65" s="16"/>
      <c r="H65" s="99">
        <v>14</v>
      </c>
      <c r="I65" s="11">
        <v>200</v>
      </c>
      <c r="J65" t="s">
        <v>41</v>
      </c>
      <c r="K65" s="6" t="s">
        <v>151</v>
      </c>
      <c r="L65" s="1">
        <v>1</v>
      </c>
      <c r="M65" s="6">
        <v>30</v>
      </c>
      <c r="N65" s="1">
        <v>78.106666524406961</v>
      </c>
      <c r="O65" s="18">
        <v>1988898.8259336799</v>
      </c>
      <c r="P65" s="30">
        <v>2.13</v>
      </c>
      <c r="Q65" s="1"/>
      <c r="R65" s="1"/>
      <c r="S65" s="1"/>
      <c r="T65" s="1"/>
      <c r="U65" s="1"/>
      <c r="V65">
        <v>11.5</v>
      </c>
      <c r="W65" s="238">
        <f t="shared" si="31"/>
        <v>-11.795155103900047</v>
      </c>
      <c r="X65" s="118">
        <f t="shared" si="32"/>
        <v>1.3847093942230663E-7</v>
      </c>
      <c r="Y65" s="1"/>
      <c r="Z65" s="1"/>
      <c r="AA65" s="1"/>
      <c r="AB65" s="1"/>
      <c r="AC65" s="197"/>
      <c r="AD65" s="244">
        <f>'Lohman 2011'!AD65</f>
        <v>1.635593254259271</v>
      </c>
      <c r="AE65" s="96">
        <f t="shared" si="33"/>
        <v>43.210894262464336</v>
      </c>
      <c r="AF65" s="98">
        <f t="shared" si="34"/>
        <v>5.9834531218013966E-6</v>
      </c>
      <c r="AG65" s="22">
        <v>1.75</v>
      </c>
      <c r="AH65" s="21"/>
      <c r="AI65" s="162">
        <v>0.05</v>
      </c>
      <c r="AJ65" s="167">
        <f t="shared" si="35"/>
        <v>0.26382068438277756</v>
      </c>
      <c r="AK65" s="168">
        <f t="shared" si="36"/>
        <v>2.387987897443967E-4</v>
      </c>
      <c r="AL65" s="151">
        <f t="shared" ref="AL65:AL83" si="58">$AG65/AJ65</f>
        <v>6.6332933829438643</v>
      </c>
      <c r="AM65" s="177">
        <f t="shared" ref="AM65:AM83" si="59">AJ65/$AI65</f>
        <v>5.276413687655551</v>
      </c>
      <c r="AN65" s="134">
        <f t="shared" si="37"/>
        <v>0.72233883828122802</v>
      </c>
      <c r="AO65" s="119">
        <f t="shared" si="38"/>
        <v>8.798838720106691E-7</v>
      </c>
      <c r="AP65">
        <f t="shared" si="39"/>
        <v>2</v>
      </c>
      <c r="AQ65" s="124">
        <f t="shared" si="40"/>
        <v>2.5000000000000001E-2</v>
      </c>
      <c r="AR65" s="124"/>
      <c r="AS65" s="124"/>
      <c r="AT65" s="14">
        <f t="shared" si="41"/>
        <v>1</v>
      </c>
      <c r="AZ65" s="83"/>
      <c r="BA65" s="83"/>
      <c r="BB65" s="83"/>
      <c r="BC65" s="83"/>
      <c r="BD65" s="83"/>
      <c r="BE65" s="8">
        <f t="shared" si="42"/>
        <v>9.8548632903000644E-2</v>
      </c>
      <c r="BF65" s="16">
        <f t="shared" si="43"/>
        <v>2.6770608237909372</v>
      </c>
      <c r="BG65" s="16"/>
      <c r="BH65" s="189"/>
      <c r="BI65" s="6">
        <f t="shared" si="44"/>
        <v>8.920185437036058E-5</v>
      </c>
      <c r="BJ65" s="151">
        <f t="shared" si="45"/>
        <v>17.757729848190674</v>
      </c>
      <c r="BK65" s="177">
        <f t="shared" si="46"/>
        <v>1.9709726580600129</v>
      </c>
      <c r="BL65" s="134">
        <f t="shared" si="47"/>
        <v>0.29468059965436783</v>
      </c>
      <c r="BM65" s="119">
        <f t="shared" si="48"/>
        <v>8.798838720106691E-7</v>
      </c>
      <c r="BN65">
        <f t="shared" si="49"/>
        <v>1</v>
      </c>
      <c r="BO65" s="124">
        <f t="shared" si="50"/>
        <v>8.3333333333333332E-3</v>
      </c>
      <c r="BP65" s="124"/>
      <c r="BQ65" s="124"/>
      <c r="BR65" s="14">
        <f t="shared" si="51"/>
        <v>1</v>
      </c>
      <c r="BX65" s="83"/>
      <c r="BY65" s="83"/>
      <c r="BZ65" s="83"/>
      <c r="CA65" s="83"/>
      <c r="CB65" s="83"/>
      <c r="CC65" s="151"/>
      <c r="CD65" s="177">
        <f t="shared" si="52"/>
        <v>35</v>
      </c>
      <c r="CE65" s="134">
        <f t="shared" si="53"/>
        <v>1.5440680443502757</v>
      </c>
      <c r="CF65" s="119">
        <f t="shared" si="54"/>
        <v>8.798838720106691E-7</v>
      </c>
      <c r="CG65">
        <f t="shared" si="55"/>
        <v>2.5</v>
      </c>
      <c r="CH65" s="124">
        <f t="shared" si="56"/>
        <v>3.3333333333333333E-2</v>
      </c>
      <c r="CI65" s="124"/>
      <c r="CJ65" s="124"/>
      <c r="CK65" s="14">
        <f t="shared" si="57"/>
        <v>3</v>
      </c>
      <c r="CL65" s="16"/>
    </row>
    <row r="66" spans="1:90" x14ac:dyDescent="0.2">
      <c r="A66" s="8">
        <v>13</v>
      </c>
      <c r="B66" t="s">
        <v>143</v>
      </c>
      <c r="C66">
        <v>1</v>
      </c>
      <c r="D66" s="23" t="s">
        <v>11</v>
      </c>
      <c r="E66" t="s">
        <v>10</v>
      </c>
      <c r="F66" s="6">
        <v>42</v>
      </c>
      <c r="G66" s="28" t="s">
        <v>33</v>
      </c>
      <c r="H66" s="1">
        <v>9</v>
      </c>
      <c r="I66" s="11">
        <v>410</v>
      </c>
      <c r="J66" t="s">
        <v>8</v>
      </c>
      <c r="K66" s="6" t="s">
        <v>181</v>
      </c>
      <c r="L66" s="1">
        <v>1</v>
      </c>
      <c r="M66" s="6">
        <v>20</v>
      </c>
      <c r="N66" s="1">
        <v>96.95</v>
      </c>
      <c r="O66" s="18">
        <v>775600.00000000012</v>
      </c>
      <c r="P66" s="30">
        <v>1.906666666666667</v>
      </c>
      <c r="Q66" s="1"/>
      <c r="R66" s="1"/>
      <c r="S66" s="1"/>
      <c r="T66" s="1"/>
      <c r="U66" s="1"/>
      <c r="V66">
        <v>11.5</v>
      </c>
      <c r="W66" s="238">
        <f t="shared" si="31"/>
        <v>-12.217235879460528</v>
      </c>
      <c r="X66" s="118">
        <f t="shared" si="32"/>
        <v>5.2393554503393086E-8</v>
      </c>
      <c r="Y66" s="1"/>
      <c r="Z66" s="1"/>
      <c r="AA66" s="1"/>
      <c r="AB66" s="1"/>
      <c r="AC66" s="197"/>
      <c r="AD66" s="244">
        <f>'Lohman 2011'!AD66</f>
        <v>1.2208668676849044</v>
      </c>
      <c r="AE66" s="96">
        <f t="shared" si="33"/>
        <v>16.629028118928069</v>
      </c>
      <c r="AF66" s="98">
        <f t="shared" si="34"/>
        <v>8.7125389108751402E-7</v>
      </c>
      <c r="AG66" s="22">
        <v>6857.2571428571437</v>
      </c>
      <c r="AH66" s="21"/>
      <c r="AI66" s="162">
        <v>0.05</v>
      </c>
      <c r="AJ66" s="167">
        <f t="shared" si="35"/>
        <v>150.52688253721175</v>
      </c>
      <c r="AK66" s="168">
        <f t="shared" si="36"/>
        <v>0.13625026202164492</v>
      </c>
      <c r="AL66" s="151">
        <f t="shared" si="58"/>
        <v>45.55503327561415</v>
      </c>
      <c r="AM66" s="177">
        <f t="shared" si="59"/>
        <v>3010.5376507442347</v>
      </c>
      <c r="AN66" s="134">
        <f t="shared" si="37"/>
        <v>3.4786440630024633</v>
      </c>
      <c r="AO66" s="119">
        <f t="shared" si="38"/>
        <v>8.841228910336698E-3</v>
      </c>
      <c r="AP66">
        <f t="shared" si="39"/>
        <v>30</v>
      </c>
      <c r="AQ66" s="124">
        <f t="shared" si="40"/>
        <v>0.49166666666666664</v>
      </c>
      <c r="AR66" s="124"/>
      <c r="AS66" s="124"/>
      <c r="AT66" s="14">
        <f t="shared" si="41"/>
        <v>1</v>
      </c>
      <c r="AV66" t="s">
        <v>191</v>
      </c>
      <c r="AZ66" s="83"/>
      <c r="BA66" s="83"/>
      <c r="BB66" s="83"/>
      <c r="BC66" s="83"/>
      <c r="BD66" s="83"/>
      <c r="BE66" s="8">
        <f t="shared" si="42"/>
        <v>150.52688253721175</v>
      </c>
      <c r="BF66" s="16">
        <f t="shared" si="43"/>
        <v>1</v>
      </c>
      <c r="BG66" s="16"/>
      <c r="BH66" s="189"/>
      <c r="BI66" s="6">
        <f t="shared" si="44"/>
        <v>0.13625026202164492</v>
      </c>
      <c r="BJ66" s="151">
        <f t="shared" si="45"/>
        <v>45.55503327561415</v>
      </c>
      <c r="BK66" s="177">
        <f t="shared" si="46"/>
        <v>3010.5376507442347</v>
      </c>
      <c r="BL66" s="134">
        <f t="shared" si="47"/>
        <v>3.4786440630024633</v>
      </c>
      <c r="BM66" s="119">
        <f t="shared" si="48"/>
        <v>8.841228910336698E-3</v>
      </c>
      <c r="BN66">
        <f t="shared" si="49"/>
        <v>49</v>
      </c>
      <c r="BO66" s="124">
        <f t="shared" si="50"/>
        <v>0.80833333333333335</v>
      </c>
      <c r="BP66" s="124"/>
      <c r="BQ66" s="124"/>
      <c r="BR66" s="14">
        <f t="shared" si="51"/>
        <v>1</v>
      </c>
      <c r="BT66" t="s">
        <v>191</v>
      </c>
      <c r="BX66" s="83"/>
      <c r="BY66" s="83"/>
      <c r="BZ66" s="83"/>
      <c r="CA66" s="83"/>
      <c r="CB66" s="83"/>
      <c r="CC66" s="151"/>
      <c r="CD66" s="177">
        <f t="shared" si="52"/>
        <v>137145.14285714287</v>
      </c>
      <c r="CE66" s="134">
        <f t="shared" si="53"/>
        <v>5.1371804312063585</v>
      </c>
      <c r="CF66" s="119">
        <f t="shared" si="54"/>
        <v>8.841228910336698E-3</v>
      </c>
      <c r="CG66">
        <f t="shared" si="55"/>
        <v>53</v>
      </c>
      <c r="CH66" s="124">
        <f t="shared" si="56"/>
        <v>0.875</v>
      </c>
      <c r="CI66" s="124"/>
      <c r="CJ66" s="124"/>
      <c r="CK66" s="14">
        <f t="shared" si="57"/>
        <v>3</v>
      </c>
      <c r="CL66" s="16"/>
    </row>
    <row r="67" spans="1:90" x14ac:dyDescent="0.2">
      <c r="A67" s="8">
        <v>14</v>
      </c>
      <c r="B67" t="s">
        <v>143</v>
      </c>
      <c r="C67">
        <v>1</v>
      </c>
      <c r="D67" s="23" t="s">
        <v>11</v>
      </c>
      <c r="E67" t="s">
        <v>10</v>
      </c>
      <c r="F67" s="6">
        <v>46</v>
      </c>
      <c r="G67" s="28" t="s">
        <v>33</v>
      </c>
      <c r="H67" s="1">
        <v>9</v>
      </c>
      <c r="I67" s="11">
        <v>410</v>
      </c>
      <c r="J67" t="s">
        <v>8</v>
      </c>
      <c r="K67" s="6" t="s">
        <v>181</v>
      </c>
      <c r="L67" s="1">
        <v>1</v>
      </c>
      <c r="M67" s="6">
        <v>20</v>
      </c>
      <c r="N67" s="1">
        <v>96.95</v>
      </c>
      <c r="O67" s="18">
        <v>775600.00000000012</v>
      </c>
      <c r="P67" s="30">
        <v>1.906666666666667</v>
      </c>
      <c r="Q67" s="1"/>
      <c r="R67" s="1"/>
      <c r="S67" s="1"/>
      <c r="T67" s="1"/>
      <c r="U67" s="1"/>
      <c r="V67">
        <v>11.5</v>
      </c>
      <c r="W67" s="238">
        <f t="shared" si="31"/>
        <v>-12.217235879460528</v>
      </c>
      <c r="X67" s="118">
        <f t="shared" si="32"/>
        <v>5.2393554503393086E-8</v>
      </c>
      <c r="Y67" s="1"/>
      <c r="Z67" s="1"/>
      <c r="AA67" s="1"/>
      <c r="AB67" s="1"/>
      <c r="AC67" s="197"/>
      <c r="AD67" s="244">
        <f>'Lohman 2011'!AD67</f>
        <v>1.2208668676849044</v>
      </c>
      <c r="AE67" s="96">
        <f t="shared" si="33"/>
        <v>16.629028118928069</v>
      </c>
      <c r="AF67" s="98">
        <f t="shared" si="34"/>
        <v>8.7125389108751402E-7</v>
      </c>
      <c r="AG67" s="22">
        <v>6857.2571428571437</v>
      </c>
      <c r="AH67" s="21"/>
      <c r="AI67" s="162">
        <v>0.05</v>
      </c>
      <c r="AJ67" s="167">
        <f t="shared" si="35"/>
        <v>150.52688253721175</v>
      </c>
      <c r="AK67" s="168">
        <f t="shared" si="36"/>
        <v>0.13625026202164492</v>
      </c>
      <c r="AL67" s="151">
        <f t="shared" si="58"/>
        <v>45.55503327561415</v>
      </c>
      <c r="AM67" s="177">
        <f t="shared" si="59"/>
        <v>3010.5376507442347</v>
      </c>
      <c r="AN67" s="134">
        <f t="shared" si="37"/>
        <v>3.4786440630024633</v>
      </c>
      <c r="AO67" s="119">
        <f t="shared" si="38"/>
        <v>8.841228910336698E-3</v>
      </c>
      <c r="AP67">
        <f t="shared" si="39"/>
        <v>30</v>
      </c>
      <c r="AQ67" s="124">
        <f t="shared" si="40"/>
        <v>0.49166666666666664</v>
      </c>
      <c r="AR67" s="124"/>
      <c r="AS67" s="124"/>
      <c r="AT67" s="14">
        <f t="shared" si="41"/>
        <v>1</v>
      </c>
      <c r="AV67" s="74">
        <v>4.2361111111111106E-2</v>
      </c>
      <c r="AZ67" s="83"/>
      <c r="BA67" s="83"/>
      <c r="BB67" s="83"/>
      <c r="BC67" s="83"/>
      <c r="BD67" s="83"/>
      <c r="BE67" s="8">
        <f t="shared" si="42"/>
        <v>150.52688253721175</v>
      </c>
      <c r="BF67" s="16">
        <f t="shared" si="43"/>
        <v>1</v>
      </c>
      <c r="BG67" s="16"/>
      <c r="BH67" s="189"/>
      <c r="BI67" s="6">
        <f t="shared" si="44"/>
        <v>0.13625026202164492</v>
      </c>
      <c r="BJ67" s="151">
        <f t="shared" si="45"/>
        <v>45.55503327561415</v>
      </c>
      <c r="BK67" s="177">
        <f t="shared" si="46"/>
        <v>3010.5376507442347</v>
      </c>
      <c r="BL67" s="134">
        <f t="shared" si="47"/>
        <v>3.4786440630024633</v>
      </c>
      <c r="BM67" s="119">
        <f t="shared" si="48"/>
        <v>8.841228910336698E-3</v>
      </c>
      <c r="BN67">
        <f t="shared" si="49"/>
        <v>49</v>
      </c>
      <c r="BO67" s="124">
        <f t="shared" si="50"/>
        <v>0.80833333333333335</v>
      </c>
      <c r="BP67" s="124"/>
      <c r="BQ67" s="124"/>
      <c r="BR67" s="14">
        <f t="shared" si="51"/>
        <v>1</v>
      </c>
      <c r="BT67" s="74">
        <v>4.2361111111111106E-2</v>
      </c>
      <c r="BX67" s="83"/>
      <c r="BY67" s="83"/>
      <c r="BZ67" s="83"/>
      <c r="CA67" s="83"/>
      <c r="CB67" s="83"/>
      <c r="CC67" s="151"/>
      <c r="CD67" s="177">
        <f t="shared" si="52"/>
        <v>137145.14285714287</v>
      </c>
      <c r="CE67" s="134">
        <f t="shared" si="53"/>
        <v>5.1371804312063585</v>
      </c>
      <c r="CF67" s="119">
        <f t="shared" si="54"/>
        <v>8.841228910336698E-3</v>
      </c>
      <c r="CG67">
        <f t="shared" si="55"/>
        <v>53</v>
      </c>
      <c r="CH67" s="124">
        <f t="shared" si="56"/>
        <v>0.875</v>
      </c>
      <c r="CI67" s="124"/>
      <c r="CJ67" s="124"/>
      <c r="CK67" s="14">
        <f t="shared" si="57"/>
        <v>3</v>
      </c>
      <c r="CL67" s="16"/>
    </row>
    <row r="68" spans="1:90" x14ac:dyDescent="0.2">
      <c r="A68" s="8">
        <v>15</v>
      </c>
      <c r="B68" t="s">
        <v>143</v>
      </c>
      <c r="C68">
        <v>1</v>
      </c>
      <c r="D68" s="23" t="s">
        <v>11</v>
      </c>
      <c r="E68" t="s">
        <v>10</v>
      </c>
      <c r="F68" s="6">
        <v>48</v>
      </c>
      <c r="G68" s="28" t="s">
        <v>33</v>
      </c>
      <c r="H68" s="1">
        <v>9</v>
      </c>
      <c r="I68" s="11">
        <v>410</v>
      </c>
      <c r="J68" s="13" t="s">
        <v>8</v>
      </c>
      <c r="K68" s="6" t="s">
        <v>181</v>
      </c>
      <c r="L68" s="1">
        <v>1</v>
      </c>
      <c r="M68" s="6">
        <v>20</v>
      </c>
      <c r="N68" s="1">
        <v>96.95</v>
      </c>
      <c r="O68" s="18">
        <v>775600.00000000012</v>
      </c>
      <c r="P68" s="30">
        <v>1.906666666666667</v>
      </c>
      <c r="Q68" s="1"/>
      <c r="R68" s="1"/>
      <c r="S68" s="1"/>
      <c r="T68" s="1"/>
      <c r="U68" s="1"/>
      <c r="V68">
        <v>11.5</v>
      </c>
      <c r="W68" s="238">
        <f t="shared" si="31"/>
        <v>-12.217235879460528</v>
      </c>
      <c r="X68" s="118">
        <f t="shared" si="32"/>
        <v>5.2393554503393086E-8</v>
      </c>
      <c r="Y68" s="1"/>
      <c r="Z68" s="1"/>
      <c r="AA68" s="1"/>
      <c r="AB68" s="1"/>
      <c r="AC68" s="197"/>
      <c r="AD68" s="244">
        <f>'Lohman 2011'!AD68</f>
        <v>1.2208668676849044</v>
      </c>
      <c r="AE68" s="96">
        <f t="shared" si="33"/>
        <v>16.629028118928069</v>
      </c>
      <c r="AF68" s="98">
        <f t="shared" si="34"/>
        <v>8.7125389108751402E-7</v>
      </c>
      <c r="AG68" s="22">
        <v>6857.2571428571437</v>
      </c>
      <c r="AH68" s="21"/>
      <c r="AI68" s="162">
        <v>0.05</v>
      </c>
      <c r="AJ68" s="167">
        <f t="shared" si="35"/>
        <v>150.52688253721175</v>
      </c>
      <c r="AK68" s="168">
        <f t="shared" si="36"/>
        <v>0.13625026202164492</v>
      </c>
      <c r="AL68" s="151">
        <f t="shared" si="58"/>
        <v>45.55503327561415</v>
      </c>
      <c r="AM68" s="177">
        <f t="shared" si="59"/>
        <v>3010.5376507442347</v>
      </c>
      <c r="AN68" s="134">
        <f t="shared" si="37"/>
        <v>3.4786440630024633</v>
      </c>
      <c r="AO68" s="119">
        <f t="shared" si="38"/>
        <v>8.841228910336698E-3</v>
      </c>
      <c r="AP68">
        <f t="shared" si="39"/>
        <v>30</v>
      </c>
      <c r="AQ68" s="124">
        <f t="shared" si="40"/>
        <v>0.49166666666666664</v>
      </c>
      <c r="AR68" s="124"/>
      <c r="AS68" s="124"/>
      <c r="AT68" s="14">
        <f t="shared" si="41"/>
        <v>1</v>
      </c>
      <c r="AV68">
        <v>0.01</v>
      </c>
      <c r="AZ68" s="83"/>
      <c r="BA68" s="83"/>
      <c r="BB68" s="83"/>
      <c r="BC68" s="83"/>
      <c r="BD68" s="83"/>
      <c r="BE68" s="8">
        <f t="shared" si="42"/>
        <v>150.52688253721175</v>
      </c>
      <c r="BF68" s="16">
        <f t="shared" si="43"/>
        <v>1</v>
      </c>
      <c r="BG68" s="16"/>
      <c r="BH68" s="189"/>
      <c r="BI68" s="6">
        <f t="shared" si="44"/>
        <v>0.13625026202164492</v>
      </c>
      <c r="BJ68" s="151">
        <f t="shared" si="45"/>
        <v>45.55503327561415</v>
      </c>
      <c r="BK68" s="177">
        <f t="shared" si="46"/>
        <v>3010.5376507442347</v>
      </c>
      <c r="BL68" s="134">
        <f t="shared" si="47"/>
        <v>3.4786440630024633</v>
      </c>
      <c r="BM68" s="119">
        <f t="shared" si="48"/>
        <v>8.841228910336698E-3</v>
      </c>
      <c r="BN68">
        <f t="shared" si="49"/>
        <v>49</v>
      </c>
      <c r="BO68" s="124">
        <f t="shared" si="50"/>
        <v>0.80833333333333335</v>
      </c>
      <c r="BP68" s="124"/>
      <c r="BQ68" s="124"/>
      <c r="BR68" s="14">
        <f t="shared" si="51"/>
        <v>1</v>
      </c>
      <c r="BT68">
        <v>0.01</v>
      </c>
      <c r="BX68" s="83"/>
      <c r="BY68" s="83"/>
      <c r="BZ68" s="83"/>
      <c r="CA68" s="83"/>
      <c r="CB68" s="83"/>
      <c r="CC68" s="151"/>
      <c r="CD68" s="177">
        <f t="shared" si="52"/>
        <v>137145.14285714287</v>
      </c>
      <c r="CE68" s="134">
        <f t="shared" si="53"/>
        <v>5.1371804312063585</v>
      </c>
      <c r="CF68" s="119">
        <f t="shared" si="54"/>
        <v>8.841228910336698E-3</v>
      </c>
      <c r="CG68">
        <f t="shared" si="55"/>
        <v>53</v>
      </c>
      <c r="CH68" s="124">
        <f t="shared" si="56"/>
        <v>0.875</v>
      </c>
      <c r="CI68" s="124"/>
      <c r="CJ68" s="124"/>
      <c r="CK68" s="14">
        <f t="shared" si="57"/>
        <v>3</v>
      </c>
      <c r="CL68" s="16"/>
    </row>
    <row r="69" spans="1:90" x14ac:dyDescent="0.2">
      <c r="A69" s="8">
        <v>16</v>
      </c>
      <c r="B69" t="s">
        <v>143</v>
      </c>
      <c r="C69">
        <v>1</v>
      </c>
      <c r="D69" s="23" t="s">
        <v>11</v>
      </c>
      <c r="E69" t="s">
        <v>10</v>
      </c>
      <c r="F69" s="6">
        <v>52</v>
      </c>
      <c r="G69" s="28" t="s">
        <v>33</v>
      </c>
      <c r="H69" s="1">
        <v>9</v>
      </c>
      <c r="I69" s="11">
        <v>410</v>
      </c>
      <c r="J69" s="13" t="s">
        <v>8</v>
      </c>
      <c r="K69" s="6" t="s">
        <v>181</v>
      </c>
      <c r="L69" s="1">
        <v>1</v>
      </c>
      <c r="M69" s="6">
        <v>20</v>
      </c>
      <c r="N69" s="1">
        <v>96.95</v>
      </c>
      <c r="O69" s="18">
        <v>775600.00000000012</v>
      </c>
      <c r="P69" s="30">
        <v>1.906666666666667</v>
      </c>
      <c r="Q69" s="1"/>
      <c r="R69" s="1"/>
      <c r="S69" s="1"/>
      <c r="T69" s="1"/>
      <c r="U69" s="1"/>
      <c r="V69">
        <v>11.5</v>
      </c>
      <c r="W69" s="238">
        <f t="shared" si="31"/>
        <v>-12.217235879460528</v>
      </c>
      <c r="X69" s="118">
        <f t="shared" si="32"/>
        <v>5.2393554503393086E-8</v>
      </c>
      <c r="Y69" s="1"/>
      <c r="Z69" s="1"/>
      <c r="AA69" s="1"/>
      <c r="AB69" s="1"/>
      <c r="AC69" s="197"/>
      <c r="AD69" s="244">
        <f>'Lohman 2011'!AD69</f>
        <v>1.2208668676849044</v>
      </c>
      <c r="AE69" s="96">
        <f t="shared" si="33"/>
        <v>16.629028118928069</v>
      </c>
      <c r="AF69" s="98">
        <f t="shared" si="34"/>
        <v>8.7125389108751402E-7</v>
      </c>
      <c r="AG69" s="22">
        <v>2743.1428571428573</v>
      </c>
      <c r="AH69" s="21"/>
      <c r="AI69" s="162">
        <v>0.05</v>
      </c>
      <c r="AJ69" s="167">
        <f t="shared" si="35"/>
        <v>60.216021367967613</v>
      </c>
      <c r="AK69" s="168">
        <f t="shared" si="36"/>
        <v>5.450487348835073E-2</v>
      </c>
      <c r="AL69" s="151">
        <f t="shared" si="58"/>
        <v>45.55503327561415</v>
      </c>
      <c r="AM69" s="177">
        <f t="shared" si="59"/>
        <v>1204.3204273593522</v>
      </c>
      <c r="AN69" s="134">
        <f t="shared" si="37"/>
        <v>3.0807420528018752</v>
      </c>
      <c r="AO69" s="119">
        <f t="shared" si="38"/>
        <v>3.536801001989243E-3</v>
      </c>
      <c r="AP69">
        <f t="shared" si="39"/>
        <v>22.5</v>
      </c>
      <c r="AQ69" s="124">
        <f t="shared" si="40"/>
        <v>0.36666666666666664</v>
      </c>
      <c r="AR69" s="124"/>
      <c r="AS69" s="124"/>
      <c r="AT69" s="14">
        <f t="shared" si="41"/>
        <v>1</v>
      </c>
      <c r="AV69">
        <v>100000</v>
      </c>
      <c r="AZ69" s="83"/>
      <c r="BA69" s="83"/>
      <c r="BB69" s="83"/>
      <c r="BC69" s="83"/>
      <c r="BD69" s="83"/>
      <c r="BE69" s="8">
        <f t="shared" si="42"/>
        <v>60.216021367967613</v>
      </c>
      <c r="BF69" s="16">
        <f t="shared" si="43"/>
        <v>1</v>
      </c>
      <c r="BG69" s="16"/>
      <c r="BH69" s="189"/>
      <c r="BI69" s="6">
        <f t="shared" si="44"/>
        <v>5.450487348835073E-2</v>
      </c>
      <c r="BJ69" s="151">
        <f t="shared" si="45"/>
        <v>45.55503327561415</v>
      </c>
      <c r="BK69" s="177">
        <f t="shared" si="46"/>
        <v>1204.3204273593522</v>
      </c>
      <c r="BL69" s="134">
        <f t="shared" si="47"/>
        <v>3.0807420528018752</v>
      </c>
      <c r="BM69" s="119">
        <f t="shared" si="48"/>
        <v>3.536801001989243E-3</v>
      </c>
      <c r="BN69">
        <f t="shared" si="49"/>
        <v>39.5</v>
      </c>
      <c r="BO69" s="124">
        <f t="shared" si="50"/>
        <v>0.65</v>
      </c>
      <c r="BP69" s="124"/>
      <c r="BQ69" s="124"/>
      <c r="BR69" s="14">
        <f t="shared" si="51"/>
        <v>1</v>
      </c>
      <c r="BT69">
        <v>100000</v>
      </c>
      <c r="BX69" s="83"/>
      <c r="BY69" s="83"/>
      <c r="BZ69" s="83"/>
      <c r="CA69" s="83"/>
      <c r="CB69" s="83"/>
      <c r="CC69" s="151"/>
      <c r="CD69" s="177">
        <f t="shared" si="52"/>
        <v>54862.857142857145</v>
      </c>
      <c r="CE69" s="134">
        <f t="shared" si="53"/>
        <v>4.7392784210057712</v>
      </c>
      <c r="CF69" s="119">
        <f t="shared" si="54"/>
        <v>3.536801001989243E-3</v>
      </c>
      <c r="CG69">
        <f t="shared" si="55"/>
        <v>45.5</v>
      </c>
      <c r="CH69" s="124">
        <f t="shared" si="56"/>
        <v>0.75</v>
      </c>
      <c r="CI69" s="124"/>
      <c r="CJ69" s="124"/>
      <c r="CK69" s="14">
        <f t="shared" si="57"/>
        <v>3</v>
      </c>
      <c r="CL69" s="16"/>
    </row>
    <row r="70" spans="1:90" x14ac:dyDescent="0.2">
      <c r="A70" s="8">
        <v>17</v>
      </c>
      <c r="B70" t="s">
        <v>143</v>
      </c>
      <c r="C70">
        <v>1</v>
      </c>
      <c r="D70" s="23" t="s">
        <v>11</v>
      </c>
      <c r="E70" t="s">
        <v>10</v>
      </c>
      <c r="F70" s="6">
        <v>54</v>
      </c>
      <c r="G70" s="28" t="s">
        <v>33</v>
      </c>
      <c r="H70" s="1">
        <v>9</v>
      </c>
      <c r="I70" s="11">
        <v>410</v>
      </c>
      <c r="J70" s="13" t="s">
        <v>8</v>
      </c>
      <c r="K70" s="6" t="s">
        <v>181</v>
      </c>
      <c r="L70" s="1">
        <v>1</v>
      </c>
      <c r="M70" s="6">
        <v>20</v>
      </c>
      <c r="N70" s="1">
        <v>96.95</v>
      </c>
      <c r="O70" s="18">
        <v>775600.00000000012</v>
      </c>
      <c r="P70" s="30">
        <v>1.906666666666667</v>
      </c>
      <c r="Q70" s="1"/>
      <c r="R70" s="1"/>
      <c r="S70" s="1"/>
      <c r="T70" s="1"/>
      <c r="U70" s="1"/>
      <c r="V70">
        <v>11.5</v>
      </c>
      <c r="W70" s="238">
        <f t="shared" si="31"/>
        <v>-12.217235879460528</v>
      </c>
      <c r="X70" s="118">
        <f t="shared" si="32"/>
        <v>5.2393554503393086E-8</v>
      </c>
      <c r="Y70" s="1"/>
      <c r="Z70" s="1"/>
      <c r="AA70" s="1"/>
      <c r="AB70" s="1"/>
      <c r="AC70" s="197"/>
      <c r="AD70" s="244">
        <f>'Lohman 2011'!AD70</f>
        <v>1.2208668676849044</v>
      </c>
      <c r="AE70" s="96">
        <f t="shared" si="33"/>
        <v>16.629028118928069</v>
      </c>
      <c r="AF70" s="98">
        <f t="shared" si="34"/>
        <v>8.7125389108751402E-7</v>
      </c>
      <c r="AG70" s="22">
        <v>2743.1428571428573</v>
      </c>
      <c r="AH70" s="21"/>
      <c r="AI70" s="162">
        <v>0.05</v>
      </c>
      <c r="AJ70" s="167">
        <f t="shared" si="35"/>
        <v>60.216021367967613</v>
      </c>
      <c r="AK70" s="168">
        <f t="shared" si="36"/>
        <v>5.450487348835073E-2</v>
      </c>
      <c r="AL70" s="151">
        <f t="shared" si="58"/>
        <v>45.55503327561415</v>
      </c>
      <c r="AM70" s="177">
        <f t="shared" si="59"/>
        <v>1204.3204273593522</v>
      </c>
      <c r="AN70" s="134">
        <f t="shared" si="37"/>
        <v>3.0807420528018752</v>
      </c>
      <c r="AO70" s="119">
        <f t="shared" si="38"/>
        <v>3.536801001989243E-3</v>
      </c>
      <c r="AP70">
        <f t="shared" si="39"/>
        <v>22.5</v>
      </c>
      <c r="AQ70" s="124">
        <f t="shared" si="40"/>
        <v>0.36666666666666664</v>
      </c>
      <c r="AR70" s="124"/>
      <c r="AS70" s="124"/>
      <c r="AT70" s="14">
        <f t="shared" si="41"/>
        <v>1</v>
      </c>
      <c r="AZ70" s="83"/>
      <c r="BA70" s="83"/>
      <c r="BB70" s="83"/>
      <c r="BC70" s="83"/>
      <c r="BD70" s="83"/>
      <c r="BE70" s="8">
        <f t="shared" si="42"/>
        <v>60.216021367967613</v>
      </c>
      <c r="BF70" s="16">
        <f t="shared" si="43"/>
        <v>1</v>
      </c>
      <c r="BG70" s="16"/>
      <c r="BH70" s="189"/>
      <c r="BI70" s="6">
        <f t="shared" si="44"/>
        <v>5.450487348835073E-2</v>
      </c>
      <c r="BJ70" s="151">
        <f t="shared" si="45"/>
        <v>45.55503327561415</v>
      </c>
      <c r="BK70" s="177">
        <f t="shared" si="46"/>
        <v>1204.3204273593522</v>
      </c>
      <c r="BL70" s="134">
        <f t="shared" si="47"/>
        <v>3.0807420528018752</v>
      </c>
      <c r="BM70" s="119">
        <f t="shared" si="48"/>
        <v>3.536801001989243E-3</v>
      </c>
      <c r="BN70">
        <f t="shared" si="49"/>
        <v>39.5</v>
      </c>
      <c r="BO70" s="124">
        <f t="shared" si="50"/>
        <v>0.65</v>
      </c>
      <c r="BP70" s="124"/>
      <c r="BQ70" s="124"/>
      <c r="BR70" s="14">
        <f t="shared" si="51"/>
        <v>1</v>
      </c>
      <c r="BX70" s="83"/>
      <c r="BY70" s="83"/>
      <c r="BZ70" s="83"/>
      <c r="CA70" s="83"/>
      <c r="CB70" s="83"/>
      <c r="CC70" s="151"/>
      <c r="CD70" s="177">
        <f t="shared" si="52"/>
        <v>54862.857142857145</v>
      </c>
      <c r="CE70" s="134">
        <f t="shared" si="53"/>
        <v>4.7392784210057712</v>
      </c>
      <c r="CF70" s="119">
        <f t="shared" si="54"/>
        <v>3.536801001989243E-3</v>
      </c>
      <c r="CG70">
        <f t="shared" si="55"/>
        <v>45.5</v>
      </c>
      <c r="CH70" s="124">
        <f t="shared" si="56"/>
        <v>0.75</v>
      </c>
      <c r="CI70" s="124"/>
      <c r="CJ70" s="124"/>
      <c r="CK70" s="14">
        <f t="shared" si="57"/>
        <v>3</v>
      </c>
      <c r="CL70" s="16"/>
    </row>
    <row r="71" spans="1:90" x14ac:dyDescent="0.2">
      <c r="A71" s="8">
        <v>18</v>
      </c>
      <c r="B71" t="s">
        <v>143</v>
      </c>
      <c r="C71">
        <v>1</v>
      </c>
      <c r="D71" s="23" t="s">
        <v>11</v>
      </c>
      <c r="E71" t="s">
        <v>10</v>
      </c>
      <c r="F71" s="6">
        <v>56</v>
      </c>
      <c r="G71" s="28" t="s">
        <v>33</v>
      </c>
      <c r="H71" s="1">
        <v>9</v>
      </c>
      <c r="I71" s="11">
        <v>410</v>
      </c>
      <c r="J71" s="13" t="s">
        <v>8</v>
      </c>
      <c r="K71" s="6" t="s">
        <v>181</v>
      </c>
      <c r="L71" s="1">
        <v>1</v>
      </c>
      <c r="M71" s="6">
        <v>20</v>
      </c>
      <c r="N71" s="1">
        <v>96.95</v>
      </c>
      <c r="O71" s="18">
        <v>775600.00000000012</v>
      </c>
      <c r="P71" s="30">
        <v>1.906666666666667</v>
      </c>
      <c r="Q71" s="1"/>
      <c r="R71" s="1"/>
      <c r="S71" s="1"/>
      <c r="T71" s="1"/>
      <c r="U71" s="1"/>
      <c r="V71">
        <v>11.5</v>
      </c>
      <c r="W71" s="238">
        <f t="shared" si="31"/>
        <v>-12.217235879460528</v>
      </c>
      <c r="X71" s="118">
        <f t="shared" si="32"/>
        <v>5.2393554503393086E-8</v>
      </c>
      <c r="Y71" s="1"/>
      <c r="Z71" s="1"/>
      <c r="AA71" s="1"/>
      <c r="AB71" s="1"/>
      <c r="AC71" s="197"/>
      <c r="AD71" s="244">
        <f>'Lohman 2011'!AD71</f>
        <v>1.2208668676849044</v>
      </c>
      <c r="AE71" s="96">
        <f t="shared" si="33"/>
        <v>16.629028118928069</v>
      </c>
      <c r="AF71" s="98">
        <f t="shared" si="34"/>
        <v>8.7125389108751402E-7</v>
      </c>
      <c r="AG71" s="22">
        <v>2743.1428571428573</v>
      </c>
      <c r="AH71" s="21"/>
      <c r="AI71" s="162">
        <v>0.05</v>
      </c>
      <c r="AJ71" s="167">
        <f t="shared" si="35"/>
        <v>60.216021367967613</v>
      </c>
      <c r="AK71" s="168">
        <f t="shared" si="36"/>
        <v>5.450487348835073E-2</v>
      </c>
      <c r="AL71" s="151">
        <f t="shared" si="58"/>
        <v>45.55503327561415</v>
      </c>
      <c r="AM71" s="177">
        <f t="shared" si="59"/>
        <v>1204.3204273593522</v>
      </c>
      <c r="AN71" s="134">
        <f t="shared" si="37"/>
        <v>3.0807420528018752</v>
      </c>
      <c r="AO71" s="119">
        <f t="shared" si="38"/>
        <v>3.536801001989243E-3</v>
      </c>
      <c r="AP71">
        <f t="shared" si="39"/>
        <v>22.5</v>
      </c>
      <c r="AQ71" s="124">
        <f t="shared" si="40"/>
        <v>0.36666666666666664</v>
      </c>
      <c r="AR71" s="124"/>
      <c r="AS71" s="124"/>
      <c r="AT71" s="14">
        <f t="shared" si="41"/>
        <v>1</v>
      </c>
      <c r="AZ71" s="83"/>
      <c r="BA71" s="83"/>
      <c r="BB71" s="83"/>
      <c r="BC71" s="83"/>
      <c r="BD71" s="83"/>
      <c r="BE71" s="8">
        <f t="shared" si="42"/>
        <v>60.216021367967613</v>
      </c>
      <c r="BF71" s="16">
        <f t="shared" si="43"/>
        <v>1</v>
      </c>
      <c r="BG71" s="16"/>
      <c r="BH71" s="189"/>
      <c r="BI71" s="6">
        <f t="shared" si="44"/>
        <v>5.450487348835073E-2</v>
      </c>
      <c r="BJ71" s="151">
        <f t="shared" si="45"/>
        <v>45.55503327561415</v>
      </c>
      <c r="BK71" s="177">
        <f t="shared" si="46"/>
        <v>1204.3204273593522</v>
      </c>
      <c r="BL71" s="134">
        <f t="shared" si="47"/>
        <v>3.0807420528018752</v>
      </c>
      <c r="BM71" s="119">
        <f t="shared" si="48"/>
        <v>3.536801001989243E-3</v>
      </c>
      <c r="BN71">
        <f t="shared" si="49"/>
        <v>39.5</v>
      </c>
      <c r="BO71" s="124">
        <f t="shared" si="50"/>
        <v>0.65</v>
      </c>
      <c r="BP71" s="124"/>
      <c r="BQ71" s="124"/>
      <c r="BR71" s="14">
        <f t="shared" si="51"/>
        <v>1</v>
      </c>
      <c r="BX71" s="83"/>
      <c r="BY71" s="83"/>
      <c r="BZ71" s="83"/>
      <c r="CA71" s="83"/>
      <c r="CB71" s="83"/>
      <c r="CC71" s="151"/>
      <c r="CD71" s="177">
        <f t="shared" si="52"/>
        <v>54862.857142857145</v>
      </c>
      <c r="CE71" s="134">
        <f t="shared" si="53"/>
        <v>4.7392784210057712</v>
      </c>
      <c r="CF71" s="119">
        <f t="shared" si="54"/>
        <v>3.536801001989243E-3</v>
      </c>
      <c r="CG71">
        <f t="shared" si="55"/>
        <v>45.5</v>
      </c>
      <c r="CH71" s="124">
        <f t="shared" si="56"/>
        <v>0.75</v>
      </c>
      <c r="CI71" s="124"/>
      <c r="CJ71" s="124"/>
      <c r="CK71" s="14">
        <f t="shared" si="57"/>
        <v>3</v>
      </c>
      <c r="CL71" s="16"/>
    </row>
    <row r="72" spans="1:90" x14ac:dyDescent="0.2">
      <c r="A72" s="8">
        <v>19</v>
      </c>
      <c r="B72" t="s">
        <v>143</v>
      </c>
      <c r="C72">
        <v>1</v>
      </c>
      <c r="D72" s="23" t="s">
        <v>11</v>
      </c>
      <c r="E72" t="s">
        <v>10</v>
      </c>
      <c r="F72" s="6" t="s">
        <v>40</v>
      </c>
      <c r="G72" s="28" t="s">
        <v>33</v>
      </c>
      <c r="H72" s="1">
        <v>9</v>
      </c>
      <c r="I72" s="11">
        <v>410</v>
      </c>
      <c r="J72" s="13" t="s">
        <v>8</v>
      </c>
      <c r="K72" s="6" t="s">
        <v>181</v>
      </c>
      <c r="L72" s="1">
        <v>1</v>
      </c>
      <c r="M72" s="6">
        <v>20</v>
      </c>
      <c r="N72" s="1">
        <v>96.95</v>
      </c>
      <c r="O72" s="18">
        <v>775600.00000000012</v>
      </c>
      <c r="P72" s="30">
        <v>1.906666666666667</v>
      </c>
      <c r="Q72" s="1"/>
      <c r="R72" s="1"/>
      <c r="S72" s="1"/>
      <c r="T72" s="1"/>
      <c r="U72" s="1"/>
      <c r="V72">
        <v>11.5</v>
      </c>
      <c r="W72" s="238">
        <f t="shared" si="31"/>
        <v>-12.217235879460528</v>
      </c>
      <c r="X72" s="118">
        <f t="shared" si="32"/>
        <v>5.2393554503393086E-8</v>
      </c>
      <c r="Y72" s="1"/>
      <c r="Z72" s="1"/>
      <c r="AA72" s="1"/>
      <c r="AB72" s="1"/>
      <c r="AC72" s="197"/>
      <c r="AD72" s="244">
        <f>'Lohman 2011'!AD72</f>
        <v>1.2208668676849044</v>
      </c>
      <c r="AE72" s="96">
        <f t="shared" si="33"/>
        <v>16.629028118928069</v>
      </c>
      <c r="AF72" s="98">
        <f t="shared" si="34"/>
        <v>8.7125389108751402E-7</v>
      </c>
      <c r="AG72" s="22">
        <v>2743.1428571428573</v>
      </c>
      <c r="AH72" s="21"/>
      <c r="AI72" s="162">
        <v>0.05</v>
      </c>
      <c r="AJ72" s="167">
        <f t="shared" si="35"/>
        <v>60.216021367967613</v>
      </c>
      <c r="AK72" s="168">
        <f t="shared" si="36"/>
        <v>5.450487348835073E-2</v>
      </c>
      <c r="AL72" s="151">
        <f t="shared" si="58"/>
        <v>45.55503327561415</v>
      </c>
      <c r="AM72" s="177">
        <f t="shared" si="59"/>
        <v>1204.3204273593522</v>
      </c>
      <c r="AN72" s="134">
        <f t="shared" si="37"/>
        <v>3.0807420528018752</v>
      </c>
      <c r="AO72" s="119">
        <f t="shared" si="38"/>
        <v>3.536801001989243E-3</v>
      </c>
      <c r="AP72">
        <f t="shared" si="39"/>
        <v>22.5</v>
      </c>
      <c r="AQ72" s="124">
        <f t="shared" si="40"/>
        <v>0.36666666666666664</v>
      </c>
      <c r="AR72" s="124"/>
      <c r="AS72" s="124"/>
      <c r="AT72" s="14">
        <f t="shared" si="41"/>
        <v>1</v>
      </c>
      <c r="AZ72" s="83"/>
      <c r="BA72" s="83"/>
      <c r="BB72" s="83"/>
      <c r="BC72" s="83"/>
      <c r="BD72" s="83"/>
      <c r="BE72" s="8">
        <f t="shared" si="42"/>
        <v>60.216021367967613</v>
      </c>
      <c r="BF72" s="16">
        <f t="shared" si="43"/>
        <v>1</v>
      </c>
      <c r="BG72" s="16"/>
      <c r="BH72" s="189"/>
      <c r="BI72" s="6">
        <f t="shared" si="44"/>
        <v>5.450487348835073E-2</v>
      </c>
      <c r="BJ72" s="151">
        <f t="shared" si="45"/>
        <v>45.55503327561415</v>
      </c>
      <c r="BK72" s="177">
        <f t="shared" si="46"/>
        <v>1204.3204273593522</v>
      </c>
      <c r="BL72" s="134">
        <f t="shared" si="47"/>
        <v>3.0807420528018752</v>
      </c>
      <c r="BM72" s="119">
        <f t="shared" si="48"/>
        <v>3.536801001989243E-3</v>
      </c>
      <c r="BN72">
        <f t="shared" si="49"/>
        <v>39.5</v>
      </c>
      <c r="BO72" s="124">
        <f t="shared" si="50"/>
        <v>0.65</v>
      </c>
      <c r="BP72" s="124"/>
      <c r="BQ72" s="124"/>
      <c r="BR72" s="14">
        <f t="shared" si="51"/>
        <v>1</v>
      </c>
      <c r="BX72" s="83"/>
      <c r="BY72" s="83"/>
      <c r="BZ72" s="83"/>
      <c r="CA72" s="83"/>
      <c r="CB72" s="83"/>
      <c r="CC72" s="151"/>
      <c r="CD72" s="177">
        <f t="shared" si="52"/>
        <v>54862.857142857145</v>
      </c>
      <c r="CE72" s="134">
        <f t="shared" si="53"/>
        <v>4.7392784210057712</v>
      </c>
      <c r="CF72" s="119">
        <f t="shared" si="54"/>
        <v>3.536801001989243E-3</v>
      </c>
      <c r="CG72">
        <f t="shared" si="55"/>
        <v>45.5</v>
      </c>
      <c r="CH72" s="124">
        <f t="shared" si="56"/>
        <v>0.75</v>
      </c>
      <c r="CI72" s="124"/>
      <c r="CJ72" s="124"/>
      <c r="CK72" s="14">
        <f t="shared" si="57"/>
        <v>3</v>
      </c>
      <c r="CL72" s="16"/>
    </row>
    <row r="73" spans="1:90" x14ac:dyDescent="0.2">
      <c r="A73" s="8">
        <v>24</v>
      </c>
      <c r="B73" t="s">
        <v>143</v>
      </c>
      <c r="C73">
        <v>2</v>
      </c>
      <c r="D73" t="s">
        <v>2</v>
      </c>
      <c r="E73" t="s">
        <v>1</v>
      </c>
      <c r="F73" s="6">
        <v>59</v>
      </c>
      <c r="G73" s="26" t="s">
        <v>29</v>
      </c>
      <c r="H73" s="1">
        <v>9</v>
      </c>
      <c r="I73" s="11">
        <v>201</v>
      </c>
      <c r="J73" s="13" t="s">
        <v>39</v>
      </c>
      <c r="K73" s="6" t="s">
        <v>152</v>
      </c>
      <c r="L73" s="1">
        <v>1</v>
      </c>
      <c r="M73" s="6">
        <v>150</v>
      </c>
      <c r="N73" s="1">
        <v>106.18666499232586</v>
      </c>
      <c r="O73" s="18">
        <v>159449.4296665228</v>
      </c>
      <c r="P73" s="30">
        <v>3.15</v>
      </c>
      <c r="Q73" s="1"/>
      <c r="R73" s="1"/>
      <c r="S73" s="1"/>
      <c r="T73" s="1"/>
      <c r="U73" s="1"/>
      <c r="V73">
        <v>11.5</v>
      </c>
      <c r="W73" s="238">
        <f t="shared" si="31"/>
        <v>-12.282649671920273</v>
      </c>
      <c r="X73" s="118">
        <f t="shared" si="32"/>
        <v>4.5067562590358588E-8</v>
      </c>
      <c r="Y73" s="1"/>
      <c r="Z73" s="1"/>
      <c r="AA73" s="1"/>
      <c r="AB73" s="1"/>
      <c r="AC73" s="197"/>
      <c r="AD73" s="244">
        <f>'Lohman 2011'!AD73</f>
        <v>2.4517668676849045</v>
      </c>
      <c r="AE73" s="96">
        <f t="shared" si="33"/>
        <v>282.98724926513279</v>
      </c>
      <c r="AF73" s="98">
        <f t="shared" si="34"/>
        <v>1.2753545568529779E-5</v>
      </c>
      <c r="AG73" s="22">
        <v>604.25</v>
      </c>
      <c r="AH73" s="21"/>
      <c r="AI73" s="162">
        <v>0.05</v>
      </c>
      <c r="AJ73" s="167">
        <f t="shared" si="35"/>
        <v>194.16301108047662</v>
      </c>
      <c r="AK73" s="168">
        <f t="shared" si="36"/>
        <v>0.17574775142298324</v>
      </c>
      <c r="AL73" s="151">
        <f t="shared" si="58"/>
        <v>3.1120757585982775</v>
      </c>
      <c r="AM73" s="177">
        <f t="shared" si="59"/>
        <v>3883.2602216095324</v>
      </c>
      <c r="AN73" s="134">
        <f t="shared" si="37"/>
        <v>3.5891964940800292</v>
      </c>
      <c r="AO73" s="119">
        <f t="shared" si="38"/>
        <v>3.7896027678728365E-3</v>
      </c>
      <c r="AP73">
        <f t="shared" si="39"/>
        <v>34</v>
      </c>
      <c r="AQ73" s="124">
        <f t="shared" si="40"/>
        <v>0.55833333333333335</v>
      </c>
      <c r="AR73" s="124"/>
      <c r="AS73" s="124"/>
      <c r="AT73" s="14">
        <f t="shared" si="41"/>
        <v>1</v>
      </c>
      <c r="AZ73" s="83"/>
      <c r="BA73" s="83"/>
      <c r="BB73" s="83"/>
      <c r="BC73" s="83"/>
      <c r="BD73" s="83"/>
      <c r="BE73" s="8">
        <f t="shared" si="42"/>
        <v>27.487770390770063</v>
      </c>
      <c r="BF73" s="16">
        <f t="shared" si="43"/>
        <v>7.0636144117994135</v>
      </c>
      <c r="BG73" s="16"/>
      <c r="BH73" s="189"/>
      <c r="BI73" s="6">
        <f t="shared" si="44"/>
        <v>2.4880711371986192E-2</v>
      </c>
      <c r="BJ73" s="151">
        <f t="shared" si="45"/>
        <v>21.982503179046386</v>
      </c>
      <c r="BK73" s="177">
        <f t="shared" si="46"/>
        <v>549.75540781540121</v>
      </c>
      <c r="BL73" s="134">
        <f t="shared" si="47"/>
        <v>2.7401695101071102</v>
      </c>
      <c r="BM73" s="119">
        <f t="shared" si="48"/>
        <v>3.7896027678728365E-3</v>
      </c>
      <c r="BN73">
        <f t="shared" si="49"/>
        <v>28</v>
      </c>
      <c r="BO73" s="124">
        <f t="shared" si="50"/>
        <v>0.45833333333333331</v>
      </c>
      <c r="BP73" s="124"/>
      <c r="BQ73" s="124"/>
      <c r="BR73" s="14">
        <f t="shared" si="51"/>
        <v>1</v>
      </c>
      <c r="BX73" s="83"/>
      <c r="BY73" s="83"/>
      <c r="BZ73" s="83"/>
      <c r="CA73" s="83"/>
      <c r="CB73" s="83"/>
      <c r="CC73" s="151"/>
      <c r="CD73" s="177">
        <f t="shared" si="52"/>
        <v>12085</v>
      </c>
      <c r="CE73" s="134">
        <f t="shared" si="53"/>
        <v>4.0822466547436695</v>
      </c>
      <c r="CF73" s="119">
        <f t="shared" si="54"/>
        <v>3.7896027678728365E-3</v>
      </c>
      <c r="CG73">
        <f t="shared" si="55"/>
        <v>33</v>
      </c>
      <c r="CH73" s="124">
        <f t="shared" si="56"/>
        <v>0.54166666666666663</v>
      </c>
      <c r="CI73" s="124"/>
      <c r="CJ73" s="124"/>
      <c r="CK73" s="14">
        <f t="shared" si="57"/>
        <v>3</v>
      </c>
      <c r="CL73" s="16"/>
    </row>
    <row r="74" spans="1:90" x14ac:dyDescent="0.2">
      <c r="A74" s="8">
        <v>89</v>
      </c>
      <c r="B74" t="s">
        <v>143</v>
      </c>
      <c r="C74">
        <v>8</v>
      </c>
      <c r="D74" s="16" t="s">
        <v>28</v>
      </c>
      <c r="E74" t="s">
        <v>27</v>
      </c>
      <c r="F74" s="14" t="s">
        <v>26</v>
      </c>
      <c r="G74" s="26" t="s">
        <v>25</v>
      </c>
      <c r="H74" s="16">
        <v>18</v>
      </c>
      <c r="I74" s="11">
        <v>201</v>
      </c>
      <c r="J74" t="s">
        <v>38</v>
      </c>
      <c r="K74" s="6" t="s">
        <v>152</v>
      </c>
      <c r="L74" s="1">
        <v>1</v>
      </c>
      <c r="M74" s="6">
        <v>150</v>
      </c>
      <c r="N74" s="1">
        <v>106.18666499232586</v>
      </c>
      <c r="O74" s="18">
        <v>159449.4296665228</v>
      </c>
      <c r="P74" s="30">
        <v>3.15</v>
      </c>
      <c r="Q74" s="1"/>
      <c r="R74" s="1"/>
      <c r="S74" s="1"/>
      <c r="T74" s="1"/>
      <c r="U74" s="1"/>
      <c r="V74">
        <v>11.5</v>
      </c>
      <c r="W74" s="238">
        <f t="shared" si="31"/>
        <v>-11.784720903131438</v>
      </c>
      <c r="X74" s="118">
        <f t="shared" si="32"/>
        <v>1.4183807855289188E-7</v>
      </c>
      <c r="Y74" s="1"/>
      <c r="Z74" s="1"/>
      <c r="AA74" s="1"/>
      <c r="AB74" s="1"/>
      <c r="AC74" s="197"/>
      <c r="AD74" s="244">
        <f>'Lohman 2011'!AD74</f>
        <v>2.7955036075622859</v>
      </c>
      <c r="AE74" s="96">
        <f t="shared" si="33"/>
        <v>624.45853746064438</v>
      </c>
      <c r="AF74" s="98">
        <f t="shared" si="34"/>
        <v>8.857199908936685E-5</v>
      </c>
      <c r="AG74" s="22">
        <v>125</v>
      </c>
      <c r="AH74" s="21"/>
      <c r="AI74" s="162">
        <v>0.05</v>
      </c>
      <c r="AJ74" s="167">
        <f t="shared" si="35"/>
        <v>278.94935465283078</v>
      </c>
      <c r="AK74" s="168">
        <f t="shared" si="36"/>
        <v>0.25249259149986886</v>
      </c>
      <c r="AL74" s="151">
        <f t="shared" si="58"/>
        <v>0.44811001680061247</v>
      </c>
      <c r="AM74" s="177">
        <f t="shared" si="59"/>
        <v>5578.9870930566149</v>
      </c>
      <c r="AN74" s="134">
        <f t="shared" si="37"/>
        <v>3.7465553566746146</v>
      </c>
      <c r="AO74" s="119">
        <f t="shared" si="38"/>
        <v>7.8394761437170803E-4</v>
      </c>
      <c r="AP74">
        <f t="shared" si="39"/>
        <v>38</v>
      </c>
      <c r="AQ74" s="124">
        <f t="shared" si="40"/>
        <v>0.625</v>
      </c>
      <c r="AR74" s="124"/>
      <c r="AS74" s="124"/>
      <c r="AT74" s="14">
        <f t="shared" si="41"/>
        <v>1</v>
      </c>
      <c r="AZ74" s="83"/>
      <c r="BA74" s="83"/>
      <c r="BB74" s="83"/>
      <c r="BC74" s="83"/>
      <c r="BD74" s="83"/>
      <c r="BE74" s="8">
        <f t="shared" si="42"/>
        <v>14.461227302873272</v>
      </c>
      <c r="BF74" s="16">
        <f t="shared" si="43"/>
        <v>19.289466157371507</v>
      </c>
      <c r="BG74" s="16"/>
      <c r="BH74" s="189"/>
      <c r="BI74" s="6">
        <f t="shared" si="44"/>
        <v>1.3089661965755251E-2</v>
      </c>
      <c r="BJ74" s="151">
        <f t="shared" si="45"/>
        <v>8.6438030038545897</v>
      </c>
      <c r="BK74" s="177">
        <f t="shared" si="46"/>
        <v>289.22454605746543</v>
      </c>
      <c r="BL74" s="134">
        <f t="shared" si="47"/>
        <v>2.4612351481139818</v>
      </c>
      <c r="BM74" s="119">
        <f t="shared" si="48"/>
        <v>7.8394761437170803E-4</v>
      </c>
      <c r="BN74">
        <f t="shared" si="49"/>
        <v>26</v>
      </c>
      <c r="BO74" s="124">
        <f t="shared" si="50"/>
        <v>0.42499999999999999</v>
      </c>
      <c r="BP74" s="124"/>
      <c r="BQ74" s="124"/>
      <c r="BR74" s="14">
        <f t="shared" si="51"/>
        <v>1</v>
      </c>
      <c r="BX74" s="83"/>
      <c r="BY74" s="83"/>
      <c r="BZ74" s="83"/>
      <c r="CA74" s="83"/>
      <c r="CB74" s="83"/>
      <c r="CC74" s="151"/>
      <c r="CD74" s="177">
        <f t="shared" si="52"/>
        <v>2500</v>
      </c>
      <c r="CE74" s="134">
        <f t="shared" si="53"/>
        <v>3.3979400086720375</v>
      </c>
      <c r="CF74" s="119">
        <f t="shared" si="54"/>
        <v>7.8394761437170803E-4</v>
      </c>
      <c r="CG74">
        <f t="shared" si="55"/>
        <v>19</v>
      </c>
      <c r="CH74" s="124">
        <f t="shared" si="56"/>
        <v>0.30833333333333335</v>
      </c>
      <c r="CI74" s="124"/>
      <c r="CJ74" s="124"/>
      <c r="CK74" s="14">
        <f t="shared" si="57"/>
        <v>3</v>
      </c>
      <c r="CL74" s="16"/>
    </row>
    <row r="75" spans="1:90" x14ac:dyDescent="0.2">
      <c r="A75" s="8">
        <v>26</v>
      </c>
      <c r="B75" t="s">
        <v>143</v>
      </c>
      <c r="C75">
        <v>2</v>
      </c>
      <c r="D75" t="s">
        <v>2</v>
      </c>
      <c r="E75" t="s">
        <v>1</v>
      </c>
      <c r="F75" s="6">
        <v>59</v>
      </c>
      <c r="G75" s="26" t="s">
        <v>29</v>
      </c>
      <c r="H75" s="1">
        <v>9</v>
      </c>
      <c r="I75" s="11">
        <v>310</v>
      </c>
      <c r="J75" s="13" t="s">
        <v>35</v>
      </c>
      <c r="K75" s="6"/>
      <c r="L75" s="1">
        <v>0.1</v>
      </c>
      <c r="M75" s="6">
        <v>70</v>
      </c>
      <c r="N75" s="1">
        <v>128.19</v>
      </c>
      <c r="O75" s="18">
        <v>31800.000000000004</v>
      </c>
      <c r="P75" s="30">
        <v>3.3</v>
      </c>
      <c r="Q75" s="1"/>
      <c r="R75" s="1"/>
      <c r="S75" s="1"/>
      <c r="T75" s="1"/>
      <c r="U75" s="1"/>
      <c r="V75">
        <v>11.5</v>
      </c>
      <c r="W75" s="238">
        <f t="shared" si="31"/>
        <v>-12.429974002032793</v>
      </c>
      <c r="X75" s="118">
        <f t="shared" si="32"/>
        <v>3.2102565477321432E-8</v>
      </c>
      <c r="Y75" s="1"/>
      <c r="Z75" s="1"/>
      <c r="AA75" s="1"/>
      <c r="AB75" s="1"/>
      <c r="AC75" s="197"/>
      <c r="AD75" s="244">
        <f>'Lohman 2011'!AD75</f>
        <v>2.6002668676849043</v>
      </c>
      <c r="AE75" s="96">
        <f t="shared" si="33"/>
        <v>398.35187683491063</v>
      </c>
      <c r="AF75" s="98">
        <f t="shared" si="34"/>
        <v>1.27881172091066E-5</v>
      </c>
      <c r="AG75" s="22">
        <v>149.52500000000001</v>
      </c>
      <c r="AH75" s="21"/>
      <c r="AI75" s="162">
        <v>0.05</v>
      </c>
      <c r="AJ75" s="167">
        <f t="shared" si="35"/>
        <v>48.176952020450095</v>
      </c>
      <c r="AK75" s="168">
        <f t="shared" si="36"/>
        <v>4.3607641542485434E-2</v>
      </c>
      <c r="AL75" s="151">
        <f t="shared" si="58"/>
        <v>3.1036625134883962</v>
      </c>
      <c r="AM75" s="177">
        <f t="shared" si="59"/>
        <v>963.53904040900181</v>
      </c>
      <c r="AN75" s="134">
        <f t="shared" si="37"/>
        <v>2.9838693159719663</v>
      </c>
      <c r="AO75" s="119">
        <f t="shared" si="38"/>
        <v>4.702044025157232E-3</v>
      </c>
      <c r="AP75">
        <f t="shared" si="39"/>
        <v>20</v>
      </c>
      <c r="AQ75" s="124">
        <f t="shared" si="40"/>
        <v>0.32500000000000001</v>
      </c>
      <c r="AR75" s="124"/>
      <c r="AS75" s="124"/>
      <c r="AT75" s="14">
        <f t="shared" si="41"/>
        <v>1</v>
      </c>
      <c r="AZ75" s="83"/>
      <c r="BA75" s="83"/>
      <c r="BB75" s="83"/>
      <c r="BC75" s="83"/>
      <c r="BD75" s="83"/>
      <c r="BE75" s="8">
        <f t="shared" si="42"/>
        <v>6.0079105457425275</v>
      </c>
      <c r="BF75" s="16">
        <f t="shared" si="43"/>
        <v>8.0189196649391565</v>
      </c>
      <c r="BG75" s="16"/>
      <c r="BH75" s="189"/>
      <c r="BI75" s="6">
        <f t="shared" si="44"/>
        <v>5.4380943274877306E-3</v>
      </c>
      <c r="BJ75" s="151">
        <f t="shared" si="45"/>
        <v>24.888020362746591</v>
      </c>
      <c r="BK75" s="177">
        <f t="shared" si="46"/>
        <v>120.15821091485054</v>
      </c>
      <c r="BL75" s="134">
        <f t="shared" si="47"/>
        <v>2.0797534533186108</v>
      </c>
      <c r="BM75" s="119">
        <f t="shared" si="48"/>
        <v>4.702044025157232E-3</v>
      </c>
      <c r="BN75">
        <f t="shared" si="49"/>
        <v>18</v>
      </c>
      <c r="BO75" s="124">
        <f t="shared" si="50"/>
        <v>0.29166666666666669</v>
      </c>
      <c r="BP75" s="124"/>
      <c r="BQ75" s="124"/>
      <c r="BR75" s="14">
        <f t="shared" si="51"/>
        <v>1</v>
      </c>
      <c r="BX75" s="83"/>
      <c r="BY75" s="83"/>
      <c r="BZ75" s="83"/>
      <c r="CA75" s="83"/>
      <c r="CB75" s="83"/>
      <c r="CC75" s="151"/>
      <c r="CD75" s="177">
        <f t="shared" si="52"/>
        <v>2990.5</v>
      </c>
      <c r="CE75" s="134">
        <f t="shared" si="53"/>
        <v>3.4757438067481257</v>
      </c>
      <c r="CF75" s="119">
        <f t="shared" si="54"/>
        <v>4.702044025157232E-3</v>
      </c>
      <c r="CG75">
        <f t="shared" si="55"/>
        <v>20</v>
      </c>
      <c r="CH75" s="124">
        <f t="shared" si="56"/>
        <v>0.32500000000000001</v>
      </c>
      <c r="CI75" s="124"/>
      <c r="CJ75" s="124"/>
      <c r="CK75" s="14">
        <f t="shared" si="57"/>
        <v>3</v>
      </c>
      <c r="CL75" s="16"/>
    </row>
    <row r="76" spans="1:90" x14ac:dyDescent="0.2">
      <c r="A76" s="8">
        <v>91</v>
      </c>
      <c r="B76" t="s">
        <v>143</v>
      </c>
      <c r="C76">
        <v>8</v>
      </c>
      <c r="D76" s="16" t="s">
        <v>28</v>
      </c>
      <c r="E76" t="s">
        <v>27</v>
      </c>
      <c r="F76" s="14" t="s">
        <v>26</v>
      </c>
      <c r="G76" s="26" t="s">
        <v>25</v>
      </c>
      <c r="H76" s="16">
        <v>18</v>
      </c>
      <c r="I76" s="11">
        <v>310</v>
      </c>
      <c r="J76" t="s">
        <v>35</v>
      </c>
      <c r="K76" s="6"/>
      <c r="L76" s="1">
        <v>0.1</v>
      </c>
      <c r="M76" s="6">
        <v>70</v>
      </c>
      <c r="N76" s="1">
        <v>128.19</v>
      </c>
      <c r="O76" s="18">
        <v>31800.000000000004</v>
      </c>
      <c r="P76" s="30">
        <v>3.3</v>
      </c>
      <c r="Q76" s="1"/>
      <c r="R76" s="1"/>
      <c r="S76" s="1"/>
      <c r="T76" s="1"/>
      <c r="U76" s="1"/>
      <c r="V76">
        <v>11.5</v>
      </c>
      <c r="W76" s="238">
        <f t="shared" si="31"/>
        <v>-11.932045233243958</v>
      </c>
      <c r="X76" s="118">
        <f t="shared" si="32"/>
        <v>1.0103422377885119E-7</v>
      </c>
      <c r="Y76" s="1"/>
      <c r="Z76" s="1"/>
      <c r="AA76" s="1"/>
      <c r="AB76" s="1"/>
      <c r="AC76" s="197"/>
      <c r="AD76" s="244">
        <f>'Lohman 2011'!AD76</f>
        <v>2.9440036075622853</v>
      </c>
      <c r="AE76" s="96">
        <f t="shared" si="33"/>
        <v>879.02981865437698</v>
      </c>
      <c r="AF76" s="98">
        <f t="shared" si="34"/>
        <v>8.8812095406209303E-5</v>
      </c>
      <c r="AG76" s="22">
        <v>13</v>
      </c>
      <c r="AH76" s="21"/>
      <c r="AI76" s="162">
        <v>0.05</v>
      </c>
      <c r="AJ76" s="167">
        <f t="shared" si="35"/>
        <v>29.08937365282743</v>
      </c>
      <c r="AK76" s="168">
        <f t="shared" si="36"/>
        <v>2.6330411654300161E-2</v>
      </c>
      <c r="AL76" s="151">
        <f t="shared" si="58"/>
        <v>0.44689858761315837</v>
      </c>
      <c r="AM76" s="177">
        <f t="shared" si="59"/>
        <v>581.78747305654861</v>
      </c>
      <c r="AN76" s="134">
        <f t="shared" si="37"/>
        <v>2.7647643658608749</v>
      </c>
      <c r="AO76" s="119">
        <f t="shared" si="38"/>
        <v>4.0880503144654083E-4</v>
      </c>
      <c r="AP76">
        <f t="shared" si="39"/>
        <v>15</v>
      </c>
      <c r="AQ76" s="124">
        <f t="shared" si="40"/>
        <v>0.24166666666666667</v>
      </c>
      <c r="AR76" s="124"/>
      <c r="AS76" s="124"/>
      <c r="AT76" s="14">
        <f t="shared" si="41"/>
        <v>1</v>
      </c>
      <c r="AZ76" s="83"/>
      <c r="BA76" s="83"/>
      <c r="BB76" s="83"/>
      <c r="BC76" s="83"/>
      <c r="BD76" s="83"/>
      <c r="BE76" s="8">
        <f t="shared" si="42"/>
        <v>1.328389037560926</v>
      </c>
      <c r="BF76" s="16">
        <f t="shared" si="43"/>
        <v>21.898233748028247</v>
      </c>
      <c r="BG76" s="16"/>
      <c r="BH76" s="189"/>
      <c r="BI76" s="6">
        <f t="shared" si="44"/>
        <v>1.2023988764240403E-3</v>
      </c>
      <c r="BJ76" s="151">
        <f t="shared" si="45"/>
        <v>9.7862897332166217</v>
      </c>
      <c r="BK76" s="177">
        <f t="shared" si="46"/>
        <v>26.567780751218518</v>
      </c>
      <c r="BL76" s="134">
        <f t="shared" si="47"/>
        <v>1.4243552786198059</v>
      </c>
      <c r="BM76" s="119">
        <f t="shared" si="48"/>
        <v>4.0880503144654083E-4</v>
      </c>
      <c r="BN76">
        <f t="shared" si="49"/>
        <v>13</v>
      </c>
      <c r="BO76" s="124">
        <f t="shared" si="50"/>
        <v>0.20833333333333334</v>
      </c>
      <c r="BP76" s="124"/>
      <c r="BQ76" s="124"/>
      <c r="BR76" s="14">
        <f t="shared" si="51"/>
        <v>1</v>
      </c>
      <c r="BX76" s="83"/>
      <c r="BY76" s="83"/>
      <c r="BZ76" s="83"/>
      <c r="CA76" s="83"/>
      <c r="CB76" s="83"/>
      <c r="CC76" s="151"/>
      <c r="CD76" s="177">
        <f t="shared" si="52"/>
        <v>260</v>
      </c>
      <c r="CE76" s="134">
        <f t="shared" si="53"/>
        <v>2.4149733479708178</v>
      </c>
      <c r="CF76" s="119">
        <f t="shared" si="54"/>
        <v>4.0880503144654083E-4</v>
      </c>
      <c r="CG76">
        <f t="shared" si="55"/>
        <v>9</v>
      </c>
      <c r="CH76" s="124">
        <f t="shared" si="56"/>
        <v>0.14166666666666666</v>
      </c>
      <c r="CI76" s="124"/>
      <c r="CJ76" s="124"/>
      <c r="CK76" s="14">
        <f t="shared" si="57"/>
        <v>3</v>
      </c>
      <c r="CL76" s="16"/>
    </row>
    <row r="77" spans="1:90" x14ac:dyDescent="0.2">
      <c r="A77" s="8">
        <v>67</v>
      </c>
      <c r="B77" t="s">
        <v>143</v>
      </c>
      <c r="C77">
        <v>6</v>
      </c>
      <c r="D77" t="s">
        <v>6</v>
      </c>
      <c r="E77" t="s">
        <v>5</v>
      </c>
      <c r="F77" s="9">
        <v>2</v>
      </c>
      <c r="G77" s="26" t="s">
        <v>31</v>
      </c>
      <c r="H77" s="1">
        <v>9</v>
      </c>
      <c r="I77" s="11">
        <v>-401</v>
      </c>
      <c r="J77" s="182" t="s">
        <v>34</v>
      </c>
      <c r="K77" s="6" t="s">
        <v>183</v>
      </c>
      <c r="L77" s="1">
        <v>1</v>
      </c>
      <c r="M77" s="6">
        <v>20</v>
      </c>
      <c r="N77" s="1">
        <v>167.85</v>
      </c>
      <c r="O77" s="18">
        <v>2900000</v>
      </c>
      <c r="P77" s="30">
        <v>2.39</v>
      </c>
      <c r="Q77" s="1"/>
      <c r="R77" s="1"/>
      <c r="S77" s="1"/>
      <c r="T77" s="1"/>
      <c r="U77" s="1"/>
      <c r="V77">
        <v>11.5</v>
      </c>
      <c r="W77" s="238">
        <f t="shared" si="31"/>
        <v>-12.671959775539953</v>
      </c>
      <c r="X77" s="118">
        <f t="shared" si="32"/>
        <v>1.8388824455791268E-8</v>
      </c>
      <c r="Y77" s="1"/>
      <c r="Z77" s="1"/>
      <c r="AA77" s="1"/>
      <c r="AB77" s="1"/>
      <c r="AC77" s="197"/>
      <c r="AD77" s="244">
        <f>'Lohman 2011'!AD77</f>
        <v>1.6993668676849047</v>
      </c>
      <c r="AE77" s="96">
        <f t="shared" si="33"/>
        <v>50.045711464207912</v>
      </c>
      <c r="AF77" s="98">
        <f t="shared" si="34"/>
        <v>9.2028180288049991E-7</v>
      </c>
      <c r="AG77" s="22">
        <v>74</v>
      </c>
      <c r="AH77" s="21"/>
      <c r="AI77" s="162">
        <v>0.05</v>
      </c>
      <c r="AJ77" s="167">
        <f t="shared" si="35"/>
        <v>1.71581893205233</v>
      </c>
      <c r="AK77" s="168">
        <f t="shared" si="36"/>
        <v>1.5530832442240741E-3</v>
      </c>
      <c r="AL77" s="151">
        <f t="shared" si="58"/>
        <v>43.128093890120979</v>
      </c>
      <c r="AM77" s="177">
        <f t="shared" si="59"/>
        <v>34.316378641046597</v>
      </c>
      <c r="AN77" s="134">
        <f t="shared" si="37"/>
        <v>1.5355014511116372</v>
      </c>
      <c r="AO77" s="119">
        <f t="shared" si="38"/>
        <v>2.5517241379310345E-5</v>
      </c>
      <c r="AP77">
        <f t="shared" si="39"/>
        <v>7</v>
      </c>
      <c r="AQ77" s="124">
        <f t="shared" si="40"/>
        <v>0.10833333333333334</v>
      </c>
      <c r="AR77" s="124"/>
      <c r="AS77" s="124"/>
      <c r="AT77" s="14">
        <f t="shared" si="41"/>
        <v>1</v>
      </c>
      <c r="AZ77" s="83"/>
      <c r="BA77" s="83"/>
      <c r="BB77" s="83"/>
      <c r="BC77" s="83"/>
      <c r="BD77" s="83"/>
      <c r="BE77" s="8">
        <f t="shared" si="42"/>
        <v>1.2094311934399937</v>
      </c>
      <c r="BF77" s="16">
        <f t="shared" si="43"/>
        <v>1.4186990887609028</v>
      </c>
      <c r="BG77" s="16"/>
      <c r="BH77" s="189"/>
      <c r="BI77" s="6">
        <f t="shared" si="44"/>
        <v>1.0947235086903051E-3</v>
      </c>
      <c r="BJ77" s="151">
        <f t="shared" si="45"/>
        <v>61.185787501909289</v>
      </c>
      <c r="BK77" s="177">
        <f t="shared" si="46"/>
        <v>24.188623868799873</v>
      </c>
      <c r="BL77" s="134">
        <f t="shared" si="47"/>
        <v>1.3836111613264597</v>
      </c>
      <c r="BM77" s="119">
        <f t="shared" si="48"/>
        <v>2.5517241379310345E-5</v>
      </c>
      <c r="BN77">
        <f t="shared" si="49"/>
        <v>12</v>
      </c>
      <c r="BO77" s="124">
        <f t="shared" si="50"/>
        <v>0.19166666666666668</v>
      </c>
      <c r="BP77" s="124"/>
      <c r="BQ77" s="124"/>
      <c r="BR77" s="14">
        <f t="shared" si="51"/>
        <v>1</v>
      </c>
      <c r="BX77" s="83"/>
      <c r="BY77" s="83"/>
      <c r="BZ77" s="83"/>
      <c r="CA77" s="83"/>
      <c r="CB77" s="83"/>
      <c r="CC77" s="151"/>
      <c r="CD77" s="177">
        <f t="shared" si="52"/>
        <v>1480</v>
      </c>
      <c r="CE77" s="134">
        <f t="shared" si="53"/>
        <v>3.1702617153949575</v>
      </c>
      <c r="CF77" s="119">
        <f t="shared" si="54"/>
        <v>2.5517241379310345E-5</v>
      </c>
      <c r="CG77">
        <f t="shared" si="55"/>
        <v>16</v>
      </c>
      <c r="CH77" s="124">
        <f t="shared" si="56"/>
        <v>0.25833333333333336</v>
      </c>
      <c r="CI77" s="124"/>
      <c r="CJ77" s="124"/>
      <c r="CK77" s="14">
        <f t="shared" si="57"/>
        <v>3</v>
      </c>
      <c r="CL77" s="16"/>
    </row>
    <row r="78" spans="1:90" x14ac:dyDescent="0.2">
      <c r="A78" s="8">
        <v>3</v>
      </c>
      <c r="B78" t="s">
        <v>143</v>
      </c>
      <c r="C78">
        <v>1</v>
      </c>
      <c r="D78" s="23" t="s">
        <v>11</v>
      </c>
      <c r="E78" t="s">
        <v>10</v>
      </c>
      <c r="F78" s="6">
        <v>42</v>
      </c>
      <c r="G78" s="28" t="s">
        <v>33</v>
      </c>
      <c r="H78" s="1">
        <v>9</v>
      </c>
      <c r="I78" s="11">
        <v>403</v>
      </c>
      <c r="J78" t="s">
        <v>12</v>
      </c>
      <c r="K78" s="6" t="s">
        <v>153</v>
      </c>
      <c r="L78" s="1">
        <v>10</v>
      </c>
      <c r="M78" s="6">
        <v>40</v>
      </c>
      <c r="N78" s="1">
        <v>165.80749949115744</v>
      </c>
      <c r="O78" s="18">
        <v>118882.50367033854</v>
      </c>
      <c r="P78" s="30">
        <v>3.4</v>
      </c>
      <c r="Q78" s="1"/>
      <c r="R78" s="1"/>
      <c r="S78" s="1"/>
      <c r="T78" s="1"/>
      <c r="U78" s="1"/>
      <c r="V78">
        <v>11.5</v>
      </c>
      <c r="W78" s="238">
        <f t="shared" si="31"/>
        <v>-12.660107995177276</v>
      </c>
      <c r="X78" s="118">
        <f t="shared" si="32"/>
        <v>1.889756062638462E-8</v>
      </c>
      <c r="Y78" s="1"/>
      <c r="Z78" s="1"/>
      <c r="AA78" s="1"/>
      <c r="AB78" s="1"/>
      <c r="AC78" s="197"/>
      <c r="AD78" s="244">
        <f>'Lohman 2011'!AD78</f>
        <v>2.6992668676849045</v>
      </c>
      <c r="AE78" s="96">
        <f t="shared" si="33"/>
        <v>500.34189339873814</v>
      </c>
      <c r="AF78" s="98">
        <f t="shared" si="34"/>
        <v>9.4552412644227248E-6</v>
      </c>
      <c r="AG78" s="22">
        <v>7144.6285714285714</v>
      </c>
      <c r="AH78" s="21"/>
      <c r="AI78" s="162">
        <v>0.05</v>
      </c>
      <c r="AJ78" s="167">
        <f t="shared" si="35"/>
        <v>1702.0455250074326</v>
      </c>
      <c r="AK78" s="168">
        <f t="shared" si="36"/>
        <v>1.5406161666684479</v>
      </c>
      <c r="AL78" s="151">
        <f t="shared" si="58"/>
        <v>4.197671840415298</v>
      </c>
      <c r="AM78" s="177">
        <f t="shared" si="59"/>
        <v>34040.910500148653</v>
      </c>
      <c r="AN78" s="134">
        <f t="shared" si="37"/>
        <v>4.5320011677433971</v>
      </c>
      <c r="AO78" s="119">
        <f t="shared" si="38"/>
        <v>6.0098234398231073E-2</v>
      </c>
      <c r="AP78">
        <f t="shared" si="39"/>
        <v>52</v>
      </c>
      <c r="AQ78" s="124">
        <f t="shared" si="40"/>
        <v>0.85833333333333328</v>
      </c>
      <c r="AR78" s="124"/>
      <c r="AS78" s="124"/>
      <c r="AT78" s="14">
        <f t="shared" si="41"/>
        <v>1</v>
      </c>
      <c r="AZ78" s="83"/>
      <c r="BA78" s="83"/>
      <c r="BB78" s="83"/>
      <c r="BC78" s="83"/>
      <c r="BD78" s="83"/>
      <c r="BE78" s="8">
        <f t="shared" si="42"/>
        <v>218.11341937999035</v>
      </c>
      <c r="BF78" s="16">
        <f t="shared" si="43"/>
        <v>7.8034883403582906</v>
      </c>
      <c r="BG78" s="16"/>
      <c r="BH78" s="189"/>
      <c r="BI78" s="6">
        <f t="shared" si="44"/>
        <v>0.19742659942229268</v>
      </c>
      <c r="BJ78" s="151">
        <f t="shared" si="45"/>
        <v>32.756483263331098</v>
      </c>
      <c r="BK78" s="177">
        <f t="shared" si="46"/>
        <v>4362.2683875998064</v>
      </c>
      <c r="BL78" s="134">
        <f t="shared" si="47"/>
        <v>3.639712381936834</v>
      </c>
      <c r="BM78" s="119">
        <f t="shared" si="48"/>
        <v>6.0098234398231073E-2</v>
      </c>
      <c r="BN78">
        <f t="shared" si="49"/>
        <v>52</v>
      </c>
      <c r="BO78" s="124">
        <f t="shared" si="50"/>
        <v>0.85833333333333328</v>
      </c>
      <c r="BP78" s="124"/>
      <c r="BQ78" s="124"/>
      <c r="BR78" s="14">
        <f t="shared" si="51"/>
        <v>1</v>
      </c>
      <c r="BX78" s="83"/>
      <c r="BY78" s="83"/>
      <c r="BZ78" s="83"/>
      <c r="CA78" s="83"/>
      <c r="CB78" s="83"/>
      <c r="CC78" s="151"/>
      <c r="CD78" s="177">
        <f t="shared" si="52"/>
        <v>142892.57142857142</v>
      </c>
      <c r="CE78" s="134">
        <f t="shared" si="53"/>
        <v>5.1550096516640389</v>
      </c>
      <c r="CF78" s="119">
        <f t="shared" si="54"/>
        <v>6.0098234398231073E-2</v>
      </c>
      <c r="CG78">
        <f t="shared" si="55"/>
        <v>55</v>
      </c>
      <c r="CH78" s="124">
        <f t="shared" si="56"/>
        <v>0.90833333333333333</v>
      </c>
      <c r="CI78" s="124"/>
      <c r="CJ78" s="124"/>
      <c r="CK78" s="14">
        <f t="shared" si="57"/>
        <v>3</v>
      </c>
      <c r="CL78" s="16"/>
    </row>
    <row r="79" spans="1:90" x14ac:dyDescent="0.2">
      <c r="A79" s="8">
        <v>23</v>
      </c>
      <c r="B79" t="s">
        <v>143</v>
      </c>
      <c r="C79">
        <v>2</v>
      </c>
      <c r="D79" t="s">
        <v>2</v>
      </c>
      <c r="E79" t="s">
        <v>1</v>
      </c>
      <c r="F79" s="6">
        <v>59</v>
      </c>
      <c r="G79" s="26" t="s">
        <v>29</v>
      </c>
      <c r="H79" s="1">
        <v>9</v>
      </c>
      <c r="I79" s="11">
        <v>204</v>
      </c>
      <c r="J79" s="13" t="s">
        <v>32</v>
      </c>
      <c r="K79" s="6" t="s">
        <v>184</v>
      </c>
      <c r="L79" s="1">
        <v>1</v>
      </c>
      <c r="M79" s="6">
        <v>1000</v>
      </c>
      <c r="N79" s="1">
        <v>92.14249284505685</v>
      </c>
      <c r="O79" s="18">
        <v>610591.05234897148</v>
      </c>
      <c r="P79" s="30">
        <v>2.73</v>
      </c>
      <c r="Q79" s="1"/>
      <c r="R79" s="1"/>
      <c r="S79" s="1"/>
      <c r="T79" s="1"/>
      <c r="U79" s="1"/>
      <c r="V79">
        <v>11.5</v>
      </c>
      <c r="W79" s="238">
        <f t="shared" si="31"/>
        <v>-12.182219372284896</v>
      </c>
      <c r="X79" s="118">
        <f t="shared" si="32"/>
        <v>5.6792942459416879E-8</v>
      </c>
      <c r="Y79" s="1"/>
      <c r="Z79" s="1"/>
      <c r="AA79" s="1"/>
      <c r="AB79" s="1"/>
      <c r="AC79" s="197"/>
      <c r="AD79" s="244">
        <f>'Lohman 2011'!AD79</f>
        <v>2.0359668676849045</v>
      </c>
      <c r="AE79" s="96">
        <f t="shared" si="33"/>
        <v>108.63427433950855</v>
      </c>
      <c r="AF79" s="98">
        <f t="shared" si="34"/>
        <v>6.1696600916842169E-6</v>
      </c>
      <c r="AG79" s="22">
        <v>47.274999999999999</v>
      </c>
      <c r="AH79" s="21"/>
      <c r="AI79" s="162">
        <v>0.05</v>
      </c>
      <c r="AJ79" s="167">
        <f t="shared" si="35"/>
        <v>7.3487195977417823</v>
      </c>
      <c r="AK79" s="168">
        <f t="shared" si="36"/>
        <v>6.6517352504685814E-3</v>
      </c>
      <c r="AL79" s="151">
        <f t="shared" si="58"/>
        <v>6.433093462230798</v>
      </c>
      <c r="AM79" s="177">
        <f t="shared" si="59"/>
        <v>146.97439195483562</v>
      </c>
      <c r="AN79" s="134">
        <f t="shared" si="37"/>
        <v>2.1672416721527958</v>
      </c>
      <c r="AO79" s="119">
        <f t="shared" si="38"/>
        <v>7.7424979973307712E-5</v>
      </c>
      <c r="AP79">
        <f t="shared" si="39"/>
        <v>13</v>
      </c>
      <c r="AQ79" s="124">
        <f t="shared" si="40"/>
        <v>0.20833333333333334</v>
      </c>
      <c r="AR79" s="124"/>
      <c r="AS79" s="124"/>
      <c r="AT79" s="14">
        <f t="shared" si="41"/>
        <v>1</v>
      </c>
      <c r="AZ79" s="83"/>
      <c r="BA79" s="83"/>
      <c r="BB79" s="83"/>
      <c r="BC79" s="83"/>
      <c r="BD79" s="83"/>
      <c r="BE79" s="8">
        <f t="shared" si="42"/>
        <v>1.9332826639958351</v>
      </c>
      <c r="BF79" s="16">
        <f t="shared" si="43"/>
        <v>3.8011614827978466</v>
      </c>
      <c r="BG79" s="16"/>
      <c r="BH79" s="189"/>
      <c r="BI79" s="6">
        <f t="shared" si="44"/>
        <v>1.749921775376027E-3</v>
      </c>
      <c r="BJ79" s="151">
        <f t="shared" si="45"/>
        <v>24.45322708387036</v>
      </c>
      <c r="BK79" s="177">
        <f t="shared" si="46"/>
        <v>38.665653279916704</v>
      </c>
      <c r="BL79" s="134">
        <f t="shared" si="47"/>
        <v>1.5873253522475781</v>
      </c>
      <c r="BM79" s="119">
        <f t="shared" si="48"/>
        <v>7.7424979973307712E-5</v>
      </c>
      <c r="BN79">
        <f t="shared" si="49"/>
        <v>16</v>
      </c>
      <c r="BO79" s="124">
        <f t="shared" si="50"/>
        <v>0.25833333333333336</v>
      </c>
      <c r="BP79" s="124"/>
      <c r="BQ79" s="124"/>
      <c r="BR79" s="14">
        <f t="shared" si="51"/>
        <v>1</v>
      </c>
      <c r="BX79" s="83"/>
      <c r="BY79" s="83"/>
      <c r="BZ79" s="83"/>
      <c r="CA79" s="83"/>
      <c r="CB79" s="83"/>
      <c r="CC79" s="151"/>
      <c r="CD79" s="177">
        <f t="shared" si="52"/>
        <v>945.49999999999989</v>
      </c>
      <c r="CE79" s="134">
        <f t="shared" si="53"/>
        <v>2.9756615331810585</v>
      </c>
      <c r="CF79" s="119">
        <f t="shared" si="54"/>
        <v>7.7424979973307712E-5</v>
      </c>
      <c r="CG79">
        <f t="shared" si="55"/>
        <v>15</v>
      </c>
      <c r="CH79" s="124">
        <f t="shared" si="56"/>
        <v>0.24166666666666667</v>
      </c>
      <c r="CI79" s="124"/>
      <c r="CJ79" s="124"/>
      <c r="CK79" s="14">
        <f t="shared" si="57"/>
        <v>3</v>
      </c>
      <c r="CL79" s="16"/>
    </row>
    <row r="80" spans="1:90" x14ac:dyDescent="0.2">
      <c r="A80" s="8">
        <v>88</v>
      </c>
      <c r="B80" t="s">
        <v>143</v>
      </c>
      <c r="C80">
        <v>8</v>
      </c>
      <c r="D80" s="16" t="s">
        <v>28</v>
      </c>
      <c r="E80" t="s">
        <v>27</v>
      </c>
      <c r="F80" s="14" t="s">
        <v>26</v>
      </c>
      <c r="G80" s="26" t="s">
        <v>25</v>
      </c>
      <c r="H80" s="16">
        <v>18</v>
      </c>
      <c r="I80" s="11">
        <v>204</v>
      </c>
      <c r="J80" t="s">
        <v>32</v>
      </c>
      <c r="K80" s="6" t="s">
        <v>184</v>
      </c>
      <c r="L80" s="1">
        <v>1</v>
      </c>
      <c r="M80" s="6">
        <v>1000</v>
      </c>
      <c r="N80" s="1">
        <v>92.14249284505685</v>
      </c>
      <c r="O80" s="18">
        <v>610591.05234897148</v>
      </c>
      <c r="P80" s="30">
        <v>2.73</v>
      </c>
      <c r="Q80" s="1"/>
      <c r="R80" s="1"/>
      <c r="S80" s="1"/>
      <c r="T80" s="1"/>
      <c r="U80" s="1"/>
      <c r="V80">
        <v>11.5</v>
      </c>
      <c r="W80" s="238">
        <f t="shared" si="31"/>
        <v>-11.684290603496063</v>
      </c>
      <c r="X80" s="118">
        <f t="shared" si="32"/>
        <v>1.7874057017523116E-7</v>
      </c>
      <c r="Y80" s="1"/>
      <c r="Z80" s="1"/>
      <c r="AA80" s="1"/>
      <c r="AB80" s="1"/>
      <c r="AC80" s="197"/>
      <c r="AD80" s="244">
        <f>'Lohman 2011'!AD80</f>
        <v>2.3797036075622859</v>
      </c>
      <c r="AE80" s="96">
        <f t="shared" si="33"/>
        <v>239.71963488923959</v>
      </c>
      <c r="AF80" s="98">
        <f t="shared" si="34"/>
        <v>4.2847624222300922E-5</v>
      </c>
      <c r="AG80" s="22">
        <v>1.1000000000000001</v>
      </c>
      <c r="AH80" s="21"/>
      <c r="AI80" s="162">
        <v>0.05</v>
      </c>
      <c r="AJ80" s="167">
        <f t="shared" si="35"/>
        <v>1.1875128910186701</v>
      </c>
      <c r="AK80" s="168">
        <f t="shared" si="36"/>
        <v>1.0748840328595561E-3</v>
      </c>
      <c r="AL80" s="151">
        <f t="shared" si="58"/>
        <v>0.92630573387409731</v>
      </c>
      <c r="AM80" s="177">
        <f t="shared" si="59"/>
        <v>23.750257820373399</v>
      </c>
      <c r="AN80" s="134">
        <f t="shared" si="37"/>
        <v>1.3756683284601587</v>
      </c>
      <c r="AO80" s="119">
        <f t="shared" si="38"/>
        <v>1.8015331141330194E-6</v>
      </c>
      <c r="AP80">
        <f t="shared" si="39"/>
        <v>5</v>
      </c>
      <c r="AQ80" s="124">
        <f t="shared" si="40"/>
        <v>7.4999999999999997E-2</v>
      </c>
      <c r="AR80" s="124"/>
      <c r="AS80" s="124"/>
      <c r="AT80" s="14">
        <f t="shared" si="41"/>
        <v>1</v>
      </c>
      <c r="AZ80" s="83"/>
      <c r="BA80" s="83"/>
      <c r="BB80" s="83"/>
      <c r="BC80" s="83"/>
      <c r="BD80" s="83"/>
      <c r="BE80" s="8">
        <f t="shared" si="42"/>
        <v>0.11440072804290462</v>
      </c>
      <c r="BF80" s="16">
        <f t="shared" si="43"/>
        <v>10.380291378681676</v>
      </c>
      <c r="BG80" s="16"/>
      <c r="BH80" s="189"/>
      <c r="BI80" s="6">
        <f t="shared" si="44"/>
        <v>1.0355046825246914E-4</v>
      </c>
      <c r="BJ80" s="151">
        <f t="shared" si="45"/>
        <v>9.6153234233566973</v>
      </c>
      <c r="BK80" s="177">
        <f t="shared" si="46"/>
        <v>2.2880145608580924</v>
      </c>
      <c r="BL80" s="134">
        <f t="shared" si="47"/>
        <v>0.35945878396722758</v>
      </c>
      <c r="BM80" s="119">
        <f t="shared" si="48"/>
        <v>1.8015331141330194E-6</v>
      </c>
      <c r="BN80">
        <f t="shared" si="49"/>
        <v>2</v>
      </c>
      <c r="BO80" s="124">
        <f t="shared" si="50"/>
        <v>2.5000000000000001E-2</v>
      </c>
      <c r="BP80" s="124"/>
      <c r="BQ80" s="124"/>
      <c r="BR80" s="14">
        <f t="shared" si="51"/>
        <v>1</v>
      </c>
      <c r="BX80" s="83"/>
      <c r="BY80" s="83"/>
      <c r="BZ80" s="83"/>
      <c r="CA80" s="83"/>
      <c r="CB80" s="83"/>
      <c r="CC80" s="151"/>
      <c r="CD80" s="177">
        <f t="shared" si="52"/>
        <v>22</v>
      </c>
      <c r="CE80" s="134">
        <f t="shared" si="53"/>
        <v>1.3424226808222062</v>
      </c>
      <c r="CF80" s="119">
        <f t="shared" si="54"/>
        <v>1.8015331141330194E-6</v>
      </c>
      <c r="CG80">
        <f t="shared" si="55"/>
        <v>1</v>
      </c>
      <c r="CH80" s="124">
        <f t="shared" si="56"/>
        <v>8.3333333333333332E-3</v>
      </c>
      <c r="CI80" s="124"/>
      <c r="CJ80" s="124"/>
      <c r="CK80" s="14">
        <f t="shared" si="57"/>
        <v>3</v>
      </c>
      <c r="CL80" s="16"/>
    </row>
    <row r="81" spans="1:90" x14ac:dyDescent="0.2">
      <c r="A81" s="8">
        <v>68</v>
      </c>
      <c r="B81" t="s">
        <v>143</v>
      </c>
      <c r="C81">
        <v>6</v>
      </c>
      <c r="D81" t="s">
        <v>6</v>
      </c>
      <c r="E81" t="s">
        <v>5</v>
      </c>
      <c r="F81" s="9">
        <v>2</v>
      </c>
      <c r="G81" s="26" t="s">
        <v>31</v>
      </c>
      <c r="H81" s="1">
        <v>9</v>
      </c>
      <c r="I81" s="11">
        <v>406</v>
      </c>
      <c r="J81" t="s">
        <v>30</v>
      </c>
      <c r="K81" s="6"/>
      <c r="L81" s="1">
        <v>0.1</v>
      </c>
      <c r="M81" s="6">
        <v>5</v>
      </c>
      <c r="N81" s="1">
        <v>62.5</v>
      </c>
      <c r="O81" s="18">
        <v>428000</v>
      </c>
      <c r="P81" s="30">
        <v>1.52</v>
      </c>
      <c r="Q81" s="1"/>
      <c r="R81" s="1"/>
      <c r="S81" s="1"/>
      <c r="T81" s="1"/>
      <c r="U81" s="1"/>
      <c r="V81">
        <v>11.5</v>
      </c>
      <c r="W81" s="238">
        <f t="shared" si="31"/>
        <v>-11.947924853041124</v>
      </c>
      <c r="X81" s="118">
        <f t="shared" si="32"/>
        <v>9.7406713259906221E-8</v>
      </c>
      <c r="Y81" s="1"/>
      <c r="Z81" s="1"/>
      <c r="AA81" s="1"/>
      <c r="AB81" s="1"/>
      <c r="AC81" s="197"/>
      <c r="AD81" s="244">
        <f>'Lohman 2011'!AD81</f>
        <v>0.83806686768490424</v>
      </c>
      <c r="AE81" s="96">
        <f t="shared" si="33"/>
        <v>6.8875833529222055</v>
      </c>
      <c r="AF81" s="98">
        <f t="shared" si="34"/>
        <v>6.7089685671179676E-7</v>
      </c>
      <c r="AG81" s="22">
        <v>97</v>
      </c>
      <c r="AH81" s="21"/>
      <c r="AI81" s="162">
        <v>0.05</v>
      </c>
      <c r="AJ81" s="167">
        <f t="shared" si="35"/>
        <v>1.6396320257254793</v>
      </c>
      <c r="AK81" s="168">
        <f t="shared" si="36"/>
        <v>1.4841222335747917E-3</v>
      </c>
      <c r="AL81" s="151">
        <f t="shared" si="58"/>
        <v>59.159615375944441</v>
      </c>
      <c r="AM81" s="177">
        <f t="shared" si="59"/>
        <v>32.792640514509586</v>
      </c>
      <c r="AN81" s="134">
        <f t="shared" si="37"/>
        <v>1.5157763881457353</v>
      </c>
      <c r="AO81" s="119">
        <f t="shared" si="38"/>
        <v>2.2663551401869158E-4</v>
      </c>
      <c r="AP81">
        <f t="shared" si="39"/>
        <v>6</v>
      </c>
      <c r="AQ81" s="124">
        <f t="shared" si="40"/>
        <v>9.166666666666666E-2</v>
      </c>
      <c r="AR81" s="124"/>
      <c r="AS81" s="124"/>
      <c r="AT81" s="14">
        <f t="shared" si="41"/>
        <v>1</v>
      </c>
      <c r="AZ81" s="83"/>
      <c r="BA81" s="83"/>
      <c r="BB81" s="83"/>
      <c r="BC81" s="83"/>
      <c r="BD81" s="83"/>
      <c r="BE81" s="8">
        <f t="shared" si="42"/>
        <v>1.6396320257254793</v>
      </c>
      <c r="BF81" s="16">
        <f t="shared" si="43"/>
        <v>1</v>
      </c>
      <c r="BG81" s="16"/>
      <c r="BH81" s="189"/>
      <c r="BI81" s="6">
        <f t="shared" si="44"/>
        <v>1.4841222335747917E-3</v>
      </c>
      <c r="BJ81" s="151">
        <f t="shared" si="45"/>
        <v>59.159615375944441</v>
      </c>
      <c r="BK81" s="177">
        <f t="shared" si="46"/>
        <v>32.792640514509586</v>
      </c>
      <c r="BL81" s="134">
        <f t="shared" si="47"/>
        <v>1.5157763881457353</v>
      </c>
      <c r="BM81" s="119">
        <f t="shared" si="48"/>
        <v>2.2663551401869158E-4</v>
      </c>
      <c r="BN81">
        <f t="shared" si="49"/>
        <v>15</v>
      </c>
      <c r="BO81" s="124">
        <f t="shared" si="50"/>
        <v>0.24166666666666667</v>
      </c>
      <c r="BP81" s="124"/>
      <c r="BQ81" s="124"/>
      <c r="BR81" s="14">
        <f t="shared" si="51"/>
        <v>1</v>
      </c>
      <c r="BX81" s="83"/>
      <c r="BY81" s="83"/>
      <c r="BZ81" s="83"/>
      <c r="CA81" s="83"/>
      <c r="CB81" s="83"/>
      <c r="CC81" s="151"/>
      <c r="CD81" s="177">
        <f t="shared" si="52"/>
        <v>1940</v>
      </c>
      <c r="CE81" s="134">
        <f t="shared" si="53"/>
        <v>3.287801729930226</v>
      </c>
      <c r="CF81" s="119">
        <f t="shared" si="54"/>
        <v>2.2663551401869158E-4</v>
      </c>
      <c r="CG81">
        <f t="shared" si="55"/>
        <v>17</v>
      </c>
      <c r="CH81" s="124">
        <f t="shared" si="56"/>
        <v>0.27500000000000002</v>
      </c>
      <c r="CI81" s="124"/>
      <c r="CJ81" s="124"/>
      <c r="CK81" s="14">
        <f t="shared" si="57"/>
        <v>3</v>
      </c>
      <c r="CL81" s="16"/>
    </row>
    <row r="82" spans="1:90" x14ac:dyDescent="0.2">
      <c r="A82" s="8">
        <v>25</v>
      </c>
      <c r="B82" t="s">
        <v>143</v>
      </c>
      <c r="C82">
        <v>2</v>
      </c>
      <c r="D82" t="s">
        <v>2</v>
      </c>
      <c r="E82" t="s">
        <v>1</v>
      </c>
      <c r="F82" s="6">
        <v>59</v>
      </c>
      <c r="G82" s="26" t="s">
        <v>29</v>
      </c>
      <c r="H82" s="1">
        <v>9</v>
      </c>
      <c r="I82" s="11">
        <v>-200</v>
      </c>
      <c r="J82" s="13" t="s">
        <v>24</v>
      </c>
      <c r="K82" s="6" t="s">
        <v>154</v>
      </c>
      <c r="L82" s="1">
        <v>1</v>
      </c>
      <c r="M82" s="6">
        <v>70</v>
      </c>
      <c r="N82" s="1">
        <v>106.18777634762812</v>
      </c>
      <c r="O82" s="18">
        <v>209092.85927557945</v>
      </c>
      <c r="P82" s="30">
        <v>3.1566666666666667</v>
      </c>
      <c r="Q82" s="1"/>
      <c r="R82" s="1"/>
      <c r="S82" s="1"/>
      <c r="T82" s="1"/>
      <c r="U82" s="1"/>
      <c r="V82">
        <v>11.5</v>
      </c>
      <c r="W82" s="238">
        <f t="shared" si="31"/>
        <v>-12.282657403979805</v>
      </c>
      <c r="X82" s="118">
        <f t="shared" si="32"/>
        <v>4.5066760227009673E-8</v>
      </c>
      <c r="Y82" s="1"/>
      <c r="Z82" s="1"/>
      <c r="AA82" s="1"/>
      <c r="AB82" s="1"/>
      <c r="AC82" s="197"/>
      <c r="AD82" s="244">
        <f>'Lohman 2011'!AD82</f>
        <v>2.4583668676849046</v>
      </c>
      <c r="AE82" s="96">
        <f t="shared" si="33"/>
        <v>287.32066814479754</v>
      </c>
      <c r="AF82" s="98">
        <f t="shared" si="34"/>
        <v>1.2948611659545806E-5</v>
      </c>
      <c r="AG82" s="22">
        <v>2638</v>
      </c>
      <c r="AH82" s="21"/>
      <c r="AI82" s="162">
        <v>0.05</v>
      </c>
      <c r="AJ82" s="167">
        <f t="shared" si="35"/>
        <v>860.63082786298401</v>
      </c>
      <c r="AK82" s="168">
        <f t="shared" si="36"/>
        <v>0.77900487822332076</v>
      </c>
      <c r="AL82" s="151">
        <f t="shared" si="58"/>
        <v>3.0651934773825933</v>
      </c>
      <c r="AM82" s="177">
        <f t="shared" si="59"/>
        <v>17212.61655725968</v>
      </c>
      <c r="AN82" s="134">
        <f t="shared" si="37"/>
        <v>4.2358468941511562</v>
      </c>
      <c r="AO82" s="119">
        <f t="shared" si="38"/>
        <v>1.2616404066306149E-2</v>
      </c>
      <c r="AP82">
        <f t="shared" si="39"/>
        <v>45</v>
      </c>
      <c r="AQ82" s="124">
        <f t="shared" si="40"/>
        <v>0.7416666666666667</v>
      </c>
      <c r="AR82" s="124"/>
      <c r="AS82" s="124"/>
      <c r="AT82" s="14">
        <f t="shared" si="41"/>
        <v>1</v>
      </c>
      <c r="AZ82" s="83"/>
      <c r="BA82" s="83"/>
      <c r="BB82" s="83"/>
      <c r="BC82" s="83"/>
      <c r="BD82" s="83"/>
      <c r="BE82" s="8">
        <f t="shared" si="42"/>
        <v>120.48540292045287</v>
      </c>
      <c r="BF82" s="16">
        <f t="shared" si="43"/>
        <v>7.1430298359975728</v>
      </c>
      <c r="BG82" s="16"/>
      <c r="BH82" s="189"/>
      <c r="BI82" s="6">
        <f t="shared" si="44"/>
        <v>0.10905804625055544</v>
      </c>
      <c r="BJ82" s="151">
        <f t="shared" si="45"/>
        <v>21.894768462049015</v>
      </c>
      <c r="BK82" s="177">
        <f t="shared" si="46"/>
        <v>2409.7080584090572</v>
      </c>
      <c r="BL82" s="134">
        <f t="shared" si="47"/>
        <v>3.3819644300014082</v>
      </c>
      <c r="BM82" s="119">
        <f t="shared" si="48"/>
        <v>1.2616404066306149E-2</v>
      </c>
      <c r="BN82">
        <f t="shared" si="49"/>
        <v>46</v>
      </c>
      <c r="BO82" s="124">
        <f t="shared" si="50"/>
        <v>0.7583333333333333</v>
      </c>
      <c r="BP82" s="124"/>
      <c r="BQ82" s="124"/>
      <c r="BR82" s="14">
        <f t="shared" si="51"/>
        <v>1</v>
      </c>
      <c r="BX82" s="83"/>
      <c r="BY82" s="83"/>
      <c r="BZ82" s="83"/>
      <c r="CA82" s="83"/>
      <c r="CB82" s="83"/>
      <c r="CC82" s="151"/>
      <c r="CD82" s="177">
        <f t="shared" si="52"/>
        <v>52760</v>
      </c>
      <c r="CE82" s="134">
        <f t="shared" si="53"/>
        <v>4.7223047868743278</v>
      </c>
      <c r="CF82" s="119">
        <f t="shared" si="54"/>
        <v>1.2616404066306149E-2</v>
      </c>
      <c r="CG82">
        <f t="shared" si="55"/>
        <v>43</v>
      </c>
      <c r="CH82" s="124">
        <f t="shared" si="56"/>
        <v>0.70833333333333337</v>
      </c>
      <c r="CI82" s="124"/>
      <c r="CJ82" s="124"/>
      <c r="CK82" s="14">
        <f t="shared" si="57"/>
        <v>3</v>
      </c>
      <c r="CL82" s="16"/>
    </row>
    <row r="83" spans="1:90" x14ac:dyDescent="0.2">
      <c r="A83" s="8">
        <v>90</v>
      </c>
      <c r="B83" t="s">
        <v>143</v>
      </c>
      <c r="C83">
        <v>8</v>
      </c>
      <c r="D83" s="16" t="s">
        <v>28</v>
      </c>
      <c r="E83" t="s">
        <v>27</v>
      </c>
      <c r="F83" s="14" t="s">
        <v>26</v>
      </c>
      <c r="G83" s="26" t="s">
        <v>25</v>
      </c>
      <c r="H83" s="16">
        <v>18</v>
      </c>
      <c r="I83" s="11">
        <v>-200</v>
      </c>
      <c r="J83" t="s">
        <v>24</v>
      </c>
      <c r="K83" s="6" t="s">
        <v>154</v>
      </c>
      <c r="L83" s="1">
        <v>1</v>
      </c>
      <c r="M83" s="6">
        <v>70</v>
      </c>
      <c r="N83" s="1">
        <v>106.18777634762812</v>
      </c>
      <c r="O83" s="18">
        <v>209092.85927557945</v>
      </c>
      <c r="P83" s="30">
        <v>3.1566666666666667</v>
      </c>
      <c r="Q83" s="1"/>
      <c r="R83" s="1"/>
      <c r="S83" s="1"/>
      <c r="T83" s="1"/>
      <c r="U83" s="1"/>
      <c r="V83">
        <v>11.5</v>
      </c>
      <c r="W83" s="238">
        <f t="shared" si="31"/>
        <v>-11.784728635190969</v>
      </c>
      <c r="X83" s="118">
        <f t="shared" si="32"/>
        <v>1.4183555332922391E-7</v>
      </c>
      <c r="Y83" s="1"/>
      <c r="Z83" s="1"/>
      <c r="AA83" s="1"/>
      <c r="AB83" s="1"/>
      <c r="AC83" s="197"/>
      <c r="AD83" s="244">
        <f>'Lohman 2011'!AD83</f>
        <v>2.8021036075622856</v>
      </c>
      <c r="AE83" s="96">
        <f t="shared" si="33"/>
        <v>634.02094856865938</v>
      </c>
      <c r="AF83" s="98">
        <f t="shared" si="34"/>
        <v>8.992671206255522E-5</v>
      </c>
      <c r="AG83" s="22">
        <v>255.10499999999999</v>
      </c>
      <c r="AH83" s="21"/>
      <c r="AI83" s="162">
        <v>0.05</v>
      </c>
      <c r="AJ83" s="167">
        <f t="shared" si="35"/>
        <v>577.99833410728513</v>
      </c>
      <c r="AK83" s="168">
        <f t="shared" si="36"/>
        <v>0.52317847246137894</v>
      </c>
      <c r="AL83" s="151">
        <f t="shared" si="58"/>
        <v>0.44135940355954156</v>
      </c>
      <c r="AM83" s="177">
        <f t="shared" si="59"/>
        <v>11559.966682145701</v>
      </c>
      <c r="AN83" s="134">
        <f t="shared" si="37"/>
        <v>4.0629565823733405</v>
      </c>
      <c r="AO83" s="119">
        <f t="shared" si="38"/>
        <v>1.2200560118783284E-3</v>
      </c>
      <c r="AP83">
        <f t="shared" si="39"/>
        <v>44</v>
      </c>
      <c r="AQ83" s="124">
        <f t="shared" si="40"/>
        <v>0.72499999999999998</v>
      </c>
      <c r="AR83" s="124"/>
      <c r="AS83" s="124"/>
      <c r="AT83" s="14">
        <f t="shared" si="41"/>
        <v>1</v>
      </c>
      <c r="AZ83" s="83"/>
      <c r="BA83" s="83"/>
      <c r="BB83" s="83"/>
      <c r="BC83" s="83"/>
      <c r="BD83" s="83"/>
      <c r="BE83" s="8">
        <f t="shared" si="42"/>
        <v>29.631313132479608</v>
      </c>
      <c r="BF83" s="16">
        <f t="shared" si="43"/>
        <v>19.506335460838109</v>
      </c>
      <c r="BG83" s="16"/>
      <c r="BH83" s="189"/>
      <c r="BI83" s="6">
        <f t="shared" si="44"/>
        <v>2.6820951250004801E-2</v>
      </c>
      <c r="BJ83" s="151">
        <f t="shared" si="45"/>
        <v>8.6093045846278464</v>
      </c>
      <c r="BK83" s="177">
        <f t="shared" si="46"/>
        <v>592.62626264959215</v>
      </c>
      <c r="BL83" s="134">
        <f t="shared" si="47"/>
        <v>2.7727808936358782</v>
      </c>
      <c r="BM83" s="119">
        <f t="shared" si="48"/>
        <v>1.2200560118783284E-3</v>
      </c>
      <c r="BN83">
        <f t="shared" si="49"/>
        <v>30</v>
      </c>
      <c r="BO83" s="124">
        <f t="shared" si="50"/>
        <v>0.49166666666666664</v>
      </c>
      <c r="BP83" s="124"/>
      <c r="BQ83" s="124"/>
      <c r="BR83" s="14">
        <f t="shared" si="51"/>
        <v>1</v>
      </c>
      <c r="BX83" s="83"/>
      <c r="BY83" s="83"/>
      <c r="BZ83" s="83"/>
      <c r="CA83" s="83"/>
      <c r="CB83" s="83"/>
      <c r="CC83" s="151"/>
      <c r="CD83" s="177">
        <f t="shared" si="52"/>
        <v>5102.0999999999995</v>
      </c>
      <c r="CE83" s="134">
        <f t="shared" si="53"/>
        <v>3.7077489664302949</v>
      </c>
      <c r="CF83" s="119">
        <f t="shared" si="54"/>
        <v>1.2200560118783284E-3</v>
      </c>
      <c r="CG83">
        <f t="shared" si="55"/>
        <v>26</v>
      </c>
      <c r="CH83" s="124">
        <f t="shared" si="56"/>
        <v>0.42499999999999999</v>
      </c>
      <c r="CI83" s="124"/>
      <c r="CJ83" s="124"/>
      <c r="CK83" s="14">
        <f t="shared" si="57"/>
        <v>3</v>
      </c>
      <c r="CL83" s="16"/>
    </row>
    <row r="84" spans="1:90" x14ac:dyDescent="0.2">
      <c r="A84" s="8"/>
      <c r="F84" s="9"/>
      <c r="I84" s="8"/>
      <c r="K84" s="14"/>
      <c r="M84" s="9"/>
      <c r="N84" s="16"/>
      <c r="O84" s="16"/>
      <c r="X84" s="19"/>
      <c r="AF84" s="13"/>
      <c r="AG84" s="10"/>
      <c r="AH84" s="8"/>
      <c r="AJ84" s="167"/>
      <c r="AK84" s="168"/>
      <c r="AL84" s="8"/>
      <c r="AM84" s="92"/>
      <c r="AN84" s="97"/>
      <c r="AO84" s="97"/>
      <c r="AP84"/>
      <c r="AQ84"/>
      <c r="AR84"/>
      <c r="AT84" s="6"/>
      <c r="BE84" s="167"/>
      <c r="BF84" s="3"/>
      <c r="BG84" s="3"/>
      <c r="BH84" s="3"/>
      <c r="BI84" s="168"/>
      <c r="BJ84" s="8"/>
      <c r="BK84" s="92"/>
      <c r="BL84" s="97"/>
      <c r="BM84" s="97"/>
      <c r="BN84"/>
      <c r="BO84"/>
      <c r="BP84"/>
      <c r="BR84" s="6"/>
      <c r="CC84" s="8"/>
      <c r="CD84" s="92"/>
      <c r="CE84" s="97"/>
      <c r="CF84" s="97"/>
      <c r="CG84"/>
      <c r="CH84"/>
      <c r="CI84"/>
      <c r="CK84" s="6"/>
      <c r="CL84" s="1"/>
    </row>
    <row r="85" spans="1:90" x14ac:dyDescent="0.2">
      <c r="A85" s="12" t="s">
        <v>45</v>
      </c>
      <c r="F85" s="9"/>
      <c r="I85" s="8"/>
      <c r="K85" s="14"/>
      <c r="M85" s="9"/>
      <c r="N85" s="16"/>
      <c r="O85" s="16"/>
      <c r="X85" s="19"/>
      <c r="AF85" s="13"/>
      <c r="AG85" s="10"/>
      <c r="AH85" s="8"/>
      <c r="AJ85" s="167"/>
      <c r="AK85" s="168"/>
      <c r="AL85" s="8"/>
      <c r="AM85" s="92"/>
      <c r="AN85" s="97"/>
      <c r="AO85" s="97"/>
      <c r="AP85"/>
      <c r="AQ85"/>
      <c r="AR85"/>
      <c r="AT85" s="6"/>
      <c r="BE85" s="167"/>
      <c r="BF85" s="188"/>
      <c r="BG85" s="189"/>
      <c r="BH85" s="189"/>
      <c r="BI85" s="168"/>
      <c r="BJ85" s="8"/>
      <c r="BK85" s="92"/>
      <c r="BL85" s="97"/>
      <c r="BM85" s="97"/>
      <c r="BN85"/>
      <c r="BO85"/>
      <c r="BP85"/>
      <c r="BR85" s="6"/>
      <c r="CC85" s="8"/>
      <c r="CD85" s="92"/>
      <c r="CE85" s="97"/>
      <c r="CF85" s="97"/>
      <c r="CG85"/>
      <c r="CH85"/>
      <c r="CI85"/>
      <c r="CK85" s="6"/>
      <c r="CL85" s="1"/>
    </row>
    <row r="86" spans="1:90" x14ac:dyDescent="0.2">
      <c r="A86" s="8"/>
      <c r="B86" t="s">
        <v>149</v>
      </c>
      <c r="C86">
        <v>1</v>
      </c>
      <c r="D86" t="s">
        <v>138</v>
      </c>
      <c r="F86" s="9"/>
      <c r="G86" t="s">
        <v>111</v>
      </c>
      <c r="H86" s="1">
        <v>14</v>
      </c>
      <c r="I86" s="8">
        <v>403</v>
      </c>
      <c r="J86" t="s">
        <v>14</v>
      </c>
      <c r="K86" s="9"/>
      <c r="L86" s="1">
        <v>10</v>
      </c>
      <c r="M86" s="6">
        <v>40</v>
      </c>
      <c r="N86" s="1">
        <v>165.80749949115744</v>
      </c>
      <c r="O86" s="18">
        <v>118882.50367033854</v>
      </c>
      <c r="P86" s="30">
        <v>3.4</v>
      </c>
      <c r="R86" s="1"/>
      <c r="S86" s="1"/>
      <c r="T86" s="1"/>
      <c r="U86" s="1"/>
      <c r="V86">
        <v>11.5</v>
      </c>
      <c r="W86" s="238">
        <f t="shared" ref="W86:W88" si="60">LOG(EXP(V86-0.1351*N86^(2/3)+0.003*N86-10454/(H86+273)))</f>
        <v>-12.379625471527355</v>
      </c>
      <c r="X86" s="118">
        <f t="shared" ref="X86:X88" si="61">24*60*60*10^W86</f>
        <v>3.6048589045729005E-8</v>
      </c>
      <c r="Y86" s="1"/>
      <c r="Z86" s="1"/>
      <c r="AA86" s="1"/>
      <c r="AB86" s="1"/>
      <c r="AC86" s="197"/>
      <c r="AD86" s="244">
        <f>'Lohman 2011'!AD86</f>
        <v>2.8928932542592714</v>
      </c>
      <c r="AE86" s="96">
        <f t="shared" ref="AE86:AE88" si="62">10^AD86</f>
        <v>781.43571099873827</v>
      </c>
      <c r="AF86" s="98">
        <f t="shared" ref="AF86:AF88" si="63">AE86*X86</f>
        <v>2.8169654811450574E-5</v>
      </c>
      <c r="AG86" s="22">
        <v>27000</v>
      </c>
      <c r="AH86" s="95">
        <v>47</v>
      </c>
      <c r="AI86" s="162">
        <v>0.02</v>
      </c>
      <c r="AJ86" s="167">
        <f>$E$38*AK86/$E$40</f>
        <v>19163.030483979976</v>
      </c>
      <c r="AK86" s="168">
        <f>AF86*AG86*E$41/E$32</f>
        <v>17.34552579952344</v>
      </c>
      <c r="AL86" s="151">
        <f t="shared" ref="AL86:AL88" si="64">$AG86/AJ86</f>
        <v>1.4089629520013351</v>
      </c>
      <c r="AM86" s="175">
        <f t="shared" ref="AM86:AM88" si="65">AJ86/$AH86</f>
        <v>407.7240528506378</v>
      </c>
      <c r="AN86" s="134">
        <f t="shared" ref="AN86:AN88" si="66">LOG(AM86)</f>
        <v>2.6103663325269153</v>
      </c>
      <c r="AO86" s="119">
        <f>$AG86/$O86</f>
        <v>0.22711500150494024</v>
      </c>
      <c r="AP86">
        <f>_xlfn.RANK.AVG(AM86,AM$51:AM$117,1)</f>
        <v>14</v>
      </c>
      <c r="AQ86" s="124">
        <f t="shared" ref="AQ86:AQ88" si="67">(AP86-0.5)/MAX(AP$51:AP$117)</f>
        <v>0.22500000000000001</v>
      </c>
      <c r="AR86">
        <f>_xlfn.RANK.AVG(AM86,(AM$51:AM$60,AM$86:AM$88),1)</f>
        <v>7</v>
      </c>
      <c r="AS86" s="124">
        <f t="shared" ref="AS86:AS88" si="68">(AR86-0.5)/MAX(AR$51:AR$117)</f>
        <v>0.5</v>
      </c>
      <c r="AT86" s="14">
        <f>IF(AND(AJ86&gt;$AI86,$AH86&gt;$AI86),0,IF(AND(AJ86&gt;$AI86,$AH86&lt;$AI86),1,IF(AND(AJ86&lt;$AI86,$AH86&gt;$AI86),2,3)))</f>
        <v>0</v>
      </c>
      <c r="AZ86" s="83"/>
      <c r="BA86" s="83"/>
      <c r="BB86" s="83"/>
      <c r="BC86" s="83"/>
      <c r="BD86" s="83"/>
      <c r="BE86" s="8">
        <f t="shared" ref="BE86:BE88" si="69">BI86*$E$38/$E$40</f>
        <v>1394.4793581783974</v>
      </c>
      <c r="BF86" s="16">
        <f t="shared" ref="BF86:BF88" si="70">10^(MAX(0,((W86+12.5)/2+AD86)*0.73611+-1.03574))</f>
        <v>13.742068228971542</v>
      </c>
      <c r="BG86" s="16"/>
      <c r="BH86" s="189"/>
      <c r="BI86" s="6">
        <f>(1/BF86)*AF86*AG86*E$41/E$32</f>
        <v>1.262220905216797</v>
      </c>
      <c r="BJ86" s="151">
        <f>$AG86/BE86</f>
        <v>19.362065018495496</v>
      </c>
      <c r="BK86" s="175">
        <f>BE86/$AH86</f>
        <v>29.669773578263776</v>
      </c>
      <c r="BL86" s="134">
        <f t="shared" ref="BL86:BL88" si="71">LOG(BK86)</f>
        <v>1.4723142320571236</v>
      </c>
      <c r="BM86" s="119">
        <f>$AG86/$O86</f>
        <v>0.22711500150494024</v>
      </c>
      <c r="BN86">
        <f>_xlfn.RANK.AVG(BK86,BK$51:BK$117,1)</f>
        <v>14</v>
      </c>
      <c r="BO86" s="124">
        <f t="shared" ref="BO86:BO88" si="72">(BN86-0.5)/MAX(BN$51:BN$117)</f>
        <v>0.22500000000000001</v>
      </c>
      <c r="BP86">
        <f>_xlfn.RANK.AVG(BK86,(BK$51:BK$60,BK$86:BK$88),1)</f>
        <v>8</v>
      </c>
      <c r="BQ86" s="124">
        <f t="shared" ref="BQ86:BQ88" si="73">(BP86-0.5)/MAX(BP$51:BP$117)</f>
        <v>0.57692307692307687</v>
      </c>
      <c r="BR86" s="14">
        <f>IF(AND(BE86&gt;$AI86,$AH86&gt;$AI86),0,IF(AND(BE86&gt;$AI86,$AH86&lt;$AI86),1,IF(AND(BE86&lt;$AI86,$AH86&gt;$AI86),2,3)))</f>
        <v>0</v>
      </c>
      <c r="BX86" s="83"/>
      <c r="BY86" s="83"/>
      <c r="BZ86" s="83"/>
      <c r="CA86" s="83"/>
      <c r="CB86" s="83"/>
      <c r="CC86" s="151"/>
      <c r="CD86" s="175">
        <f>AG86/AH86</f>
        <v>574.468085106383</v>
      </c>
      <c r="CE86" s="134">
        <f>LOG(CD86)</f>
        <v>2.7592659062232698</v>
      </c>
      <c r="CF86" s="119">
        <f>$AG86/$O86</f>
        <v>0.22711500150494024</v>
      </c>
      <c r="CG86">
        <f>_xlfn.RANK.AVG(CD86,CD$51:CD$117,1)</f>
        <v>14</v>
      </c>
      <c r="CH86" s="124">
        <f t="shared" ref="CH86:CJ88" si="74">(CG86-0.5)/MAX(CG$51:CG$117)</f>
        <v>0.22500000000000001</v>
      </c>
      <c r="CI86">
        <f>_xlfn.RANK.AVG(CD86,(CD$51:CD$60,CD$86:CD$88),1)</f>
        <v>9</v>
      </c>
      <c r="CJ86" s="124">
        <f t="shared" si="74"/>
        <v>0.65384615384615385</v>
      </c>
      <c r="CK86" s="14">
        <f>IF(AND(BC86&gt;$AI86,$AH86&gt;$AI86),0,IF(AND(BC86&gt;$AI86,$AH86&lt;$AI86),1,IF(AND(BC86&lt;$AI86,$AH86&gt;$AI86),2,3)))</f>
        <v>2</v>
      </c>
      <c r="CL86" s="16"/>
    </row>
    <row r="87" spans="1:90" x14ac:dyDescent="0.2">
      <c r="A87" s="8"/>
      <c r="B87" t="s">
        <v>149</v>
      </c>
      <c r="C87" t="s">
        <v>136</v>
      </c>
      <c r="D87" t="s">
        <v>137</v>
      </c>
      <c r="F87" s="9"/>
      <c r="G87" t="s">
        <v>136</v>
      </c>
      <c r="H87" s="1">
        <v>18</v>
      </c>
      <c r="I87" s="8">
        <v>200</v>
      </c>
      <c r="J87" t="s">
        <v>41</v>
      </c>
      <c r="K87" s="9"/>
      <c r="L87" s="1">
        <v>1</v>
      </c>
      <c r="M87" s="6">
        <v>30</v>
      </c>
      <c r="N87" s="1">
        <v>78.106666524406961</v>
      </c>
      <c r="O87" s="18">
        <v>1988898.8259336799</v>
      </c>
      <c r="P87" s="30">
        <v>2.13</v>
      </c>
      <c r="R87" s="1"/>
      <c r="S87" s="1"/>
      <c r="T87" s="1"/>
      <c r="U87" s="1"/>
      <c r="V87">
        <v>11.5</v>
      </c>
      <c r="W87" s="238">
        <f t="shared" si="60"/>
        <v>-11.577708858761136</v>
      </c>
      <c r="X87" s="118">
        <f t="shared" si="61"/>
        <v>2.2845721788229399E-7</v>
      </c>
      <c r="Y87" s="1"/>
      <c r="Z87" s="1"/>
      <c r="AA87" s="1"/>
      <c r="AB87" s="1"/>
      <c r="AC87" s="197"/>
      <c r="AD87" s="244">
        <f>'Lohman 2011'!AD87</f>
        <v>1.7857036075622854</v>
      </c>
      <c r="AE87" s="96">
        <f t="shared" si="62"/>
        <v>61.052521827455486</v>
      </c>
      <c r="AF87" s="98">
        <f t="shared" si="63"/>
        <v>1.3947889281398508E-5</v>
      </c>
      <c r="AG87" s="183">
        <v>14</v>
      </c>
      <c r="AH87" s="95">
        <v>0.4</v>
      </c>
      <c r="AI87" s="162">
        <v>0.02</v>
      </c>
      <c r="AJ87" s="167">
        <f>$E$38*AK87/$E$40</f>
        <v>4.919890399082365</v>
      </c>
      <c r="AK87" s="168">
        <f>AF87*AG87*E$41/E$32</f>
        <v>4.4532667168406519E-3</v>
      </c>
      <c r="AL87" s="151">
        <f t="shared" si="64"/>
        <v>2.8455918454222506</v>
      </c>
      <c r="AM87" s="175">
        <f t="shared" si="65"/>
        <v>12.299725997705911</v>
      </c>
      <c r="AN87" s="134">
        <f t="shared" si="66"/>
        <v>1.0898954367231537</v>
      </c>
      <c r="AO87" s="119">
        <f>$AG87/$O87</f>
        <v>7.0390709760853528E-6</v>
      </c>
      <c r="AP87">
        <f>_xlfn.RANK.AVG(AM87,AM$51:AM$117,1)</f>
        <v>4</v>
      </c>
      <c r="AQ87" s="124">
        <f t="shared" si="67"/>
        <v>5.8333333333333334E-2</v>
      </c>
      <c r="AR87">
        <f>_xlfn.RANK.AVG(AM87,(AM$51:AM$60,AM$86:AM$88),1)</f>
        <v>1</v>
      </c>
      <c r="AS87" s="124">
        <f t="shared" si="68"/>
        <v>3.8461538461538464E-2</v>
      </c>
      <c r="AT87" s="14">
        <f>IF(AND(AJ87&gt;$AI87,$AH87&gt;$AI87),0,IF(AND(AJ87&gt;$AI87,$AH87&lt;$AI87),1,IF(AND(AJ87&lt;$AI87,$AH87&gt;$AI87),2,3)))</f>
        <v>0</v>
      </c>
      <c r="AZ87" s="83"/>
      <c r="BA87" s="83"/>
      <c r="BB87" s="83"/>
      <c r="BC87" s="83"/>
      <c r="BD87" s="83"/>
      <c r="BE87" s="8">
        <f t="shared" si="69"/>
        <v>1.1851335138155985</v>
      </c>
      <c r="BF87" s="16">
        <f t="shared" si="70"/>
        <v>4.1513385131119316</v>
      </c>
      <c r="BG87" s="16"/>
      <c r="BH87" s="189"/>
      <c r="BI87" s="6">
        <f>(1/BF87)*AF87*AG87*E$41/E$32</f>
        <v>1.0727303260803921E-3</v>
      </c>
      <c r="BJ87" s="151">
        <f>$AG87/BE87</f>
        <v>11.813015020498643</v>
      </c>
      <c r="BK87" s="175">
        <f>BE87/$AH87</f>
        <v>2.9628337845389963</v>
      </c>
      <c r="BL87" s="134">
        <f t="shared" si="71"/>
        <v>0.47170728817180974</v>
      </c>
      <c r="BM87" s="119">
        <f>$AG87/$O87</f>
        <v>7.0390709760853528E-6</v>
      </c>
      <c r="BN87">
        <f>_xlfn.RANK.AVG(BK87,BK$51:BK$117,1)</f>
        <v>4</v>
      </c>
      <c r="BO87" s="124">
        <f t="shared" si="72"/>
        <v>5.8333333333333334E-2</v>
      </c>
      <c r="BP87">
        <f>_xlfn.RANK.AVG(BK87,(BK$51:BK$60,BK$86:BK$88),1)</f>
        <v>1</v>
      </c>
      <c r="BQ87" s="124">
        <f t="shared" si="73"/>
        <v>3.8461538461538464E-2</v>
      </c>
      <c r="BR87" s="14">
        <f>IF(AND(BE87&gt;$AI87,$AH87&gt;$AI87),0,IF(AND(BE87&gt;$AI87,$AH87&lt;$AI87),1,IF(AND(BE87&lt;$AI87,$AH87&gt;$AI87),2,3)))</f>
        <v>0</v>
      </c>
      <c r="BX87" s="83"/>
      <c r="BY87" s="83"/>
      <c r="BZ87" s="83"/>
      <c r="CA87" s="83"/>
      <c r="CB87" s="83"/>
      <c r="CC87" s="151"/>
      <c r="CD87" s="175">
        <f>AG87/AH87</f>
        <v>35</v>
      </c>
      <c r="CE87" s="134">
        <f>LOG(CD87)</f>
        <v>1.5440680443502757</v>
      </c>
      <c r="CF87" s="119">
        <f>$AG87/$O87</f>
        <v>7.0390709760853528E-6</v>
      </c>
      <c r="CG87">
        <f>_xlfn.RANK.AVG(CD87,CD$51:CD$117,1)</f>
        <v>2.5</v>
      </c>
      <c r="CH87" s="124">
        <f t="shared" si="74"/>
        <v>3.3333333333333333E-2</v>
      </c>
      <c r="CI87">
        <f>_xlfn.RANK.AVG(CD87,(CD$51:CD$60,CD$86:CD$88),1)</f>
        <v>1</v>
      </c>
      <c r="CJ87" s="124">
        <f t="shared" si="74"/>
        <v>3.8461538461538464E-2</v>
      </c>
      <c r="CK87" s="14">
        <f>IF(AND(BC87&gt;$AI87,$AH87&gt;$AI87),0,IF(AND(BC87&gt;$AI87,$AH87&lt;$AI87),1,IF(AND(BC87&lt;$AI87,$AH87&gt;$AI87),2,3)))</f>
        <v>2</v>
      </c>
      <c r="CL87" s="16"/>
    </row>
    <row r="88" spans="1:90" x14ac:dyDescent="0.2">
      <c r="A88" s="8"/>
      <c r="B88" t="s">
        <v>149</v>
      </c>
      <c r="C88">
        <v>4</v>
      </c>
      <c r="D88" t="s">
        <v>126</v>
      </c>
      <c r="F88" s="9"/>
      <c r="G88" t="s">
        <v>111</v>
      </c>
      <c r="H88" s="1">
        <v>14</v>
      </c>
      <c r="I88" s="8">
        <v>305</v>
      </c>
      <c r="J88" t="s">
        <v>135</v>
      </c>
      <c r="K88" s="9" t="s">
        <v>150</v>
      </c>
      <c r="L88" s="1">
        <v>1</v>
      </c>
      <c r="M88" s="6">
        <v>5</v>
      </c>
      <c r="N88" s="1">
        <v>178.21</v>
      </c>
      <c r="O88" s="18">
        <v>850</v>
      </c>
      <c r="P88" s="30">
        <v>4.47</v>
      </c>
      <c r="R88" s="1"/>
      <c r="S88" s="1"/>
      <c r="T88" s="1"/>
      <c r="U88" s="1"/>
      <c r="V88">
        <v>11.5</v>
      </c>
      <c r="W88" s="238">
        <f t="shared" si="60"/>
        <v>-12.450706522535144</v>
      </c>
      <c r="X88" s="118">
        <f t="shared" si="61"/>
        <v>3.0606045527577602E-8</v>
      </c>
      <c r="Y88" s="1"/>
      <c r="Z88" s="1"/>
      <c r="AA88" s="1"/>
      <c r="AB88" s="1"/>
      <c r="AC88" s="197"/>
      <c r="AD88" s="244">
        <f>'Lohman 2011'!AD88</f>
        <v>3.9521932542592708</v>
      </c>
      <c r="AE88" s="96">
        <f t="shared" si="62"/>
        <v>8957.6327754081158</v>
      </c>
      <c r="AF88" s="98">
        <f t="shared" si="63"/>
        <v>2.7415771654346212E-4</v>
      </c>
      <c r="AG88" s="123">
        <v>1700</v>
      </c>
      <c r="AH88" s="94">
        <v>18</v>
      </c>
      <c r="AI88" s="162">
        <v>0.02</v>
      </c>
      <c r="AJ88" s="167">
        <f>$E$38*AK88/$E$40</f>
        <v>11742.708947439794</v>
      </c>
      <c r="AK88" s="168">
        <f>AF88*AG88*E$41/E$32</f>
        <v>10.628979647785261</v>
      </c>
      <c r="AL88" s="151">
        <f t="shared" si="64"/>
        <v>0.14477068346062028</v>
      </c>
      <c r="AM88" s="175">
        <f t="shared" si="65"/>
        <v>652.37271930221084</v>
      </c>
      <c r="AN88" s="134">
        <f t="shared" si="66"/>
        <v>2.8144957915708231</v>
      </c>
      <c r="AO88" s="119">
        <f>$AG88/$O88</f>
        <v>2</v>
      </c>
      <c r="AP88">
        <f>_xlfn.RANK.AVG(AM88,AM$51:AM$117,1)</f>
        <v>16</v>
      </c>
      <c r="AQ88" s="124">
        <f t="shared" si="67"/>
        <v>0.25833333333333336</v>
      </c>
      <c r="AR88">
        <f>_xlfn.RANK.AVG(AM88,(AM$51:AM$60,AM$86:AM$88),1)</f>
        <v>8</v>
      </c>
      <c r="AS88" s="124">
        <f t="shared" si="68"/>
        <v>0.57692307692307687</v>
      </c>
      <c r="AT88" s="14">
        <f>IF(AND(AJ88&gt;$AI88,$AH88&gt;$AI88),0,IF(AND(AJ88&gt;$AI88,$AH88&lt;$AI88),1,IF(AND(AJ88&lt;$AI88,$AH88&gt;$AI88),2,3)))</f>
        <v>0</v>
      </c>
      <c r="AZ88" s="83"/>
      <c r="BA88" s="83"/>
      <c r="BB88" s="83"/>
      <c r="BC88" s="83"/>
      <c r="BD88" s="83"/>
      <c r="BE88" s="8">
        <f t="shared" si="69"/>
        <v>150.7011649231477</v>
      </c>
      <c r="BF88" s="16">
        <f t="shared" si="70"/>
        <v>77.920492210051378</v>
      </c>
      <c r="BG88" s="16"/>
      <c r="BH88" s="189"/>
      <c r="BI88" s="6">
        <f>(1/BF88)*AF88*AG88*E$41/E$32</f>
        <v>0.13640801471238878</v>
      </c>
      <c r="BJ88" s="151">
        <f>$AG88/BE88</f>
        <v>11.280602912837072</v>
      </c>
      <c r="BK88" s="175">
        <f>BE88/$AH88</f>
        <v>8.3722869401748721</v>
      </c>
      <c r="BL88" s="134">
        <f t="shared" si="71"/>
        <v>0.92284410432970332</v>
      </c>
      <c r="BM88" s="119">
        <f>$AG88/$O88</f>
        <v>2</v>
      </c>
      <c r="BN88">
        <f>_xlfn.RANK.AVG(BK88,BK$51:BK$117,1)</f>
        <v>7</v>
      </c>
      <c r="BO88" s="124">
        <f t="shared" si="72"/>
        <v>0.10833333333333334</v>
      </c>
      <c r="BP88">
        <f>_xlfn.RANK.AVG(BK88,(BK$51:BK$60,BK$86:BK$88),1)</f>
        <v>3</v>
      </c>
      <c r="BQ88" s="124">
        <f t="shared" si="73"/>
        <v>0.19230769230769232</v>
      </c>
      <c r="BR88" s="14">
        <f>IF(AND(BE88&gt;$AI88,$AH88&gt;$AI88),0,IF(AND(BE88&gt;$AI88,$AH88&lt;$AI88),1,IF(AND(BE88&lt;$AI88,$AH88&gt;$AI88),2,3)))</f>
        <v>0</v>
      </c>
      <c r="BX88" s="83"/>
      <c r="BY88" s="83"/>
      <c r="BZ88" s="83"/>
      <c r="CA88" s="83"/>
      <c r="CB88" s="83"/>
      <c r="CC88" s="151"/>
      <c r="CD88" s="175">
        <f>AG88/AH88</f>
        <v>94.444444444444443</v>
      </c>
      <c r="CE88" s="134">
        <f>LOG(CD88)</f>
        <v>1.9751764162749679</v>
      </c>
      <c r="CF88" s="119">
        <f>$AG88/$O88</f>
        <v>2</v>
      </c>
      <c r="CG88">
        <f>_xlfn.RANK.AVG(CD88,CD$51:CD$117,1)</f>
        <v>5</v>
      </c>
      <c r="CH88" s="124">
        <f t="shared" si="74"/>
        <v>7.4999999999999997E-2</v>
      </c>
      <c r="CI88">
        <f>_xlfn.RANK.AVG(CD88,(CD$51:CD$60,CD$86:CD$88),1)</f>
        <v>2</v>
      </c>
      <c r="CJ88" s="124">
        <f t="shared" si="74"/>
        <v>0.11538461538461539</v>
      </c>
      <c r="CK88" s="14">
        <f>IF(AND(BC88&gt;$AI88,$AH88&gt;$AI88),0,IF(AND(BC88&gt;$AI88,$AH88&lt;$AI88),1,IF(AND(BC88&lt;$AI88,$AH88&gt;$AI88),2,3)))</f>
        <v>2</v>
      </c>
      <c r="CL88" s="16"/>
    </row>
    <row r="89" spans="1:90" x14ac:dyDescent="0.2">
      <c r="A89" s="8"/>
      <c r="F89" s="9"/>
      <c r="I89" s="8"/>
      <c r="K89" s="9"/>
      <c r="M89" s="9"/>
      <c r="N89"/>
      <c r="O89"/>
      <c r="X89" s="9"/>
      <c r="AG89" s="123"/>
      <c r="AH89" s="103"/>
      <c r="AI89" s="16"/>
      <c r="AJ89" s="167"/>
      <c r="AK89" s="169"/>
      <c r="AL89" s="8"/>
      <c r="AN89" s="97"/>
      <c r="AO89" s="97"/>
      <c r="AP89"/>
      <c r="AQ89"/>
      <c r="AR89"/>
      <c r="AT89" s="14"/>
      <c r="BE89" s="167"/>
      <c r="BF89" s="3"/>
      <c r="BG89" s="3"/>
      <c r="BH89" s="3"/>
      <c r="BI89" s="169"/>
      <c r="BJ89" s="8"/>
      <c r="BL89" s="97"/>
      <c r="BM89" s="97"/>
      <c r="BN89"/>
      <c r="BO89"/>
      <c r="BP89"/>
      <c r="BR89" s="14"/>
      <c r="CC89" s="8"/>
      <c r="CE89" s="97"/>
      <c r="CF89" s="97"/>
      <c r="CG89"/>
      <c r="CH89"/>
      <c r="CI89"/>
      <c r="CK89" s="14"/>
      <c r="CL89" s="16"/>
    </row>
    <row r="90" spans="1:90" x14ac:dyDescent="0.2">
      <c r="A90" s="12" t="s">
        <v>42</v>
      </c>
      <c r="F90" s="9"/>
      <c r="I90" s="8"/>
      <c r="K90" s="9"/>
      <c r="M90" s="9"/>
      <c r="N90"/>
      <c r="O90"/>
      <c r="X90" s="9"/>
      <c r="AG90" s="22"/>
      <c r="AH90" s="8"/>
      <c r="AJ90" s="167"/>
      <c r="AK90" s="169"/>
      <c r="AL90" s="8"/>
      <c r="AN90" s="97"/>
      <c r="AO90" s="97"/>
      <c r="AP90"/>
      <c r="AQ90"/>
      <c r="AR90"/>
      <c r="AT90" s="14"/>
      <c r="BE90" s="167"/>
      <c r="BF90" s="3"/>
      <c r="BG90" s="3"/>
      <c r="BH90" s="3"/>
      <c r="BI90" s="169"/>
      <c r="BJ90" s="8"/>
      <c r="BL90" s="97"/>
      <c r="BM90" s="97"/>
      <c r="BN90"/>
      <c r="BO90"/>
      <c r="BP90"/>
      <c r="BR90" s="14"/>
      <c r="CC90" s="8"/>
      <c r="CE90" s="97"/>
      <c r="CF90" s="97"/>
      <c r="CG90"/>
      <c r="CH90"/>
      <c r="CI90"/>
      <c r="CK90" s="14"/>
      <c r="CL90" s="16"/>
    </row>
    <row r="91" spans="1:90" x14ac:dyDescent="0.2">
      <c r="A91" s="8"/>
      <c r="B91" t="s">
        <v>149</v>
      </c>
      <c r="C91">
        <v>15</v>
      </c>
      <c r="D91" t="s">
        <v>134</v>
      </c>
      <c r="F91" s="9"/>
      <c r="G91" t="s">
        <v>111</v>
      </c>
      <c r="H91" s="1">
        <v>14</v>
      </c>
      <c r="I91" s="8">
        <v>200</v>
      </c>
      <c r="J91" t="s">
        <v>41</v>
      </c>
      <c r="K91" s="9" t="s">
        <v>151</v>
      </c>
      <c r="L91" s="1">
        <v>1</v>
      </c>
      <c r="M91" s="6">
        <v>30</v>
      </c>
      <c r="N91" s="1">
        <v>78.106666524406961</v>
      </c>
      <c r="O91" s="18">
        <v>1988898.8259336799</v>
      </c>
      <c r="P91" s="30">
        <v>2.13</v>
      </c>
      <c r="R91" s="1"/>
      <c r="S91" s="1"/>
      <c r="T91" s="1"/>
      <c r="U91" s="1"/>
      <c r="V91">
        <v>11.5</v>
      </c>
      <c r="W91" s="238">
        <f t="shared" ref="W91:W117" si="75">LOG(EXP(V91-0.1351*N91^(2/3)+0.003*N91-10454/(H91+273)))</f>
        <v>-11.795155103900047</v>
      </c>
      <c r="X91" s="118">
        <f t="shared" ref="X91:X117" si="76">24*60*60*10^W91</f>
        <v>1.3847093942230663E-7</v>
      </c>
      <c r="Y91" s="1"/>
      <c r="Z91" s="1"/>
      <c r="AA91" s="1"/>
      <c r="AB91" s="1"/>
      <c r="AC91" s="197"/>
      <c r="AD91" s="244">
        <f>'Lohman 2011'!AD91</f>
        <v>1.635593254259271</v>
      </c>
      <c r="AE91" s="96">
        <f t="shared" ref="AE91:AE117" si="77">10^AD91</f>
        <v>43.210894262464336</v>
      </c>
      <c r="AF91" s="98">
        <f t="shared" ref="AF91:AF117" si="78">AE91*X91</f>
        <v>5.9834531218013966E-6</v>
      </c>
      <c r="AG91" s="22">
        <v>2400</v>
      </c>
      <c r="AH91" s="8"/>
      <c r="AI91" s="162">
        <v>0.02</v>
      </c>
      <c r="AJ91" s="167">
        <f t="shared" ref="AJ91:AJ117" si="79">$E$38*AK91/$E$40</f>
        <v>361.81122429638071</v>
      </c>
      <c r="AK91" s="168">
        <f t="shared" ref="AK91:AK117" si="80">AF91*AG91*E$41/E$32</f>
        <v>0.32749548307802978</v>
      </c>
      <c r="AL91" s="151">
        <f t="shared" ref="AL91:AL117" si="81">$AG91/AJ91</f>
        <v>6.6332933829438625</v>
      </c>
      <c r="AM91" s="177">
        <f t="shared" ref="AM91:AM117" si="82">AJ91/$AI91</f>
        <v>18090.561214819034</v>
      </c>
      <c r="AN91" s="134">
        <f t="shared" ref="AN91:AN117" si="83">LOG(AM91)</f>
        <v>4.2574520399785776</v>
      </c>
      <c r="AO91" s="119">
        <f t="shared" ref="AO91:AO117" si="84">$AG91/$O91</f>
        <v>1.2066978816146318E-3</v>
      </c>
      <c r="AP91">
        <f t="shared" ref="AP91:AP117" si="85">_xlfn.RANK.AVG(AM91,AM$51:AM$117,1)</f>
        <v>47</v>
      </c>
      <c r="AQ91" s="124">
        <f t="shared" ref="AQ91:AQ117" si="86">(AP91-0.5)/MAX(AP$51:AP$117)</f>
        <v>0.77500000000000002</v>
      </c>
      <c r="AR91" s="124"/>
      <c r="AS91" s="124"/>
      <c r="AT91" s="14">
        <f t="shared" ref="AT91:AT117" si="87">IF(AND(AJ91&gt;$AI91,$AH91&gt;$AI91),0,IF(AND(AJ91&gt;$AI91,$AH91&lt;$AI91),1,IF(AND(AJ91&lt;$AI91,$AH91&gt;$AI91),2,3)))</f>
        <v>1</v>
      </c>
      <c r="AZ91" s="83"/>
      <c r="BA91" s="83"/>
      <c r="BB91" s="83"/>
      <c r="BC91" s="83"/>
      <c r="BD91" s="83"/>
      <c r="BE91" s="8">
        <f t="shared" ref="BE91:BE117" si="88">BI91*$E$38/$E$40</f>
        <v>135.15241083840087</v>
      </c>
      <c r="BF91" s="16">
        <f t="shared" ref="BF91:BF117" si="89">10^(MAX(0,((W91+12.5)/2+AD91)*0.73611+-1.03574))</f>
        <v>2.6770608237909372</v>
      </c>
      <c r="BG91" s="16"/>
      <c r="BH91" s="189"/>
      <c r="BI91" s="6">
        <f t="shared" ref="BI91:BI117" si="90">(1/BF91)*AF91*AG91*E$41/E$32</f>
        <v>0.12233397170792308</v>
      </c>
      <c r="BJ91" s="151">
        <f t="shared" ref="BJ91:BJ117" si="91">$AG91/BE91</f>
        <v>17.757729848190674</v>
      </c>
      <c r="BK91" s="177">
        <f t="shared" ref="BK91:BK117" si="92">BE91/$AI91</f>
        <v>6757.6205419200433</v>
      </c>
      <c r="BL91" s="134">
        <f t="shared" ref="BL91:BL117" si="93">LOG(BK91)</f>
        <v>3.829793801351717</v>
      </c>
      <c r="BM91" s="119">
        <f t="shared" ref="BM91:BM117" si="94">$AG91/$O91</f>
        <v>1.2066978816146318E-3</v>
      </c>
      <c r="BN91">
        <f t="shared" ref="BN91:BN117" si="95">_xlfn.RANK.AVG(BK91,BK$51:BK$117,1)</f>
        <v>54</v>
      </c>
      <c r="BO91" s="124">
        <f t="shared" ref="BO91:BO117" si="96">(BN91-0.5)/MAX(BN$51:BN$117)</f>
        <v>0.89166666666666672</v>
      </c>
      <c r="BP91" s="124"/>
      <c r="BQ91" s="124"/>
      <c r="BR91" s="14">
        <f t="shared" ref="BR91:BR117" si="97">IF(AND(BE91&gt;$AI91,$AH91&gt;$AI91),0,IF(AND(BE91&gt;$AI91,$AH91&lt;$AI91),1,IF(AND(BE91&lt;$AI91,$AH91&gt;$AI91),2,3)))</f>
        <v>1</v>
      </c>
      <c r="BX91" s="83"/>
      <c r="BY91" s="83"/>
      <c r="BZ91" s="83"/>
      <c r="CA91" s="83"/>
      <c r="CB91" s="83"/>
      <c r="CC91" s="151"/>
      <c r="CD91" s="177">
        <f t="shared" ref="CD91:CD117" si="98">AG91/AI91</f>
        <v>120000</v>
      </c>
      <c r="CE91" s="134">
        <f t="shared" ref="CE91:CE117" si="99">LOG(CD91)</f>
        <v>5.0791812460476251</v>
      </c>
      <c r="CF91" s="119">
        <f t="shared" ref="CF91:CF117" si="100">$AG91/$O91</f>
        <v>1.2066978816146318E-3</v>
      </c>
      <c r="CG91">
        <f t="shared" ref="CG91:CG117" si="101">_xlfn.RANK.AVG(CD91,CD$51:CD$117,1)</f>
        <v>50</v>
      </c>
      <c r="CH91" s="124">
        <f t="shared" ref="CH91:CH117" si="102">(CG91-0.5)/MAX(CG$51:CG$117)</f>
        <v>0.82499999999999996</v>
      </c>
      <c r="CI91" s="124"/>
      <c r="CJ91" s="124"/>
      <c r="CK91" s="14">
        <f t="shared" ref="CK91:CK117" si="103">IF(AND(BC91&gt;$AI91,$AH91&gt;$AI91),0,IF(AND(BC91&gt;$AI91,$AH91&lt;$AI91),1,IF(AND(BC91&lt;$AI91,$AH91&gt;$AI91),2,3)))</f>
        <v>3</v>
      </c>
      <c r="CL91" s="16"/>
    </row>
    <row r="92" spans="1:90" x14ac:dyDescent="0.2">
      <c r="A92" s="8"/>
      <c r="B92" t="s">
        <v>149</v>
      </c>
      <c r="C92">
        <v>27</v>
      </c>
      <c r="D92" t="s">
        <v>123</v>
      </c>
      <c r="F92" s="9"/>
      <c r="G92" t="s">
        <v>111</v>
      </c>
      <c r="H92" s="1">
        <v>14</v>
      </c>
      <c r="I92" s="8">
        <v>200</v>
      </c>
      <c r="J92" t="s">
        <v>41</v>
      </c>
      <c r="K92" s="9" t="s">
        <v>151</v>
      </c>
      <c r="L92" s="1">
        <v>1</v>
      </c>
      <c r="M92" s="6">
        <v>30</v>
      </c>
      <c r="N92" s="1">
        <v>78.106666524406961</v>
      </c>
      <c r="O92" s="18">
        <v>1988898.8259336799</v>
      </c>
      <c r="P92" s="30">
        <v>2.13</v>
      </c>
      <c r="R92" s="1"/>
      <c r="S92" s="1"/>
      <c r="T92" s="1"/>
      <c r="U92" s="1"/>
      <c r="V92">
        <v>11.5</v>
      </c>
      <c r="W92" s="238">
        <f t="shared" si="75"/>
        <v>-11.795155103900047</v>
      </c>
      <c r="X92" s="118">
        <f t="shared" si="76"/>
        <v>1.3847093942230663E-7</v>
      </c>
      <c r="Y92" s="1"/>
      <c r="Z92" s="1"/>
      <c r="AA92" s="1"/>
      <c r="AB92" s="1"/>
      <c r="AC92" s="197"/>
      <c r="AD92" s="244">
        <f>'Lohman 2011'!AD92</f>
        <v>1.635593254259271</v>
      </c>
      <c r="AE92" s="96">
        <f t="shared" si="77"/>
        <v>43.210894262464336</v>
      </c>
      <c r="AF92" s="98">
        <f t="shared" si="78"/>
        <v>5.9834531218013966E-6</v>
      </c>
      <c r="AG92" s="22">
        <v>230</v>
      </c>
      <c r="AH92" s="8"/>
      <c r="AI92" s="162">
        <v>0.02</v>
      </c>
      <c r="AJ92" s="167">
        <f t="shared" si="79"/>
        <v>34.673575661736486</v>
      </c>
      <c r="AK92" s="168">
        <f t="shared" si="80"/>
        <v>3.138498379497786E-2</v>
      </c>
      <c r="AL92" s="151">
        <f t="shared" si="81"/>
        <v>6.6332933829438625</v>
      </c>
      <c r="AM92" s="177">
        <f t="shared" si="82"/>
        <v>1733.6787830868243</v>
      </c>
      <c r="AN92" s="134">
        <f t="shared" si="83"/>
        <v>3.2389686342845643</v>
      </c>
      <c r="AO92" s="119">
        <f t="shared" si="84"/>
        <v>1.1564188032140221E-4</v>
      </c>
      <c r="AP92">
        <f t="shared" si="85"/>
        <v>27</v>
      </c>
      <c r="AQ92" s="124">
        <f t="shared" si="86"/>
        <v>0.44166666666666665</v>
      </c>
      <c r="AR92" s="124"/>
      <c r="AS92" s="124"/>
      <c r="AT92" s="14">
        <f t="shared" si="87"/>
        <v>1</v>
      </c>
      <c r="AZ92" s="83"/>
      <c r="BA92" s="83"/>
      <c r="BB92" s="83"/>
      <c r="BC92" s="83"/>
      <c r="BD92" s="83"/>
      <c r="BE92" s="8">
        <f t="shared" si="88"/>
        <v>12.952106038680085</v>
      </c>
      <c r="BF92" s="16">
        <f t="shared" si="89"/>
        <v>2.6770608237909372</v>
      </c>
      <c r="BG92" s="16"/>
      <c r="BH92" s="189"/>
      <c r="BI92" s="6">
        <f t="shared" si="90"/>
        <v>1.1723672288675963E-2</v>
      </c>
      <c r="BJ92" s="151">
        <f t="shared" si="91"/>
        <v>17.757729848190671</v>
      </c>
      <c r="BK92" s="177">
        <f t="shared" si="92"/>
        <v>647.60530193400427</v>
      </c>
      <c r="BL92" s="134">
        <f t="shared" si="93"/>
        <v>2.8113103956577037</v>
      </c>
      <c r="BM92" s="119">
        <f t="shared" si="94"/>
        <v>1.1564188032140221E-4</v>
      </c>
      <c r="BN92">
        <f t="shared" si="95"/>
        <v>34</v>
      </c>
      <c r="BO92" s="124">
        <f t="shared" si="96"/>
        <v>0.55833333333333335</v>
      </c>
      <c r="BP92" s="124"/>
      <c r="BQ92" s="124"/>
      <c r="BR92" s="14">
        <f t="shared" si="97"/>
        <v>1</v>
      </c>
      <c r="BX92" s="83"/>
      <c r="BY92" s="83"/>
      <c r="BZ92" s="83"/>
      <c r="CA92" s="83"/>
      <c r="CB92" s="83"/>
      <c r="CC92" s="151"/>
      <c r="CD92" s="177">
        <f t="shared" si="98"/>
        <v>11500</v>
      </c>
      <c r="CE92" s="134">
        <f t="shared" si="99"/>
        <v>4.0606978403536118</v>
      </c>
      <c r="CF92" s="119">
        <f t="shared" si="100"/>
        <v>1.1564188032140221E-4</v>
      </c>
      <c r="CG92">
        <f t="shared" si="101"/>
        <v>32</v>
      </c>
      <c r="CH92" s="124">
        <f t="shared" si="102"/>
        <v>0.52500000000000002</v>
      </c>
      <c r="CI92" s="124"/>
      <c r="CJ92" s="124"/>
      <c r="CK92" s="14">
        <f t="shared" si="103"/>
        <v>3</v>
      </c>
      <c r="CL92" s="16"/>
    </row>
    <row r="93" spans="1:90" x14ac:dyDescent="0.2">
      <c r="A93" s="8"/>
      <c r="B93" t="s">
        <v>149</v>
      </c>
      <c r="C93">
        <v>3</v>
      </c>
      <c r="D93" t="s">
        <v>131</v>
      </c>
      <c r="F93" s="9"/>
      <c r="G93" t="s">
        <v>111</v>
      </c>
      <c r="H93" s="1">
        <v>14</v>
      </c>
      <c r="I93" s="8">
        <v>200</v>
      </c>
      <c r="J93" t="s">
        <v>41</v>
      </c>
      <c r="K93" s="9" t="s">
        <v>151</v>
      </c>
      <c r="L93" s="1">
        <v>1</v>
      </c>
      <c r="M93" s="6">
        <v>30</v>
      </c>
      <c r="N93" s="1">
        <v>78.106666524406961</v>
      </c>
      <c r="O93" s="18">
        <v>1988898.8259336799</v>
      </c>
      <c r="P93" s="30">
        <v>2.13</v>
      </c>
      <c r="R93" s="1"/>
      <c r="S93" s="1"/>
      <c r="T93" s="1"/>
      <c r="U93" s="1"/>
      <c r="V93">
        <v>11.5</v>
      </c>
      <c r="W93" s="238">
        <f t="shared" si="75"/>
        <v>-11.795155103900047</v>
      </c>
      <c r="X93" s="118">
        <f t="shared" si="76"/>
        <v>1.3847093942230663E-7</v>
      </c>
      <c r="Y93" s="1"/>
      <c r="Z93" s="1"/>
      <c r="AA93" s="1"/>
      <c r="AB93" s="1"/>
      <c r="AC93" s="197"/>
      <c r="AD93" s="244">
        <f>'Lohman 2011'!AD93</f>
        <v>1.635593254259271</v>
      </c>
      <c r="AE93" s="96">
        <f t="shared" si="77"/>
        <v>43.210894262464336</v>
      </c>
      <c r="AF93" s="98">
        <f t="shared" si="78"/>
        <v>5.9834531218013966E-6</v>
      </c>
      <c r="AG93" s="22">
        <v>98</v>
      </c>
      <c r="AH93" s="8"/>
      <c r="AI93" s="162">
        <v>0.02</v>
      </c>
      <c r="AJ93" s="167">
        <f t="shared" si="79"/>
        <v>14.773958325435546</v>
      </c>
      <c r="AK93" s="168">
        <f t="shared" si="80"/>
        <v>1.3372732225686218E-2</v>
      </c>
      <c r="AL93" s="151">
        <f t="shared" si="81"/>
        <v>6.6332933829438634</v>
      </c>
      <c r="AM93" s="177">
        <f t="shared" si="82"/>
        <v>738.69791627177722</v>
      </c>
      <c r="AN93" s="134">
        <f t="shared" si="83"/>
        <v>2.8684668739594659</v>
      </c>
      <c r="AO93" s="119">
        <f t="shared" si="84"/>
        <v>4.927349683259747E-5</v>
      </c>
      <c r="AP93">
        <f t="shared" si="85"/>
        <v>18</v>
      </c>
      <c r="AQ93" s="124">
        <f t="shared" si="86"/>
        <v>0.29166666666666669</v>
      </c>
      <c r="AR93" s="124"/>
      <c r="AS93" s="124"/>
      <c r="AT93" s="14">
        <f t="shared" si="87"/>
        <v>1</v>
      </c>
      <c r="AZ93" s="83"/>
      <c r="BA93" s="83"/>
      <c r="BB93" s="83"/>
      <c r="BC93" s="83"/>
      <c r="BD93" s="83"/>
      <c r="BE93" s="8">
        <f t="shared" si="88"/>
        <v>5.518723442568036</v>
      </c>
      <c r="BF93" s="16">
        <f t="shared" si="89"/>
        <v>2.6770608237909372</v>
      </c>
      <c r="BG93" s="16"/>
      <c r="BH93" s="189"/>
      <c r="BI93" s="6">
        <f t="shared" si="90"/>
        <v>4.9953038447401923E-3</v>
      </c>
      <c r="BJ93" s="151">
        <f t="shared" si="91"/>
        <v>17.757729848190674</v>
      </c>
      <c r="BK93" s="177">
        <f t="shared" si="92"/>
        <v>275.93617212840178</v>
      </c>
      <c r="BL93" s="134">
        <f t="shared" si="93"/>
        <v>2.4408086353326057</v>
      </c>
      <c r="BM93" s="119">
        <f t="shared" si="94"/>
        <v>4.927349683259747E-5</v>
      </c>
      <c r="BN93">
        <f t="shared" si="95"/>
        <v>24</v>
      </c>
      <c r="BO93" s="124">
        <f t="shared" si="96"/>
        <v>0.39166666666666666</v>
      </c>
      <c r="BP93" s="124"/>
      <c r="BQ93" s="124"/>
      <c r="BR93" s="14">
        <f t="shared" si="97"/>
        <v>1</v>
      </c>
      <c r="BX93" s="83"/>
      <c r="BY93" s="83"/>
      <c r="BZ93" s="83"/>
      <c r="CA93" s="83"/>
      <c r="CB93" s="83"/>
      <c r="CC93" s="151"/>
      <c r="CD93" s="177">
        <f t="shared" si="98"/>
        <v>4900</v>
      </c>
      <c r="CE93" s="134">
        <f t="shared" si="99"/>
        <v>3.6901960800285138</v>
      </c>
      <c r="CF93" s="119">
        <f t="shared" si="100"/>
        <v>4.927349683259747E-5</v>
      </c>
      <c r="CG93">
        <f t="shared" si="101"/>
        <v>25</v>
      </c>
      <c r="CH93" s="124">
        <f t="shared" si="102"/>
        <v>0.40833333333333333</v>
      </c>
      <c r="CI93" s="124"/>
      <c r="CJ93" s="124"/>
      <c r="CK93" s="14">
        <f t="shared" si="103"/>
        <v>3</v>
      </c>
      <c r="CL93" s="16"/>
    </row>
    <row r="94" spans="1:90" x14ac:dyDescent="0.2">
      <c r="A94" s="8"/>
      <c r="B94" t="s">
        <v>149</v>
      </c>
      <c r="C94">
        <v>9</v>
      </c>
      <c r="D94" t="s">
        <v>131</v>
      </c>
      <c r="F94" s="9"/>
      <c r="G94" t="s">
        <v>111</v>
      </c>
      <c r="H94" s="1">
        <v>14</v>
      </c>
      <c r="I94" s="8">
        <v>201</v>
      </c>
      <c r="J94" t="s">
        <v>39</v>
      </c>
      <c r="K94" s="9" t="s">
        <v>152</v>
      </c>
      <c r="L94" s="1">
        <v>1</v>
      </c>
      <c r="M94" s="6">
        <v>150</v>
      </c>
      <c r="N94" s="1">
        <v>106.18666499232586</v>
      </c>
      <c r="O94" s="18">
        <v>159449.4296665228</v>
      </c>
      <c r="P94" s="30">
        <v>3.15</v>
      </c>
      <c r="R94" s="1"/>
      <c r="S94" s="1"/>
      <c r="T94" s="1"/>
      <c r="U94" s="1"/>
      <c r="V94">
        <v>11.5</v>
      </c>
      <c r="W94" s="238">
        <f t="shared" si="75"/>
        <v>-12.002167148270351</v>
      </c>
      <c r="X94" s="118">
        <f t="shared" si="76"/>
        <v>8.5969934174690719E-8</v>
      </c>
      <c r="Y94" s="1"/>
      <c r="Z94" s="1"/>
      <c r="AA94" s="1"/>
      <c r="AB94" s="1"/>
      <c r="AC94" s="197"/>
      <c r="AD94" s="244">
        <f>'Lohman 2011'!AD94</f>
        <v>2.6453932542592713</v>
      </c>
      <c r="AE94" s="96">
        <f t="shared" si="77"/>
        <v>441.97047109314457</v>
      </c>
      <c r="AF94" s="98">
        <f t="shared" si="78"/>
        <v>3.7996172307034689E-5</v>
      </c>
      <c r="AG94" s="22">
        <v>17000</v>
      </c>
      <c r="AH94" s="8"/>
      <c r="AI94" s="162">
        <v>0.02</v>
      </c>
      <c r="AJ94" s="167">
        <f t="shared" si="79"/>
        <v>16274.500610218938</v>
      </c>
      <c r="AK94" s="168">
        <f t="shared" si="80"/>
        <v>14.730956590864</v>
      </c>
      <c r="AL94" s="151">
        <f t="shared" si="81"/>
        <v>1.0445789033505282</v>
      </c>
      <c r="AM94" s="177">
        <f t="shared" si="82"/>
        <v>813725.03051094688</v>
      </c>
      <c r="AN94" s="134">
        <f t="shared" si="83"/>
        <v>5.9104776752749419</v>
      </c>
      <c r="AO94" s="119">
        <f t="shared" si="84"/>
        <v>0.10661687555455229</v>
      </c>
      <c r="AP94">
        <f t="shared" si="85"/>
        <v>60</v>
      </c>
      <c r="AQ94" s="124">
        <f t="shared" si="86"/>
        <v>0.9916666666666667</v>
      </c>
      <c r="AR94" s="124"/>
      <c r="AS94" s="124"/>
      <c r="AT94" s="14">
        <f t="shared" si="87"/>
        <v>1</v>
      </c>
      <c r="AZ94" s="83"/>
      <c r="BA94" s="83"/>
      <c r="BB94" s="83"/>
      <c r="BC94" s="83"/>
      <c r="BD94" s="83"/>
      <c r="BE94" s="8">
        <f t="shared" si="88"/>
        <v>1308.3302181843105</v>
      </c>
      <c r="BF94" s="16">
        <f t="shared" si="89"/>
        <v>12.43913836432254</v>
      </c>
      <c r="BG94" s="16"/>
      <c r="BH94" s="189"/>
      <c r="BI94" s="6">
        <f t="shared" si="90"/>
        <v>1.1842425222244302</v>
      </c>
      <c r="BJ94" s="151">
        <f t="shared" si="91"/>
        <v>12.993661511229524</v>
      </c>
      <c r="BK94" s="177">
        <f t="shared" si="92"/>
        <v>65416.510909215525</v>
      </c>
      <c r="BL94" s="134">
        <f t="shared" si="93"/>
        <v>4.8156873766387935</v>
      </c>
      <c r="BM94" s="119">
        <f t="shared" si="94"/>
        <v>0.10661687555455229</v>
      </c>
      <c r="BN94">
        <f t="shared" si="95"/>
        <v>60</v>
      </c>
      <c r="BO94" s="124">
        <f t="shared" si="96"/>
        <v>0.9916666666666667</v>
      </c>
      <c r="BP94" s="124"/>
      <c r="BQ94" s="124"/>
      <c r="BR94" s="14">
        <f t="shared" si="97"/>
        <v>1</v>
      </c>
      <c r="BX94" s="83"/>
      <c r="BY94" s="83"/>
      <c r="BZ94" s="83"/>
      <c r="CA94" s="83"/>
      <c r="CB94" s="83"/>
      <c r="CC94" s="151"/>
      <c r="CD94" s="177">
        <f t="shared" si="98"/>
        <v>850000</v>
      </c>
      <c r="CE94" s="134">
        <f t="shared" si="99"/>
        <v>5.9294189257142929</v>
      </c>
      <c r="CF94" s="119">
        <f t="shared" si="100"/>
        <v>0.10661687555455229</v>
      </c>
      <c r="CG94">
        <f t="shared" si="101"/>
        <v>60</v>
      </c>
      <c r="CH94" s="124">
        <f t="shared" si="102"/>
        <v>0.9916666666666667</v>
      </c>
      <c r="CI94" s="124"/>
      <c r="CJ94" s="124"/>
      <c r="CK94" s="14">
        <f t="shared" si="103"/>
        <v>3</v>
      </c>
      <c r="CL94" s="16"/>
    </row>
    <row r="95" spans="1:90" x14ac:dyDescent="0.2">
      <c r="A95" s="8"/>
      <c r="B95" t="s">
        <v>149</v>
      </c>
      <c r="C95">
        <v>5</v>
      </c>
      <c r="D95" t="s">
        <v>131</v>
      </c>
      <c r="F95" s="9"/>
      <c r="G95" t="s">
        <v>111</v>
      </c>
      <c r="H95" s="1">
        <v>14</v>
      </c>
      <c r="I95" s="8">
        <v>310</v>
      </c>
      <c r="J95" t="s">
        <v>35</v>
      </c>
      <c r="K95" s="9">
        <v>0</v>
      </c>
      <c r="L95" s="1">
        <v>0.1</v>
      </c>
      <c r="M95" s="6">
        <v>70</v>
      </c>
      <c r="N95" s="1">
        <v>128.19</v>
      </c>
      <c r="O95" s="18">
        <v>31800.000000000004</v>
      </c>
      <c r="P95" s="30">
        <v>3.3</v>
      </c>
      <c r="R95" s="1"/>
      <c r="S95" s="1"/>
      <c r="T95" s="1"/>
      <c r="U95" s="1"/>
      <c r="V95">
        <v>11.5</v>
      </c>
      <c r="W95" s="238">
        <f t="shared" si="75"/>
        <v>-12.14949147838287</v>
      </c>
      <c r="X95" s="118">
        <f t="shared" si="76"/>
        <v>6.1238178465734124E-8</v>
      </c>
      <c r="Y95" s="1"/>
      <c r="Z95" s="1"/>
      <c r="AA95" s="1"/>
      <c r="AB95" s="1"/>
      <c r="AC95" s="197"/>
      <c r="AD95" s="244">
        <f>'Lohman 2011'!AD95</f>
        <v>2.7938932542592712</v>
      </c>
      <c r="AE95" s="96">
        <f t="shared" si="77"/>
        <v>622.14734806165097</v>
      </c>
      <c r="AF95" s="98">
        <f t="shared" si="78"/>
        <v>3.8099170332582588E-5</v>
      </c>
      <c r="AG95" s="22">
        <v>11000</v>
      </c>
      <c r="AH95" s="8"/>
      <c r="AI95" s="162">
        <v>0.02</v>
      </c>
      <c r="AJ95" s="167">
        <f t="shared" si="79"/>
        <v>10559.104904469852</v>
      </c>
      <c r="AK95" s="168">
        <f t="shared" si="80"/>
        <v>9.5576337309210988</v>
      </c>
      <c r="AL95" s="151">
        <f t="shared" si="81"/>
        <v>1.0417549687704599</v>
      </c>
      <c r="AM95" s="177">
        <f t="shared" si="82"/>
        <v>527955.24522349262</v>
      </c>
      <c r="AN95" s="134">
        <f t="shared" si="83"/>
        <v>5.7225971089423737</v>
      </c>
      <c r="AO95" s="119">
        <f t="shared" si="84"/>
        <v>0.34591194968553457</v>
      </c>
      <c r="AP95">
        <f t="shared" si="85"/>
        <v>59</v>
      </c>
      <c r="AQ95" s="124">
        <f t="shared" si="86"/>
        <v>0.97499999999999998</v>
      </c>
      <c r="AR95" s="124"/>
      <c r="AS95" s="124"/>
      <c r="AT95" s="14">
        <f t="shared" si="87"/>
        <v>1</v>
      </c>
      <c r="AZ95" s="83"/>
      <c r="BA95" s="83"/>
      <c r="BB95" s="83"/>
      <c r="BC95" s="83"/>
      <c r="BD95" s="83"/>
      <c r="BE95" s="8">
        <f t="shared" si="88"/>
        <v>747.73537481845335</v>
      </c>
      <c r="BF95" s="16">
        <f t="shared" si="89"/>
        <v>14.121446249662259</v>
      </c>
      <c r="BG95" s="16"/>
      <c r="BH95" s="189"/>
      <c r="BI95" s="6">
        <f t="shared" si="90"/>
        <v>0.67681691817859579</v>
      </c>
      <c r="BJ95" s="151">
        <f t="shared" si="91"/>
        <v>14.711086796810635</v>
      </c>
      <c r="BK95" s="177">
        <f t="shared" si="92"/>
        <v>37386.768740922664</v>
      </c>
      <c r="BL95" s="134">
        <f t="shared" si="93"/>
        <v>4.5727179316257889</v>
      </c>
      <c r="BM95" s="119">
        <f t="shared" si="94"/>
        <v>0.34591194968553457</v>
      </c>
      <c r="BN95">
        <f t="shared" si="95"/>
        <v>58</v>
      </c>
      <c r="BO95" s="124">
        <f t="shared" si="96"/>
        <v>0.95833333333333337</v>
      </c>
      <c r="BP95" s="124"/>
      <c r="BQ95" s="124"/>
      <c r="BR95" s="14">
        <f t="shared" si="97"/>
        <v>1</v>
      </c>
      <c r="BX95" s="83"/>
      <c r="BY95" s="83"/>
      <c r="BZ95" s="83"/>
      <c r="CA95" s="83"/>
      <c r="CB95" s="83"/>
      <c r="CC95" s="151"/>
      <c r="CD95" s="177">
        <f t="shared" si="98"/>
        <v>550000</v>
      </c>
      <c r="CE95" s="134">
        <f t="shared" si="99"/>
        <v>5.7403626894942441</v>
      </c>
      <c r="CF95" s="119">
        <f t="shared" si="100"/>
        <v>0.34591194968553457</v>
      </c>
      <c r="CG95">
        <f t="shared" si="101"/>
        <v>59</v>
      </c>
      <c r="CH95" s="124">
        <f t="shared" si="102"/>
        <v>0.97499999999999998</v>
      </c>
      <c r="CI95" s="124"/>
      <c r="CJ95" s="124"/>
      <c r="CK95" s="14">
        <f t="shared" si="103"/>
        <v>3</v>
      </c>
      <c r="CL95" s="16"/>
    </row>
    <row r="96" spans="1:90" x14ac:dyDescent="0.2">
      <c r="A96" s="8"/>
      <c r="B96" t="s">
        <v>149</v>
      </c>
      <c r="C96">
        <v>6</v>
      </c>
      <c r="D96" t="s">
        <v>133</v>
      </c>
      <c r="F96" s="9"/>
      <c r="G96" t="s">
        <v>111</v>
      </c>
      <c r="H96" s="1">
        <v>14</v>
      </c>
      <c r="I96" s="8">
        <v>310</v>
      </c>
      <c r="J96" t="s">
        <v>35</v>
      </c>
      <c r="K96" s="9">
        <v>0</v>
      </c>
      <c r="L96" s="1">
        <v>0.1</v>
      </c>
      <c r="M96" s="6">
        <v>70</v>
      </c>
      <c r="N96" s="1">
        <v>128.19</v>
      </c>
      <c r="O96" s="18">
        <v>31800.000000000004</v>
      </c>
      <c r="P96" s="30">
        <v>3.3</v>
      </c>
      <c r="R96" s="1"/>
      <c r="S96" s="1"/>
      <c r="T96" s="1"/>
      <c r="U96" s="1"/>
      <c r="V96">
        <v>11.5</v>
      </c>
      <c r="W96" s="238">
        <f t="shared" si="75"/>
        <v>-12.14949147838287</v>
      </c>
      <c r="X96" s="118">
        <f t="shared" si="76"/>
        <v>6.1238178465734124E-8</v>
      </c>
      <c r="Y96" s="1"/>
      <c r="Z96" s="1"/>
      <c r="AA96" s="1"/>
      <c r="AB96" s="1"/>
      <c r="AC96" s="197"/>
      <c r="AD96" s="244">
        <f>'Lohman 2011'!AD96</f>
        <v>2.7938932542592712</v>
      </c>
      <c r="AE96" s="96">
        <f t="shared" si="77"/>
        <v>622.14734806165097</v>
      </c>
      <c r="AF96" s="98">
        <f t="shared" si="78"/>
        <v>3.8099170332582588E-5</v>
      </c>
      <c r="AG96" s="22">
        <v>7100</v>
      </c>
      <c r="AH96" s="8"/>
      <c r="AI96" s="162">
        <v>0.02</v>
      </c>
      <c r="AJ96" s="167">
        <f t="shared" si="79"/>
        <v>6815.4222565214504</v>
      </c>
      <c r="AK96" s="168">
        <f t="shared" si="80"/>
        <v>6.1690181354127107</v>
      </c>
      <c r="AL96" s="151">
        <f t="shared" si="81"/>
        <v>1.0417549687704597</v>
      </c>
      <c r="AM96" s="177">
        <f t="shared" si="82"/>
        <v>340771.11282607249</v>
      </c>
      <c r="AN96" s="134">
        <f t="shared" si="83"/>
        <v>5.5324627725032238</v>
      </c>
      <c r="AO96" s="119">
        <f t="shared" si="84"/>
        <v>0.22327044025157231</v>
      </c>
      <c r="AP96">
        <f t="shared" si="85"/>
        <v>57</v>
      </c>
      <c r="AQ96" s="124">
        <f t="shared" si="86"/>
        <v>0.94166666666666665</v>
      </c>
      <c r="AR96" s="124"/>
      <c r="AS96" s="124"/>
      <c r="AT96" s="14">
        <f t="shared" si="87"/>
        <v>1</v>
      </c>
      <c r="AZ96" s="83"/>
      <c r="BA96" s="83"/>
      <c r="BB96" s="83"/>
      <c r="BC96" s="83"/>
      <c r="BD96" s="83"/>
      <c r="BE96" s="8">
        <f t="shared" si="88"/>
        <v>482.62919647372894</v>
      </c>
      <c r="BF96" s="16">
        <f t="shared" si="89"/>
        <v>14.121446249662259</v>
      </c>
      <c r="BG96" s="16"/>
      <c r="BH96" s="189"/>
      <c r="BI96" s="6">
        <f t="shared" si="90"/>
        <v>0.43685455627891179</v>
      </c>
      <c r="BJ96" s="151">
        <f t="shared" si="91"/>
        <v>14.711086796810635</v>
      </c>
      <c r="BK96" s="177">
        <f t="shared" si="92"/>
        <v>24131.459823686448</v>
      </c>
      <c r="BL96" s="134">
        <f t="shared" si="93"/>
        <v>4.382583595186639</v>
      </c>
      <c r="BM96" s="119">
        <f t="shared" si="94"/>
        <v>0.22327044025157231</v>
      </c>
      <c r="BN96">
        <f t="shared" si="95"/>
        <v>57</v>
      </c>
      <c r="BO96" s="124">
        <f t="shared" si="96"/>
        <v>0.94166666666666665</v>
      </c>
      <c r="BP96" s="124"/>
      <c r="BQ96" s="124"/>
      <c r="BR96" s="14">
        <f t="shared" si="97"/>
        <v>1</v>
      </c>
      <c r="BX96" s="83"/>
      <c r="BY96" s="83"/>
      <c r="BZ96" s="83"/>
      <c r="CA96" s="83"/>
      <c r="CB96" s="83"/>
      <c r="CC96" s="151"/>
      <c r="CD96" s="177">
        <f t="shared" si="98"/>
        <v>355000</v>
      </c>
      <c r="CE96" s="134">
        <f t="shared" si="99"/>
        <v>5.5502283530550942</v>
      </c>
      <c r="CF96" s="119">
        <f t="shared" si="100"/>
        <v>0.22327044025157231</v>
      </c>
      <c r="CG96">
        <f t="shared" si="101"/>
        <v>57</v>
      </c>
      <c r="CH96" s="124">
        <f t="shared" si="102"/>
        <v>0.94166666666666665</v>
      </c>
      <c r="CI96" s="124"/>
      <c r="CJ96" s="124"/>
      <c r="CK96" s="14">
        <f t="shared" si="103"/>
        <v>3</v>
      </c>
      <c r="CL96" s="16"/>
    </row>
    <row r="97" spans="1:90" x14ac:dyDescent="0.2">
      <c r="A97" s="8"/>
      <c r="B97" t="s">
        <v>149</v>
      </c>
      <c r="C97">
        <v>7</v>
      </c>
      <c r="D97" t="s">
        <v>132</v>
      </c>
      <c r="F97" s="9"/>
      <c r="G97" t="s">
        <v>111</v>
      </c>
      <c r="H97" s="1">
        <v>14</v>
      </c>
      <c r="I97" s="8">
        <v>310</v>
      </c>
      <c r="J97" t="s">
        <v>35</v>
      </c>
      <c r="K97" s="9">
        <v>0</v>
      </c>
      <c r="L97" s="1">
        <v>0.1</v>
      </c>
      <c r="M97" s="6">
        <v>70</v>
      </c>
      <c r="N97" s="1">
        <v>128.19</v>
      </c>
      <c r="O97" s="18">
        <v>31800.000000000004</v>
      </c>
      <c r="P97" s="30">
        <v>3.3</v>
      </c>
      <c r="R97" s="1"/>
      <c r="S97" s="1"/>
      <c r="T97" s="1"/>
      <c r="U97" s="1"/>
      <c r="V97">
        <v>11.5</v>
      </c>
      <c r="W97" s="238">
        <f t="shared" si="75"/>
        <v>-12.14949147838287</v>
      </c>
      <c r="X97" s="118">
        <f t="shared" si="76"/>
        <v>6.1238178465734124E-8</v>
      </c>
      <c r="Y97" s="1"/>
      <c r="Z97" s="1"/>
      <c r="AA97" s="1"/>
      <c r="AB97" s="1"/>
      <c r="AC97" s="197"/>
      <c r="AD97" s="244">
        <f>'Lohman 2011'!AD97</f>
        <v>2.7938932542592712</v>
      </c>
      <c r="AE97" s="96">
        <f t="shared" si="77"/>
        <v>622.14734806165097</v>
      </c>
      <c r="AF97" s="98">
        <f t="shared" si="78"/>
        <v>3.8099170332582588E-5</v>
      </c>
      <c r="AG97" s="22">
        <v>2500</v>
      </c>
      <c r="AH97" s="8"/>
      <c r="AI97" s="162">
        <v>0.02</v>
      </c>
      <c r="AJ97" s="167">
        <f t="shared" si="79"/>
        <v>2399.7965691976938</v>
      </c>
      <c r="AK97" s="168">
        <f t="shared" si="80"/>
        <v>2.1721894843002501</v>
      </c>
      <c r="AL97" s="151">
        <f t="shared" si="81"/>
        <v>1.0417549687704597</v>
      </c>
      <c r="AM97" s="177">
        <f t="shared" si="82"/>
        <v>119989.82845988468</v>
      </c>
      <c r="AN97" s="134">
        <f t="shared" si="83"/>
        <v>5.0791444324561859</v>
      </c>
      <c r="AO97" s="119">
        <f t="shared" si="84"/>
        <v>7.8616352201257858E-2</v>
      </c>
      <c r="AP97">
        <f t="shared" si="85"/>
        <v>55</v>
      </c>
      <c r="AQ97" s="124">
        <f t="shared" si="86"/>
        <v>0.90833333333333333</v>
      </c>
      <c r="AR97" s="124"/>
      <c r="AS97" s="124"/>
      <c r="AT97" s="14">
        <f t="shared" si="87"/>
        <v>1</v>
      </c>
      <c r="AZ97" s="83"/>
      <c r="BA97" s="83"/>
      <c r="BB97" s="83"/>
      <c r="BC97" s="83"/>
      <c r="BD97" s="83"/>
      <c r="BE97" s="8">
        <f t="shared" si="88"/>
        <v>169.93985791328484</v>
      </c>
      <c r="BF97" s="16">
        <f t="shared" si="89"/>
        <v>14.121446249662259</v>
      </c>
      <c r="BG97" s="16"/>
      <c r="BH97" s="189"/>
      <c r="BI97" s="6">
        <f t="shared" si="90"/>
        <v>0.15382202685877175</v>
      </c>
      <c r="BJ97" s="151">
        <f t="shared" si="91"/>
        <v>14.711086796810635</v>
      </c>
      <c r="BK97" s="177">
        <f t="shared" si="92"/>
        <v>8496.9928956642416</v>
      </c>
      <c r="BL97" s="134">
        <f t="shared" si="93"/>
        <v>3.929265255139601</v>
      </c>
      <c r="BM97" s="119">
        <f t="shared" si="94"/>
        <v>7.8616352201257858E-2</v>
      </c>
      <c r="BN97">
        <f t="shared" si="95"/>
        <v>55</v>
      </c>
      <c r="BO97" s="124">
        <f t="shared" si="96"/>
        <v>0.90833333333333333</v>
      </c>
      <c r="BP97" s="124"/>
      <c r="BQ97" s="124"/>
      <c r="BR97" s="14">
        <f t="shared" si="97"/>
        <v>1</v>
      </c>
      <c r="BX97" s="83"/>
      <c r="BY97" s="83"/>
      <c r="BZ97" s="83"/>
      <c r="CA97" s="83"/>
      <c r="CB97" s="83"/>
      <c r="CC97" s="151"/>
      <c r="CD97" s="177">
        <f t="shared" si="98"/>
        <v>125000</v>
      </c>
      <c r="CE97" s="134">
        <f t="shared" si="99"/>
        <v>5.0969100130080562</v>
      </c>
      <c r="CF97" s="119">
        <f t="shared" si="100"/>
        <v>7.8616352201257858E-2</v>
      </c>
      <c r="CG97">
        <f t="shared" si="101"/>
        <v>51</v>
      </c>
      <c r="CH97" s="124">
        <f t="shared" si="102"/>
        <v>0.84166666666666667</v>
      </c>
      <c r="CI97" s="124"/>
      <c r="CJ97" s="124"/>
      <c r="CK97" s="14">
        <f t="shared" si="103"/>
        <v>3</v>
      </c>
      <c r="CL97" s="16"/>
    </row>
    <row r="98" spans="1:90" x14ac:dyDescent="0.2">
      <c r="A98" s="8"/>
      <c r="B98" t="s">
        <v>149</v>
      </c>
      <c r="C98">
        <v>8</v>
      </c>
      <c r="D98" t="s">
        <v>131</v>
      </c>
      <c r="F98" s="9"/>
      <c r="G98" t="s">
        <v>111</v>
      </c>
      <c r="H98" s="1">
        <v>14</v>
      </c>
      <c r="I98" s="8">
        <v>310</v>
      </c>
      <c r="J98" t="s">
        <v>35</v>
      </c>
      <c r="K98" s="9">
        <v>0</v>
      </c>
      <c r="L98" s="1">
        <v>0.1</v>
      </c>
      <c r="M98" s="6">
        <v>70</v>
      </c>
      <c r="N98" s="1">
        <v>128.19</v>
      </c>
      <c r="O98" s="18">
        <v>31800.000000000004</v>
      </c>
      <c r="P98" s="30">
        <v>3.3</v>
      </c>
      <c r="R98" s="1"/>
      <c r="S98" s="1"/>
      <c r="T98" s="1"/>
      <c r="U98" s="1"/>
      <c r="V98">
        <v>11.5</v>
      </c>
      <c r="W98" s="238">
        <f t="shared" si="75"/>
        <v>-12.14949147838287</v>
      </c>
      <c r="X98" s="118">
        <f t="shared" si="76"/>
        <v>6.1238178465734124E-8</v>
      </c>
      <c r="Y98" s="1"/>
      <c r="Z98" s="1"/>
      <c r="AA98" s="1"/>
      <c r="AB98" s="1"/>
      <c r="AC98" s="197"/>
      <c r="AD98" s="244">
        <f>'Lohman 2011'!AD98</f>
        <v>2.7938932542592712</v>
      </c>
      <c r="AE98" s="96">
        <f t="shared" si="77"/>
        <v>622.14734806165097</v>
      </c>
      <c r="AF98" s="98">
        <f t="shared" si="78"/>
        <v>3.8099170332582588E-5</v>
      </c>
      <c r="AG98" s="22">
        <v>1200</v>
      </c>
      <c r="AH98" s="8"/>
      <c r="AI98" s="162">
        <v>0.02</v>
      </c>
      <c r="AJ98" s="167">
        <f t="shared" si="79"/>
        <v>1151.9023532148931</v>
      </c>
      <c r="AK98" s="168">
        <f t="shared" si="80"/>
        <v>1.0426509524641201</v>
      </c>
      <c r="AL98" s="151">
        <f t="shared" si="81"/>
        <v>1.0417549687704597</v>
      </c>
      <c r="AM98" s="177">
        <f t="shared" si="82"/>
        <v>57595.117660744654</v>
      </c>
      <c r="AN98" s="134">
        <f t="shared" si="83"/>
        <v>4.7603856698317735</v>
      </c>
      <c r="AO98" s="119">
        <f t="shared" si="84"/>
        <v>3.7735849056603772E-2</v>
      </c>
      <c r="AP98">
        <f t="shared" si="85"/>
        <v>53</v>
      </c>
      <c r="AQ98" s="124">
        <f t="shared" si="86"/>
        <v>0.875</v>
      </c>
      <c r="AR98" s="124"/>
      <c r="AS98" s="124"/>
      <c r="AT98" s="14">
        <f t="shared" si="87"/>
        <v>1</v>
      </c>
      <c r="AZ98" s="83"/>
      <c r="BA98" s="83"/>
      <c r="BB98" s="83"/>
      <c r="BC98" s="83"/>
      <c r="BD98" s="83"/>
      <c r="BE98" s="8">
        <f t="shared" si="88"/>
        <v>81.571131798376726</v>
      </c>
      <c r="BF98" s="16">
        <f t="shared" si="89"/>
        <v>14.121446249662259</v>
      </c>
      <c r="BG98" s="16"/>
      <c r="BH98" s="189"/>
      <c r="BI98" s="6">
        <f t="shared" si="90"/>
        <v>7.3834572892210446E-2</v>
      </c>
      <c r="BJ98" s="151">
        <f t="shared" si="91"/>
        <v>14.711086796810635</v>
      </c>
      <c r="BK98" s="177">
        <f t="shared" si="92"/>
        <v>4078.5565899188364</v>
      </c>
      <c r="BL98" s="134">
        <f t="shared" si="93"/>
        <v>3.6105064925151882</v>
      </c>
      <c r="BM98" s="119">
        <f t="shared" si="94"/>
        <v>3.7735849056603772E-2</v>
      </c>
      <c r="BN98">
        <f t="shared" si="95"/>
        <v>51</v>
      </c>
      <c r="BO98" s="124">
        <f t="shared" si="96"/>
        <v>0.84166666666666667</v>
      </c>
      <c r="BP98" s="124"/>
      <c r="BQ98" s="124"/>
      <c r="BR98" s="14">
        <f t="shared" si="97"/>
        <v>1</v>
      </c>
      <c r="BX98" s="83"/>
      <c r="BY98" s="83"/>
      <c r="BZ98" s="83"/>
      <c r="CA98" s="83"/>
      <c r="CB98" s="83"/>
      <c r="CC98" s="151"/>
      <c r="CD98" s="177">
        <f t="shared" si="98"/>
        <v>60000</v>
      </c>
      <c r="CE98" s="134">
        <f t="shared" si="99"/>
        <v>4.7781512503836439</v>
      </c>
      <c r="CF98" s="119">
        <f t="shared" si="100"/>
        <v>3.7735849056603772E-2</v>
      </c>
      <c r="CG98">
        <f t="shared" si="101"/>
        <v>48</v>
      </c>
      <c r="CH98" s="124">
        <f t="shared" si="102"/>
        <v>0.79166666666666663</v>
      </c>
      <c r="CI98" s="124"/>
      <c r="CJ98" s="124"/>
      <c r="CK98" s="14">
        <f t="shared" si="103"/>
        <v>3</v>
      </c>
      <c r="CL98" s="16"/>
    </row>
    <row r="99" spans="1:90" x14ac:dyDescent="0.2">
      <c r="A99" s="8"/>
      <c r="B99" t="s">
        <v>149</v>
      </c>
      <c r="C99">
        <v>11</v>
      </c>
      <c r="D99" t="s">
        <v>119</v>
      </c>
      <c r="F99" s="9"/>
      <c r="G99" t="s">
        <v>111</v>
      </c>
      <c r="H99" s="1">
        <v>14</v>
      </c>
      <c r="I99" s="8">
        <v>310</v>
      </c>
      <c r="J99" t="s">
        <v>35</v>
      </c>
      <c r="K99" s="9">
        <v>0</v>
      </c>
      <c r="L99" s="1">
        <v>0.1</v>
      </c>
      <c r="M99" s="6">
        <v>70</v>
      </c>
      <c r="N99" s="1">
        <v>128.19</v>
      </c>
      <c r="O99" s="18">
        <v>31800.000000000004</v>
      </c>
      <c r="P99" s="30">
        <v>3.3</v>
      </c>
      <c r="R99" s="1"/>
      <c r="S99" s="1"/>
      <c r="T99" s="1"/>
      <c r="U99" s="1"/>
      <c r="V99">
        <v>11.5</v>
      </c>
      <c r="W99" s="238">
        <f t="shared" si="75"/>
        <v>-12.14949147838287</v>
      </c>
      <c r="X99" s="118">
        <f t="shared" si="76"/>
        <v>6.1238178465734124E-8</v>
      </c>
      <c r="Y99" s="1"/>
      <c r="Z99" s="1"/>
      <c r="AA99" s="1"/>
      <c r="AB99" s="1"/>
      <c r="AC99" s="197"/>
      <c r="AD99" s="244">
        <f>'Lohman 2011'!AD99</f>
        <v>2.7938932542592712</v>
      </c>
      <c r="AE99" s="96">
        <f t="shared" si="77"/>
        <v>622.14734806165097</v>
      </c>
      <c r="AF99" s="98">
        <f t="shared" si="78"/>
        <v>3.8099170332582588E-5</v>
      </c>
      <c r="AG99" s="22">
        <v>370</v>
      </c>
      <c r="AH99" s="8"/>
      <c r="AI99" s="162">
        <v>0.02</v>
      </c>
      <c r="AJ99" s="167">
        <f t="shared" si="79"/>
        <v>355.16989224125871</v>
      </c>
      <c r="AK99" s="168">
        <f t="shared" si="80"/>
        <v>0.32148404367643701</v>
      </c>
      <c r="AL99" s="151">
        <f t="shared" si="81"/>
        <v>1.0417549687704597</v>
      </c>
      <c r="AM99" s="177">
        <f t="shared" si="82"/>
        <v>17758.494612062936</v>
      </c>
      <c r="AN99" s="134">
        <f t="shared" si="83"/>
        <v>4.2494061478511433</v>
      </c>
      <c r="AO99" s="119">
        <f t="shared" si="84"/>
        <v>1.1635220125786163E-2</v>
      </c>
      <c r="AP99">
        <f t="shared" si="85"/>
        <v>46</v>
      </c>
      <c r="AQ99" s="124">
        <f t="shared" si="86"/>
        <v>0.7583333333333333</v>
      </c>
      <c r="AR99" s="124"/>
      <c r="AS99" s="124"/>
      <c r="AT99" s="14">
        <f t="shared" si="87"/>
        <v>1</v>
      </c>
      <c r="AZ99" s="83"/>
      <c r="BA99" s="83"/>
      <c r="BB99" s="83"/>
      <c r="BC99" s="83"/>
      <c r="BD99" s="83"/>
      <c r="BE99" s="8">
        <f t="shared" si="88"/>
        <v>25.151098971166153</v>
      </c>
      <c r="BF99" s="16">
        <f t="shared" si="89"/>
        <v>14.121446249662259</v>
      </c>
      <c r="BG99" s="16"/>
      <c r="BH99" s="189"/>
      <c r="BI99" s="6">
        <f t="shared" si="90"/>
        <v>2.2765659975098218E-2</v>
      </c>
      <c r="BJ99" s="151">
        <f t="shared" si="91"/>
        <v>14.711086796810637</v>
      </c>
      <c r="BK99" s="177">
        <f t="shared" si="92"/>
        <v>1257.5549485583076</v>
      </c>
      <c r="BL99" s="134">
        <f t="shared" si="93"/>
        <v>3.0995269705345585</v>
      </c>
      <c r="BM99" s="119">
        <f t="shared" si="94"/>
        <v>1.1635220125786163E-2</v>
      </c>
      <c r="BN99">
        <f t="shared" si="95"/>
        <v>42</v>
      </c>
      <c r="BO99" s="124">
        <f t="shared" si="96"/>
        <v>0.69166666666666665</v>
      </c>
      <c r="BP99" s="124"/>
      <c r="BQ99" s="124"/>
      <c r="BR99" s="14">
        <f t="shared" si="97"/>
        <v>1</v>
      </c>
      <c r="BX99" s="83"/>
      <c r="BY99" s="83"/>
      <c r="BZ99" s="83"/>
      <c r="CA99" s="83"/>
      <c r="CB99" s="83"/>
      <c r="CC99" s="151"/>
      <c r="CD99" s="177">
        <f t="shared" si="98"/>
        <v>18500</v>
      </c>
      <c r="CE99" s="134">
        <f t="shared" si="99"/>
        <v>4.2671717284030137</v>
      </c>
      <c r="CF99" s="119">
        <f t="shared" si="100"/>
        <v>1.1635220125786163E-2</v>
      </c>
      <c r="CG99">
        <f t="shared" si="101"/>
        <v>36</v>
      </c>
      <c r="CH99" s="124">
        <f t="shared" si="102"/>
        <v>0.59166666666666667</v>
      </c>
      <c r="CI99" s="124"/>
      <c r="CJ99" s="124"/>
      <c r="CK99" s="14">
        <f t="shared" si="103"/>
        <v>3</v>
      </c>
      <c r="CL99" s="16"/>
    </row>
    <row r="100" spans="1:90" x14ac:dyDescent="0.2">
      <c r="A100" s="8"/>
      <c r="B100" t="s">
        <v>149</v>
      </c>
      <c r="C100">
        <v>13</v>
      </c>
      <c r="D100" t="s">
        <v>131</v>
      </c>
      <c r="F100" s="9"/>
      <c r="G100" t="s">
        <v>111</v>
      </c>
      <c r="H100" s="1">
        <v>14</v>
      </c>
      <c r="I100" s="8">
        <v>310</v>
      </c>
      <c r="J100" t="s">
        <v>35</v>
      </c>
      <c r="K100" s="9">
        <v>0</v>
      </c>
      <c r="L100" s="1">
        <v>0.1</v>
      </c>
      <c r="M100" s="6">
        <v>70</v>
      </c>
      <c r="N100" s="1">
        <v>128.19</v>
      </c>
      <c r="O100" s="18">
        <v>31800.000000000004</v>
      </c>
      <c r="P100" s="30">
        <v>3.3</v>
      </c>
      <c r="R100" s="1"/>
      <c r="S100" s="1"/>
      <c r="T100" s="1"/>
      <c r="U100" s="1"/>
      <c r="V100">
        <v>11.5</v>
      </c>
      <c r="W100" s="238">
        <f t="shared" si="75"/>
        <v>-12.14949147838287</v>
      </c>
      <c r="X100" s="118">
        <f t="shared" si="76"/>
        <v>6.1238178465734124E-8</v>
      </c>
      <c r="Y100" s="1"/>
      <c r="Z100" s="1"/>
      <c r="AA100" s="1"/>
      <c r="AB100" s="1"/>
      <c r="AC100" s="197"/>
      <c r="AD100" s="244">
        <f>'Lohman 2011'!AD100</f>
        <v>2.7938932542592712</v>
      </c>
      <c r="AE100" s="96">
        <f t="shared" si="77"/>
        <v>622.14734806165097</v>
      </c>
      <c r="AF100" s="98">
        <f t="shared" si="78"/>
        <v>3.8099170332582588E-5</v>
      </c>
      <c r="AG100" s="22">
        <v>190</v>
      </c>
      <c r="AH100" s="8"/>
      <c r="AI100" s="162">
        <v>0.02</v>
      </c>
      <c r="AJ100" s="167">
        <f t="shared" si="79"/>
        <v>182.38453925902473</v>
      </c>
      <c r="AK100" s="168">
        <f t="shared" si="80"/>
        <v>0.16508640080681899</v>
      </c>
      <c r="AL100" s="151">
        <f t="shared" si="81"/>
        <v>1.0417549687704597</v>
      </c>
      <c r="AM100" s="177">
        <f t="shared" si="82"/>
        <v>9119.2269629512357</v>
      </c>
      <c r="AN100" s="134">
        <f t="shared" si="83"/>
        <v>3.9599580247369777</v>
      </c>
      <c r="AO100" s="119">
        <f t="shared" si="84"/>
        <v>5.974842767295597E-3</v>
      </c>
      <c r="AP100">
        <f t="shared" si="85"/>
        <v>41</v>
      </c>
      <c r="AQ100" s="124">
        <f t="shared" si="86"/>
        <v>0.67500000000000004</v>
      </c>
      <c r="AR100" s="124"/>
      <c r="AS100" s="124"/>
      <c r="AT100" s="14">
        <f t="shared" si="87"/>
        <v>1</v>
      </c>
      <c r="AZ100" s="83"/>
      <c r="BA100" s="83"/>
      <c r="BB100" s="83"/>
      <c r="BC100" s="83"/>
      <c r="BD100" s="83"/>
      <c r="BE100" s="8">
        <f t="shared" si="88"/>
        <v>12.915429201409648</v>
      </c>
      <c r="BF100" s="16">
        <f t="shared" si="89"/>
        <v>14.121446249662259</v>
      </c>
      <c r="BG100" s="16"/>
      <c r="BH100" s="189"/>
      <c r="BI100" s="6">
        <f t="shared" si="90"/>
        <v>1.1690474041266653E-2</v>
      </c>
      <c r="BJ100" s="151">
        <f t="shared" si="91"/>
        <v>14.711086796810635</v>
      </c>
      <c r="BK100" s="177">
        <f t="shared" si="92"/>
        <v>645.77146007048236</v>
      </c>
      <c r="BL100" s="134">
        <f t="shared" si="93"/>
        <v>2.8100788474203924</v>
      </c>
      <c r="BM100" s="119">
        <f t="shared" si="94"/>
        <v>5.974842767295597E-3</v>
      </c>
      <c r="BN100">
        <f t="shared" si="95"/>
        <v>33</v>
      </c>
      <c r="BO100" s="124">
        <f t="shared" si="96"/>
        <v>0.54166666666666663</v>
      </c>
      <c r="BP100" s="124"/>
      <c r="BQ100" s="124"/>
      <c r="BR100" s="14">
        <f t="shared" si="97"/>
        <v>1</v>
      </c>
      <c r="BX100" s="83"/>
      <c r="BY100" s="83"/>
      <c r="BZ100" s="83"/>
      <c r="CA100" s="83"/>
      <c r="CB100" s="83"/>
      <c r="CC100" s="151"/>
      <c r="CD100" s="177">
        <f t="shared" si="98"/>
        <v>9500</v>
      </c>
      <c r="CE100" s="134">
        <f t="shared" si="99"/>
        <v>3.9777236052888476</v>
      </c>
      <c r="CF100" s="119">
        <f t="shared" si="100"/>
        <v>5.974842767295597E-3</v>
      </c>
      <c r="CG100">
        <f t="shared" si="101"/>
        <v>30</v>
      </c>
      <c r="CH100" s="124">
        <f t="shared" si="102"/>
        <v>0.49166666666666664</v>
      </c>
      <c r="CI100" s="124"/>
      <c r="CJ100" s="124"/>
      <c r="CK100" s="14">
        <f t="shared" si="103"/>
        <v>3</v>
      </c>
      <c r="CL100" s="16"/>
    </row>
    <row r="101" spans="1:90" x14ac:dyDescent="0.2">
      <c r="A101" s="8"/>
      <c r="B101" t="s">
        <v>149</v>
      </c>
      <c r="C101">
        <v>14</v>
      </c>
      <c r="D101" t="s">
        <v>131</v>
      </c>
      <c r="F101" s="9"/>
      <c r="G101" t="s">
        <v>111</v>
      </c>
      <c r="H101" s="1">
        <v>14</v>
      </c>
      <c r="I101" s="8">
        <v>310</v>
      </c>
      <c r="J101" t="s">
        <v>35</v>
      </c>
      <c r="K101" s="9">
        <v>0</v>
      </c>
      <c r="L101" s="1">
        <v>0.1</v>
      </c>
      <c r="M101" s="6">
        <v>70</v>
      </c>
      <c r="N101" s="1">
        <v>128.19</v>
      </c>
      <c r="O101" s="18">
        <v>31800.000000000004</v>
      </c>
      <c r="P101" s="30">
        <v>3.3</v>
      </c>
      <c r="R101" s="1"/>
      <c r="S101" s="1"/>
      <c r="T101" s="1"/>
      <c r="U101" s="1"/>
      <c r="V101">
        <v>11.5</v>
      </c>
      <c r="W101" s="238">
        <f t="shared" si="75"/>
        <v>-12.14949147838287</v>
      </c>
      <c r="X101" s="118">
        <f t="shared" si="76"/>
        <v>6.1238178465734124E-8</v>
      </c>
      <c r="Y101" s="1"/>
      <c r="Z101" s="1"/>
      <c r="AA101" s="1"/>
      <c r="AB101" s="1"/>
      <c r="AC101" s="197"/>
      <c r="AD101" s="244">
        <f>'Lohman 2011'!AD101</f>
        <v>2.7938932542592712</v>
      </c>
      <c r="AE101" s="96">
        <f t="shared" si="77"/>
        <v>622.14734806165097</v>
      </c>
      <c r="AF101" s="98">
        <f t="shared" si="78"/>
        <v>3.8099170332582588E-5</v>
      </c>
      <c r="AG101" s="22">
        <v>180</v>
      </c>
      <c r="AH101" s="8"/>
      <c r="AI101" s="162">
        <v>0.02</v>
      </c>
      <c r="AJ101" s="167">
        <f t="shared" si="79"/>
        <v>172.78535298223395</v>
      </c>
      <c r="AK101" s="168">
        <f t="shared" si="80"/>
        <v>0.15639764286961799</v>
      </c>
      <c r="AL101" s="151">
        <f t="shared" si="81"/>
        <v>1.0417549687704599</v>
      </c>
      <c r="AM101" s="177">
        <f t="shared" si="82"/>
        <v>8639.2676491116963</v>
      </c>
      <c r="AN101" s="134">
        <f t="shared" si="83"/>
        <v>3.9364769288874544</v>
      </c>
      <c r="AO101" s="119">
        <f t="shared" si="84"/>
        <v>5.6603773584905656E-3</v>
      </c>
      <c r="AP101">
        <f t="shared" si="85"/>
        <v>40</v>
      </c>
      <c r="AQ101" s="124">
        <f t="shared" si="86"/>
        <v>0.65833333333333333</v>
      </c>
      <c r="AR101" s="124"/>
      <c r="AS101" s="124"/>
      <c r="AT101" s="14">
        <f t="shared" si="87"/>
        <v>1</v>
      </c>
      <c r="AZ101" s="83"/>
      <c r="BA101" s="83"/>
      <c r="BB101" s="83"/>
      <c r="BC101" s="83"/>
      <c r="BD101" s="83"/>
      <c r="BE101" s="8">
        <f t="shared" si="88"/>
        <v>12.235669769756507</v>
      </c>
      <c r="BF101" s="16">
        <f t="shared" si="89"/>
        <v>14.121446249662259</v>
      </c>
      <c r="BG101" s="16"/>
      <c r="BH101" s="189"/>
      <c r="BI101" s="6">
        <f t="shared" si="90"/>
        <v>1.1075185933831565E-2</v>
      </c>
      <c r="BJ101" s="151">
        <f t="shared" si="91"/>
        <v>14.711086796810637</v>
      </c>
      <c r="BK101" s="177">
        <f t="shared" si="92"/>
        <v>611.78348848782537</v>
      </c>
      <c r="BL101" s="134">
        <f t="shared" si="93"/>
        <v>2.7865977515708695</v>
      </c>
      <c r="BM101" s="119">
        <f t="shared" si="94"/>
        <v>5.6603773584905656E-3</v>
      </c>
      <c r="BN101">
        <f t="shared" si="95"/>
        <v>31</v>
      </c>
      <c r="BO101" s="124">
        <f t="shared" si="96"/>
        <v>0.5083333333333333</v>
      </c>
      <c r="BP101" s="124"/>
      <c r="BQ101" s="124"/>
      <c r="BR101" s="14">
        <f t="shared" si="97"/>
        <v>1</v>
      </c>
      <c r="BX101" s="83"/>
      <c r="BY101" s="83"/>
      <c r="BZ101" s="83"/>
      <c r="CA101" s="83"/>
      <c r="CB101" s="83"/>
      <c r="CC101" s="151"/>
      <c r="CD101" s="177">
        <f t="shared" si="98"/>
        <v>9000</v>
      </c>
      <c r="CE101" s="134">
        <f t="shared" si="99"/>
        <v>3.9542425094393248</v>
      </c>
      <c r="CF101" s="119">
        <f t="shared" si="100"/>
        <v>5.6603773584905656E-3</v>
      </c>
      <c r="CG101">
        <f t="shared" si="101"/>
        <v>29</v>
      </c>
      <c r="CH101" s="124">
        <f t="shared" si="102"/>
        <v>0.47499999999999998</v>
      </c>
      <c r="CI101" s="124"/>
      <c r="CJ101" s="124"/>
      <c r="CK101" s="14">
        <f t="shared" si="103"/>
        <v>3</v>
      </c>
      <c r="CL101" s="16"/>
    </row>
    <row r="102" spans="1:90" x14ac:dyDescent="0.2">
      <c r="A102" s="8"/>
      <c r="B102" t="s">
        <v>149</v>
      </c>
      <c r="C102">
        <v>17</v>
      </c>
      <c r="D102" t="s">
        <v>130</v>
      </c>
      <c r="F102" s="9"/>
      <c r="G102" t="s">
        <v>111</v>
      </c>
      <c r="H102" s="1">
        <v>14</v>
      </c>
      <c r="I102" s="8">
        <v>310</v>
      </c>
      <c r="J102" t="s">
        <v>35</v>
      </c>
      <c r="K102" s="9">
        <v>0</v>
      </c>
      <c r="L102" s="1">
        <v>0.1</v>
      </c>
      <c r="M102" s="6">
        <v>70</v>
      </c>
      <c r="N102" s="1">
        <v>128.19</v>
      </c>
      <c r="O102" s="18">
        <v>31800.000000000004</v>
      </c>
      <c r="P102" s="30">
        <v>3.3</v>
      </c>
      <c r="R102" s="1"/>
      <c r="S102" s="1"/>
      <c r="T102" s="1"/>
      <c r="U102" s="1"/>
      <c r="V102">
        <v>11.5</v>
      </c>
      <c r="W102" s="238">
        <f t="shared" si="75"/>
        <v>-12.14949147838287</v>
      </c>
      <c r="X102" s="118">
        <f t="shared" si="76"/>
        <v>6.1238178465734124E-8</v>
      </c>
      <c r="Y102" s="1"/>
      <c r="Z102" s="1"/>
      <c r="AA102" s="1"/>
      <c r="AB102" s="1"/>
      <c r="AC102" s="197"/>
      <c r="AD102" s="244">
        <f>'Lohman 2011'!AD102</f>
        <v>2.7938932542592712</v>
      </c>
      <c r="AE102" s="96">
        <f t="shared" si="77"/>
        <v>622.14734806165097</v>
      </c>
      <c r="AF102" s="98">
        <f t="shared" si="78"/>
        <v>3.8099170332582588E-5</v>
      </c>
      <c r="AG102" s="22">
        <v>93</v>
      </c>
      <c r="AH102" s="8"/>
      <c r="AI102" s="162">
        <v>0.02</v>
      </c>
      <c r="AJ102" s="167">
        <f t="shared" si="79"/>
        <v>89.272432374154192</v>
      </c>
      <c r="AK102" s="168">
        <f t="shared" si="80"/>
        <v>8.0805448815969294E-2</v>
      </c>
      <c r="AL102" s="151">
        <f t="shared" si="81"/>
        <v>1.0417549687704599</v>
      </c>
      <c r="AM102" s="177">
        <f t="shared" si="82"/>
        <v>4463.6216187077098</v>
      </c>
      <c r="AN102" s="134">
        <f t="shared" si="83"/>
        <v>3.6496873723380836</v>
      </c>
      <c r="AO102" s="119">
        <f t="shared" si="84"/>
        <v>2.9245283018867921E-3</v>
      </c>
      <c r="AP102">
        <f t="shared" si="85"/>
        <v>36</v>
      </c>
      <c r="AQ102" s="124">
        <f t="shared" si="86"/>
        <v>0.59166666666666667</v>
      </c>
      <c r="AR102" s="124"/>
      <c r="AS102" s="124"/>
      <c r="AT102" s="14">
        <f t="shared" si="87"/>
        <v>1</v>
      </c>
      <c r="AZ102" s="83"/>
      <c r="BA102" s="83"/>
      <c r="BB102" s="83"/>
      <c r="BC102" s="83"/>
      <c r="BD102" s="83"/>
      <c r="BE102" s="8">
        <f t="shared" si="88"/>
        <v>6.3217627143741959</v>
      </c>
      <c r="BF102" s="16">
        <f t="shared" si="89"/>
        <v>14.121446249662259</v>
      </c>
      <c r="BG102" s="16"/>
      <c r="BH102" s="189"/>
      <c r="BI102" s="6">
        <f t="shared" si="90"/>
        <v>5.7221793991463089E-3</v>
      </c>
      <c r="BJ102" s="151">
        <f t="shared" si="91"/>
        <v>14.711086796810635</v>
      </c>
      <c r="BK102" s="177">
        <f t="shared" si="92"/>
        <v>316.08813571870979</v>
      </c>
      <c r="BL102" s="134">
        <f t="shared" si="93"/>
        <v>2.4998081950214988</v>
      </c>
      <c r="BM102" s="119">
        <f t="shared" si="94"/>
        <v>2.9245283018867921E-3</v>
      </c>
      <c r="BN102">
        <f t="shared" si="95"/>
        <v>27</v>
      </c>
      <c r="BO102" s="124">
        <f t="shared" si="96"/>
        <v>0.44166666666666665</v>
      </c>
      <c r="BP102" s="124"/>
      <c r="BQ102" s="124"/>
      <c r="BR102" s="14">
        <f t="shared" si="97"/>
        <v>1</v>
      </c>
      <c r="BX102" s="83"/>
      <c r="BY102" s="83"/>
      <c r="BZ102" s="83"/>
      <c r="CA102" s="83"/>
      <c r="CB102" s="83"/>
      <c r="CC102" s="151"/>
      <c r="CD102" s="177">
        <f t="shared" si="98"/>
        <v>4650</v>
      </c>
      <c r="CE102" s="134">
        <f t="shared" si="99"/>
        <v>3.667452952889954</v>
      </c>
      <c r="CF102" s="119">
        <f t="shared" si="100"/>
        <v>2.9245283018867921E-3</v>
      </c>
      <c r="CG102">
        <f t="shared" si="101"/>
        <v>24</v>
      </c>
      <c r="CH102" s="124">
        <f t="shared" si="102"/>
        <v>0.39166666666666666</v>
      </c>
      <c r="CI102" s="124"/>
      <c r="CJ102" s="124"/>
      <c r="CK102" s="14">
        <f t="shared" si="103"/>
        <v>3</v>
      </c>
      <c r="CL102" s="16"/>
    </row>
    <row r="103" spans="1:90" x14ac:dyDescent="0.2">
      <c r="A103" s="8"/>
      <c r="B103" t="s">
        <v>149</v>
      </c>
      <c r="C103">
        <v>18</v>
      </c>
      <c r="D103" t="s">
        <v>126</v>
      </c>
      <c r="F103" s="9"/>
      <c r="G103" t="s">
        <v>111</v>
      </c>
      <c r="H103" s="1">
        <v>14</v>
      </c>
      <c r="I103" s="8">
        <v>310</v>
      </c>
      <c r="J103" t="s">
        <v>35</v>
      </c>
      <c r="K103" s="9">
        <v>0</v>
      </c>
      <c r="L103" s="1">
        <v>0.1</v>
      </c>
      <c r="M103" s="6">
        <v>70</v>
      </c>
      <c r="N103" s="1">
        <v>128.19</v>
      </c>
      <c r="O103" s="18">
        <v>31800.000000000004</v>
      </c>
      <c r="P103" s="30">
        <v>3.3</v>
      </c>
      <c r="R103" s="1"/>
      <c r="S103" s="1"/>
      <c r="T103" s="1"/>
      <c r="U103" s="1"/>
      <c r="V103">
        <v>11.5</v>
      </c>
      <c r="W103" s="238">
        <f t="shared" si="75"/>
        <v>-12.14949147838287</v>
      </c>
      <c r="X103" s="118">
        <f t="shared" si="76"/>
        <v>6.1238178465734124E-8</v>
      </c>
      <c r="Y103" s="1"/>
      <c r="Z103" s="1"/>
      <c r="AA103" s="1"/>
      <c r="AB103" s="1"/>
      <c r="AC103" s="197"/>
      <c r="AD103" s="244">
        <f>'Lohman 2011'!AD103</f>
        <v>2.7938932542592712</v>
      </c>
      <c r="AE103" s="96">
        <f t="shared" si="77"/>
        <v>622.14734806165097</v>
      </c>
      <c r="AF103" s="98">
        <f t="shared" si="78"/>
        <v>3.8099170332582588E-5</v>
      </c>
      <c r="AG103" s="22">
        <v>84</v>
      </c>
      <c r="AH103" s="8"/>
      <c r="AI103" s="162">
        <v>0.02</v>
      </c>
      <c r="AJ103" s="167">
        <f t="shared" si="79"/>
        <v>80.633164725042505</v>
      </c>
      <c r="AK103" s="168">
        <f t="shared" si="80"/>
        <v>7.29855666724884E-2</v>
      </c>
      <c r="AL103" s="151">
        <f t="shared" si="81"/>
        <v>1.0417549687704599</v>
      </c>
      <c r="AM103" s="177">
        <f t="shared" si="82"/>
        <v>4031.6582362521253</v>
      </c>
      <c r="AN103" s="134">
        <f t="shared" si="83"/>
        <v>3.6054837098460299</v>
      </c>
      <c r="AO103" s="119">
        <f t="shared" si="84"/>
        <v>2.6415094339622639E-3</v>
      </c>
      <c r="AP103">
        <f t="shared" si="85"/>
        <v>35</v>
      </c>
      <c r="AQ103" s="124">
        <f t="shared" si="86"/>
        <v>0.57499999999999996</v>
      </c>
      <c r="AR103" s="124"/>
      <c r="AS103" s="124"/>
      <c r="AT103" s="14">
        <f t="shared" si="87"/>
        <v>1</v>
      </c>
      <c r="AZ103" s="83"/>
      <c r="BA103" s="83"/>
      <c r="BB103" s="83"/>
      <c r="BC103" s="83"/>
      <c r="BD103" s="83"/>
      <c r="BE103" s="8">
        <f t="shared" si="88"/>
        <v>5.7099792258863697</v>
      </c>
      <c r="BF103" s="16">
        <f t="shared" si="89"/>
        <v>14.121446249662259</v>
      </c>
      <c r="BG103" s="16"/>
      <c r="BH103" s="189"/>
      <c r="BI103" s="6">
        <f t="shared" si="90"/>
        <v>5.1684201024547304E-3</v>
      </c>
      <c r="BJ103" s="151">
        <f t="shared" si="91"/>
        <v>14.711086796810637</v>
      </c>
      <c r="BK103" s="177">
        <f t="shared" si="92"/>
        <v>285.49896129431846</v>
      </c>
      <c r="BL103" s="134">
        <f t="shared" si="93"/>
        <v>2.4556045325294451</v>
      </c>
      <c r="BM103" s="119">
        <f t="shared" si="94"/>
        <v>2.6415094339622639E-3</v>
      </c>
      <c r="BN103">
        <f t="shared" si="95"/>
        <v>25</v>
      </c>
      <c r="BO103" s="124">
        <f t="shared" si="96"/>
        <v>0.40833333333333333</v>
      </c>
      <c r="BP103" s="124"/>
      <c r="BQ103" s="124"/>
      <c r="BR103" s="14">
        <f t="shared" si="97"/>
        <v>1</v>
      </c>
      <c r="BX103" s="83"/>
      <c r="BY103" s="83"/>
      <c r="BZ103" s="83"/>
      <c r="CA103" s="83"/>
      <c r="CB103" s="83"/>
      <c r="CC103" s="151"/>
      <c r="CD103" s="177">
        <f t="shared" si="98"/>
        <v>4200</v>
      </c>
      <c r="CE103" s="134">
        <f t="shared" si="99"/>
        <v>3.6232492903979003</v>
      </c>
      <c r="CF103" s="119">
        <f t="shared" si="100"/>
        <v>2.6415094339622639E-3</v>
      </c>
      <c r="CG103">
        <f t="shared" si="101"/>
        <v>23</v>
      </c>
      <c r="CH103" s="124">
        <f t="shared" si="102"/>
        <v>0.375</v>
      </c>
      <c r="CI103" s="124"/>
      <c r="CJ103" s="124"/>
      <c r="CK103" s="14">
        <f t="shared" si="103"/>
        <v>3</v>
      </c>
      <c r="CL103" s="16"/>
    </row>
    <row r="104" spans="1:90" x14ac:dyDescent="0.2">
      <c r="A104" s="8"/>
      <c r="B104" t="s">
        <v>149</v>
      </c>
      <c r="C104">
        <v>20</v>
      </c>
      <c r="D104" t="s">
        <v>129</v>
      </c>
      <c r="F104" s="9"/>
      <c r="G104" t="s">
        <v>111</v>
      </c>
      <c r="H104" s="1">
        <v>14</v>
      </c>
      <c r="I104" s="8">
        <v>310</v>
      </c>
      <c r="J104" t="s">
        <v>35</v>
      </c>
      <c r="K104" s="9">
        <v>0</v>
      </c>
      <c r="L104" s="1">
        <v>0.1</v>
      </c>
      <c r="M104" s="6">
        <v>70</v>
      </c>
      <c r="N104" s="1">
        <v>128.19</v>
      </c>
      <c r="O104" s="18">
        <v>31800.000000000004</v>
      </c>
      <c r="P104" s="30">
        <v>3.3</v>
      </c>
      <c r="R104" s="1"/>
      <c r="S104" s="1"/>
      <c r="T104" s="1"/>
      <c r="U104" s="1"/>
      <c r="V104">
        <v>11.5</v>
      </c>
      <c r="W104" s="238">
        <f t="shared" si="75"/>
        <v>-12.14949147838287</v>
      </c>
      <c r="X104" s="118">
        <f t="shared" si="76"/>
        <v>6.1238178465734124E-8</v>
      </c>
      <c r="Y104" s="1"/>
      <c r="Z104" s="1"/>
      <c r="AA104" s="1"/>
      <c r="AB104" s="1"/>
      <c r="AC104" s="197"/>
      <c r="AD104" s="244">
        <f>'Lohman 2011'!AD104</f>
        <v>2.7938932542592712</v>
      </c>
      <c r="AE104" s="96">
        <f t="shared" si="77"/>
        <v>622.14734806165097</v>
      </c>
      <c r="AF104" s="98">
        <f t="shared" si="78"/>
        <v>3.8099170332582588E-5</v>
      </c>
      <c r="AG104" s="22">
        <v>74</v>
      </c>
      <c r="AH104" s="8"/>
      <c r="AI104" s="162">
        <v>0.02</v>
      </c>
      <c r="AJ104" s="167">
        <f t="shared" si="79"/>
        <v>71.033978448251716</v>
      </c>
      <c r="AK104" s="168">
        <f t="shared" si="80"/>
        <v>6.4296808735287383E-2</v>
      </c>
      <c r="AL104" s="151">
        <f t="shared" si="81"/>
        <v>1.0417549687704601</v>
      </c>
      <c r="AM104" s="177">
        <f t="shared" si="82"/>
        <v>3551.6989224125859</v>
      </c>
      <c r="AN104" s="134">
        <f t="shared" si="83"/>
        <v>3.5504361435151246</v>
      </c>
      <c r="AO104" s="119">
        <f t="shared" si="84"/>
        <v>2.3270440251572325E-3</v>
      </c>
      <c r="AP104">
        <f t="shared" si="85"/>
        <v>33</v>
      </c>
      <c r="AQ104" s="124">
        <f t="shared" si="86"/>
        <v>0.54166666666666663</v>
      </c>
      <c r="AR104" s="124"/>
      <c r="AS104" s="124"/>
      <c r="AT104" s="14">
        <f t="shared" si="87"/>
        <v>1</v>
      </c>
      <c r="AZ104" s="83"/>
      <c r="BA104" s="83"/>
      <c r="BB104" s="83"/>
      <c r="BC104" s="83"/>
      <c r="BD104" s="83"/>
      <c r="BE104" s="8">
        <f t="shared" si="88"/>
        <v>5.0302197942332301</v>
      </c>
      <c r="BF104" s="16">
        <f t="shared" si="89"/>
        <v>14.121446249662259</v>
      </c>
      <c r="BG104" s="16"/>
      <c r="BH104" s="189"/>
      <c r="BI104" s="6">
        <f t="shared" si="90"/>
        <v>4.5531319950196433E-3</v>
      </c>
      <c r="BJ104" s="151">
        <f t="shared" si="91"/>
        <v>14.711086796810639</v>
      </c>
      <c r="BK104" s="177">
        <f t="shared" si="92"/>
        <v>251.51098971166149</v>
      </c>
      <c r="BL104" s="134">
        <f t="shared" si="93"/>
        <v>2.4005569661985398</v>
      </c>
      <c r="BM104" s="119">
        <f t="shared" si="94"/>
        <v>2.3270440251572325E-3</v>
      </c>
      <c r="BN104">
        <f t="shared" si="95"/>
        <v>23</v>
      </c>
      <c r="BO104" s="124">
        <f t="shared" si="96"/>
        <v>0.375</v>
      </c>
      <c r="BP104" s="124"/>
      <c r="BQ104" s="124"/>
      <c r="BR104" s="14">
        <f t="shared" si="97"/>
        <v>1</v>
      </c>
      <c r="BX104" s="83"/>
      <c r="BY104" s="83"/>
      <c r="BZ104" s="83"/>
      <c r="CA104" s="83"/>
      <c r="CB104" s="83"/>
      <c r="CC104" s="151"/>
      <c r="CD104" s="177">
        <f t="shared" si="98"/>
        <v>3700</v>
      </c>
      <c r="CE104" s="134">
        <f t="shared" si="99"/>
        <v>3.568201724066995</v>
      </c>
      <c r="CF104" s="119">
        <f t="shared" si="100"/>
        <v>2.3270440251572325E-3</v>
      </c>
      <c r="CG104">
        <f t="shared" si="101"/>
        <v>22</v>
      </c>
      <c r="CH104" s="124">
        <f t="shared" si="102"/>
        <v>0.35833333333333334</v>
      </c>
      <c r="CI104" s="124"/>
      <c r="CJ104" s="124"/>
      <c r="CK104" s="14">
        <f t="shared" si="103"/>
        <v>3</v>
      </c>
      <c r="CL104" s="16"/>
    </row>
    <row r="105" spans="1:90" x14ac:dyDescent="0.2">
      <c r="A105" s="8"/>
      <c r="B105" t="s">
        <v>149</v>
      </c>
      <c r="C105">
        <v>21</v>
      </c>
      <c r="D105" t="s">
        <v>128</v>
      </c>
      <c r="F105" s="9"/>
      <c r="G105" t="s">
        <v>111</v>
      </c>
      <c r="H105" s="1">
        <v>14</v>
      </c>
      <c r="I105" s="8">
        <v>310</v>
      </c>
      <c r="J105" t="s">
        <v>35</v>
      </c>
      <c r="K105" s="9">
        <v>0</v>
      </c>
      <c r="L105" s="1">
        <v>0.1</v>
      </c>
      <c r="M105" s="6">
        <v>70</v>
      </c>
      <c r="N105" s="1">
        <v>128.19</v>
      </c>
      <c r="O105" s="18">
        <v>31800.000000000004</v>
      </c>
      <c r="P105" s="30">
        <v>3.3</v>
      </c>
      <c r="R105" s="1"/>
      <c r="S105" s="1"/>
      <c r="T105" s="1"/>
      <c r="U105" s="1"/>
      <c r="V105">
        <v>11.5</v>
      </c>
      <c r="W105" s="238">
        <f t="shared" si="75"/>
        <v>-12.14949147838287</v>
      </c>
      <c r="X105" s="118">
        <f t="shared" si="76"/>
        <v>6.1238178465734124E-8</v>
      </c>
      <c r="Y105" s="1"/>
      <c r="Z105" s="1"/>
      <c r="AA105" s="1"/>
      <c r="AB105" s="1"/>
      <c r="AC105" s="197"/>
      <c r="AD105" s="244">
        <f>'Lohman 2011'!AD105</f>
        <v>2.7938932542592712</v>
      </c>
      <c r="AE105" s="96">
        <f t="shared" si="77"/>
        <v>622.14734806165097</v>
      </c>
      <c r="AF105" s="98">
        <f t="shared" si="78"/>
        <v>3.8099170332582588E-5</v>
      </c>
      <c r="AG105" s="22">
        <v>70</v>
      </c>
      <c r="AH105" s="8"/>
      <c r="AI105" s="162">
        <v>0.02</v>
      </c>
      <c r="AJ105" s="167">
        <f t="shared" si="79"/>
        <v>67.194303937535409</v>
      </c>
      <c r="AK105" s="168">
        <f t="shared" si="80"/>
        <v>6.0821305560406991E-2</v>
      </c>
      <c r="AL105" s="151">
        <f t="shared" si="81"/>
        <v>1.0417549687704601</v>
      </c>
      <c r="AM105" s="177">
        <f t="shared" si="82"/>
        <v>3359.7151968767703</v>
      </c>
      <c r="AN105" s="134">
        <f t="shared" si="83"/>
        <v>3.5263024637984053</v>
      </c>
      <c r="AO105" s="119">
        <f t="shared" si="84"/>
        <v>2.2012578616352201E-3</v>
      </c>
      <c r="AP105">
        <f t="shared" si="85"/>
        <v>32</v>
      </c>
      <c r="AQ105" s="124">
        <f t="shared" si="86"/>
        <v>0.52500000000000002</v>
      </c>
      <c r="AR105" s="124"/>
      <c r="AS105" s="124"/>
      <c r="AT105" s="14">
        <f t="shared" si="87"/>
        <v>1</v>
      </c>
      <c r="AZ105" s="83"/>
      <c r="BA105" s="83"/>
      <c r="BB105" s="83"/>
      <c r="BC105" s="83"/>
      <c r="BD105" s="83"/>
      <c r="BE105" s="8">
        <f t="shared" si="88"/>
        <v>4.7583160215719751</v>
      </c>
      <c r="BF105" s="16">
        <f t="shared" si="89"/>
        <v>14.121446249662259</v>
      </c>
      <c r="BG105" s="16"/>
      <c r="BH105" s="189"/>
      <c r="BI105" s="6">
        <f t="shared" si="90"/>
        <v>4.3070167520456093E-3</v>
      </c>
      <c r="BJ105" s="151">
        <f t="shared" si="91"/>
        <v>14.711086796810637</v>
      </c>
      <c r="BK105" s="177">
        <f t="shared" si="92"/>
        <v>237.91580107859875</v>
      </c>
      <c r="BL105" s="134">
        <f t="shared" si="93"/>
        <v>2.3764232864818204</v>
      </c>
      <c r="BM105" s="119">
        <f t="shared" si="94"/>
        <v>2.2012578616352201E-3</v>
      </c>
      <c r="BN105">
        <f t="shared" si="95"/>
        <v>22</v>
      </c>
      <c r="BO105" s="124">
        <f t="shared" si="96"/>
        <v>0.35833333333333334</v>
      </c>
      <c r="BP105" s="124"/>
      <c r="BQ105" s="124"/>
      <c r="BR105" s="14">
        <f t="shared" si="97"/>
        <v>1</v>
      </c>
      <c r="BX105" s="83"/>
      <c r="BY105" s="83"/>
      <c r="BZ105" s="83"/>
      <c r="CA105" s="83"/>
      <c r="CB105" s="83"/>
      <c r="CC105" s="151"/>
      <c r="CD105" s="177">
        <f t="shared" si="98"/>
        <v>3500</v>
      </c>
      <c r="CE105" s="134">
        <f t="shared" si="99"/>
        <v>3.5440680443502757</v>
      </c>
      <c r="CF105" s="119">
        <f t="shared" si="100"/>
        <v>2.2012578616352201E-3</v>
      </c>
      <c r="CG105">
        <f t="shared" si="101"/>
        <v>21</v>
      </c>
      <c r="CH105" s="124">
        <f t="shared" si="102"/>
        <v>0.34166666666666667</v>
      </c>
      <c r="CI105" s="124"/>
      <c r="CJ105" s="124"/>
      <c r="CK105" s="14">
        <f t="shared" si="103"/>
        <v>3</v>
      </c>
      <c r="CL105" s="16"/>
    </row>
    <row r="106" spans="1:90" x14ac:dyDescent="0.2">
      <c r="A106" s="8"/>
      <c r="B106" t="s">
        <v>149</v>
      </c>
      <c r="C106">
        <v>22</v>
      </c>
      <c r="D106" t="s">
        <v>127</v>
      </c>
      <c r="F106" s="9"/>
      <c r="G106" t="s">
        <v>111</v>
      </c>
      <c r="H106" s="1">
        <v>14</v>
      </c>
      <c r="I106" s="8">
        <v>310</v>
      </c>
      <c r="J106" t="s">
        <v>35</v>
      </c>
      <c r="K106" s="9">
        <v>0</v>
      </c>
      <c r="L106" s="1">
        <v>0.1</v>
      </c>
      <c r="M106" s="6">
        <v>70</v>
      </c>
      <c r="N106" s="1">
        <v>128.19</v>
      </c>
      <c r="O106" s="18">
        <v>31800.000000000004</v>
      </c>
      <c r="P106" s="30">
        <v>3.3</v>
      </c>
      <c r="R106" s="1"/>
      <c r="S106" s="1"/>
      <c r="T106" s="1"/>
      <c r="U106" s="1"/>
      <c r="V106">
        <v>11.5</v>
      </c>
      <c r="W106" s="238">
        <f t="shared" si="75"/>
        <v>-12.14949147838287</v>
      </c>
      <c r="X106" s="118">
        <f t="shared" si="76"/>
        <v>6.1238178465734124E-8</v>
      </c>
      <c r="Y106" s="1"/>
      <c r="Z106" s="1"/>
      <c r="AA106" s="1"/>
      <c r="AB106" s="1"/>
      <c r="AC106" s="197"/>
      <c r="AD106" s="244">
        <f>'Lohman 2011'!AD106</f>
        <v>2.7938932542592712</v>
      </c>
      <c r="AE106" s="96">
        <f t="shared" si="77"/>
        <v>622.14734806165097</v>
      </c>
      <c r="AF106" s="98">
        <f t="shared" si="78"/>
        <v>3.8099170332582588E-5</v>
      </c>
      <c r="AG106" s="22">
        <v>40</v>
      </c>
      <c r="AH106" s="8"/>
      <c r="AI106" s="162">
        <v>0.02</v>
      </c>
      <c r="AJ106" s="167">
        <f t="shared" si="79"/>
        <v>38.396745107163099</v>
      </c>
      <c r="AK106" s="168">
        <f t="shared" si="80"/>
        <v>3.4755031748803997E-2</v>
      </c>
      <c r="AL106" s="151">
        <f t="shared" si="81"/>
        <v>1.0417549687704599</v>
      </c>
      <c r="AM106" s="177">
        <f t="shared" si="82"/>
        <v>1919.8372553581548</v>
      </c>
      <c r="AN106" s="134">
        <f t="shared" si="83"/>
        <v>3.2832644151121109</v>
      </c>
      <c r="AO106" s="119">
        <f t="shared" si="84"/>
        <v>1.2578616352201257E-3</v>
      </c>
      <c r="AP106">
        <f t="shared" si="85"/>
        <v>28</v>
      </c>
      <c r="AQ106" s="124">
        <f t="shared" si="86"/>
        <v>0.45833333333333331</v>
      </c>
      <c r="AR106" s="124"/>
      <c r="AS106" s="124"/>
      <c r="AT106" s="14">
        <f t="shared" si="87"/>
        <v>1</v>
      </c>
      <c r="AZ106" s="83"/>
      <c r="BA106" s="83"/>
      <c r="BB106" s="83"/>
      <c r="BC106" s="83"/>
      <c r="BD106" s="83"/>
      <c r="BE106" s="8">
        <f t="shared" si="88"/>
        <v>2.7190377266125574</v>
      </c>
      <c r="BF106" s="16">
        <f t="shared" si="89"/>
        <v>14.121446249662259</v>
      </c>
      <c r="BG106" s="16"/>
      <c r="BH106" s="189"/>
      <c r="BI106" s="6">
        <f t="shared" si="90"/>
        <v>2.4611524297403482E-3</v>
      </c>
      <c r="BJ106" s="151">
        <f t="shared" si="91"/>
        <v>14.711086796810635</v>
      </c>
      <c r="BK106" s="177">
        <f t="shared" si="92"/>
        <v>135.95188633062787</v>
      </c>
      <c r="BL106" s="134">
        <f t="shared" si="93"/>
        <v>2.133385237795526</v>
      </c>
      <c r="BM106" s="119">
        <f t="shared" si="94"/>
        <v>1.2578616352201257E-3</v>
      </c>
      <c r="BN106">
        <f t="shared" si="95"/>
        <v>19</v>
      </c>
      <c r="BO106" s="124">
        <f t="shared" si="96"/>
        <v>0.30833333333333335</v>
      </c>
      <c r="BP106" s="124"/>
      <c r="BQ106" s="124"/>
      <c r="BR106" s="14">
        <f t="shared" si="97"/>
        <v>1</v>
      </c>
      <c r="BX106" s="83"/>
      <c r="BY106" s="83"/>
      <c r="BZ106" s="83"/>
      <c r="CA106" s="83"/>
      <c r="CB106" s="83"/>
      <c r="CC106" s="151"/>
      <c r="CD106" s="177">
        <f t="shared" si="98"/>
        <v>2000</v>
      </c>
      <c r="CE106" s="134">
        <f t="shared" si="99"/>
        <v>3.3010299956639813</v>
      </c>
      <c r="CF106" s="119">
        <f t="shared" si="100"/>
        <v>1.2578616352201257E-3</v>
      </c>
      <c r="CG106">
        <f t="shared" si="101"/>
        <v>18</v>
      </c>
      <c r="CH106" s="124">
        <f t="shared" si="102"/>
        <v>0.29166666666666669</v>
      </c>
      <c r="CI106" s="124"/>
      <c r="CJ106" s="124"/>
      <c r="CK106" s="14">
        <f t="shared" si="103"/>
        <v>3</v>
      </c>
      <c r="CL106" s="16"/>
    </row>
    <row r="107" spans="1:90" x14ac:dyDescent="0.2">
      <c r="A107" s="8"/>
      <c r="B107" t="s">
        <v>149</v>
      </c>
      <c r="C107">
        <v>28</v>
      </c>
      <c r="D107" t="s">
        <v>124</v>
      </c>
      <c r="F107" s="9"/>
      <c r="G107" t="s">
        <v>111</v>
      </c>
      <c r="H107" s="1">
        <v>14</v>
      </c>
      <c r="I107" s="8">
        <v>403</v>
      </c>
      <c r="J107" t="s">
        <v>14</v>
      </c>
      <c r="K107" s="9" t="s">
        <v>153</v>
      </c>
      <c r="L107" s="1">
        <v>10</v>
      </c>
      <c r="M107" s="6">
        <v>40</v>
      </c>
      <c r="N107" s="1">
        <v>165.80749949115744</v>
      </c>
      <c r="O107" s="18">
        <v>118882.50367033854</v>
      </c>
      <c r="P107" s="30">
        <v>3.4</v>
      </c>
      <c r="R107" s="1"/>
      <c r="S107" s="1"/>
      <c r="T107" s="1"/>
      <c r="U107" s="1"/>
      <c r="V107">
        <v>11.5</v>
      </c>
      <c r="W107" s="238">
        <f t="shared" si="75"/>
        <v>-12.379625471527355</v>
      </c>
      <c r="X107" s="118">
        <f t="shared" si="76"/>
        <v>3.6048589045729005E-8</v>
      </c>
      <c r="Y107" s="1"/>
      <c r="Z107" s="1"/>
      <c r="AA107" s="1"/>
      <c r="AB107" s="1"/>
      <c r="AC107" s="197"/>
      <c r="AD107" s="244">
        <f>'Lohman 2011'!AD107</f>
        <v>2.8928932542592714</v>
      </c>
      <c r="AE107" s="96">
        <f t="shared" si="77"/>
        <v>781.43571099873827</v>
      </c>
      <c r="AF107" s="98">
        <f t="shared" si="78"/>
        <v>2.8169654811450574E-5</v>
      </c>
      <c r="AG107" s="22">
        <v>920</v>
      </c>
      <c r="AH107" s="8"/>
      <c r="AI107" s="162">
        <v>0.02</v>
      </c>
      <c r="AJ107" s="167">
        <f t="shared" si="79"/>
        <v>652.96252019487326</v>
      </c>
      <c r="AK107" s="168">
        <f t="shared" si="80"/>
        <v>0.5910327309467247</v>
      </c>
      <c r="AL107" s="151">
        <f t="shared" si="81"/>
        <v>1.4089629520013351</v>
      </c>
      <c r="AM107" s="177">
        <f t="shared" si="82"/>
        <v>32648.126009743664</v>
      </c>
      <c r="AN107" s="134">
        <f t="shared" si="83"/>
        <v>4.5138582579852198</v>
      </c>
      <c r="AO107" s="119">
        <f t="shared" si="84"/>
        <v>7.7387333846127785E-3</v>
      </c>
      <c r="AP107">
        <f t="shared" si="85"/>
        <v>50</v>
      </c>
      <c r="AQ107" s="124">
        <f t="shared" si="86"/>
        <v>0.82499999999999996</v>
      </c>
      <c r="AR107" s="124"/>
      <c r="AS107" s="124"/>
      <c r="AT107" s="14">
        <f t="shared" si="87"/>
        <v>1</v>
      </c>
      <c r="AZ107" s="83"/>
      <c r="BA107" s="83"/>
      <c r="BB107" s="83"/>
      <c r="BC107" s="83"/>
      <c r="BD107" s="83"/>
      <c r="BE107" s="8">
        <f t="shared" si="88"/>
        <v>47.515592945337985</v>
      </c>
      <c r="BF107" s="16">
        <f t="shared" si="89"/>
        <v>13.742068228971542</v>
      </c>
      <c r="BG107" s="16"/>
      <c r="BH107" s="189"/>
      <c r="BI107" s="6">
        <f t="shared" si="90"/>
        <v>4.3009008622201972E-2</v>
      </c>
      <c r="BJ107" s="151">
        <f t="shared" si="91"/>
        <v>19.362065018495496</v>
      </c>
      <c r="BK107" s="177">
        <f t="shared" si="92"/>
        <v>2375.7796472668992</v>
      </c>
      <c r="BL107" s="134">
        <f t="shared" si="93"/>
        <v>3.3758061575154281</v>
      </c>
      <c r="BM107" s="119">
        <f t="shared" si="94"/>
        <v>7.7387333846127785E-3</v>
      </c>
      <c r="BN107">
        <f t="shared" si="95"/>
        <v>45</v>
      </c>
      <c r="BO107" s="124">
        <f t="shared" si="96"/>
        <v>0.7416666666666667</v>
      </c>
      <c r="BP107" s="124"/>
      <c r="BQ107" s="124"/>
      <c r="BR107" s="14">
        <f t="shared" si="97"/>
        <v>1</v>
      </c>
      <c r="BX107" s="83"/>
      <c r="BY107" s="83"/>
      <c r="BZ107" s="83"/>
      <c r="CA107" s="83"/>
      <c r="CB107" s="83"/>
      <c r="CC107" s="151"/>
      <c r="CD107" s="177">
        <f t="shared" si="98"/>
        <v>46000</v>
      </c>
      <c r="CE107" s="134">
        <f t="shared" si="99"/>
        <v>4.6627578316815743</v>
      </c>
      <c r="CF107" s="119">
        <f t="shared" si="100"/>
        <v>7.7387333846127785E-3</v>
      </c>
      <c r="CG107">
        <f t="shared" si="101"/>
        <v>42</v>
      </c>
      <c r="CH107" s="124">
        <f t="shared" si="102"/>
        <v>0.69166666666666665</v>
      </c>
      <c r="CI107" s="124"/>
      <c r="CJ107" s="124"/>
      <c r="CK107" s="14">
        <f t="shared" si="103"/>
        <v>3</v>
      </c>
      <c r="CL107" s="16"/>
    </row>
    <row r="108" spans="1:90" x14ac:dyDescent="0.2">
      <c r="A108" s="8"/>
      <c r="B108" t="s">
        <v>149</v>
      </c>
      <c r="C108">
        <v>30</v>
      </c>
      <c r="D108" t="s">
        <v>117</v>
      </c>
      <c r="F108" s="9"/>
      <c r="G108" t="s">
        <v>111</v>
      </c>
      <c r="H108" s="1">
        <v>14</v>
      </c>
      <c r="I108" s="8">
        <v>403</v>
      </c>
      <c r="J108" t="s">
        <v>14</v>
      </c>
      <c r="K108" s="9" t="s">
        <v>153</v>
      </c>
      <c r="L108" s="1">
        <v>10</v>
      </c>
      <c r="M108" s="6">
        <v>40</v>
      </c>
      <c r="N108" s="1">
        <v>165.80749949115744</v>
      </c>
      <c r="O108" s="18">
        <v>118882.50367033854</v>
      </c>
      <c r="P108" s="30">
        <v>3.4</v>
      </c>
      <c r="R108" s="1"/>
      <c r="S108" s="1"/>
      <c r="T108" s="1"/>
      <c r="U108" s="1"/>
      <c r="V108">
        <v>11.5</v>
      </c>
      <c r="W108" s="238">
        <f t="shared" si="75"/>
        <v>-12.379625471527355</v>
      </c>
      <c r="X108" s="118">
        <f t="shared" si="76"/>
        <v>3.6048589045729005E-8</v>
      </c>
      <c r="Y108" s="1"/>
      <c r="Z108" s="1"/>
      <c r="AA108" s="1"/>
      <c r="AB108" s="1"/>
      <c r="AC108" s="197"/>
      <c r="AD108" s="244">
        <f>'Lohman 2011'!AD108</f>
        <v>2.8928932542592714</v>
      </c>
      <c r="AE108" s="96">
        <f t="shared" si="77"/>
        <v>781.43571099873827</v>
      </c>
      <c r="AF108" s="98">
        <f t="shared" si="78"/>
        <v>2.8169654811450574E-5</v>
      </c>
      <c r="AG108" s="22">
        <v>260</v>
      </c>
      <c r="AH108" s="8"/>
      <c r="AI108" s="162">
        <v>0.02</v>
      </c>
      <c r="AJ108" s="167">
        <f t="shared" si="79"/>
        <v>184.53288614202941</v>
      </c>
      <c r="AK108" s="168">
        <f t="shared" si="80"/>
        <v>0.16703098918059611</v>
      </c>
      <c r="AL108" s="151">
        <f t="shared" si="81"/>
        <v>1.4089629520013349</v>
      </c>
      <c r="AM108" s="177">
        <f t="shared" si="82"/>
        <v>9226.644307101471</v>
      </c>
      <c r="AN108" s="134">
        <f t="shared" si="83"/>
        <v>3.9650437786104824</v>
      </c>
      <c r="AO108" s="119">
        <f t="shared" si="84"/>
        <v>2.1870333478253502E-3</v>
      </c>
      <c r="AP108">
        <f t="shared" si="85"/>
        <v>42</v>
      </c>
      <c r="AQ108" s="124">
        <f t="shared" si="86"/>
        <v>0.69166666666666665</v>
      </c>
      <c r="AR108" s="124"/>
      <c r="AS108" s="124"/>
      <c r="AT108" s="14">
        <f t="shared" si="87"/>
        <v>1</v>
      </c>
      <c r="AZ108" s="83"/>
      <c r="BA108" s="83"/>
      <c r="BB108" s="83"/>
      <c r="BC108" s="83"/>
      <c r="BD108" s="83"/>
      <c r="BE108" s="8">
        <f t="shared" si="88"/>
        <v>13.428319745421604</v>
      </c>
      <c r="BF108" s="16">
        <f t="shared" si="89"/>
        <v>13.742068228971542</v>
      </c>
      <c r="BG108" s="16"/>
      <c r="BH108" s="189"/>
      <c r="BI108" s="6">
        <f t="shared" si="90"/>
        <v>1.21547198280136E-2</v>
      </c>
      <c r="BJ108" s="151">
        <f t="shared" si="91"/>
        <v>19.362065018495496</v>
      </c>
      <c r="BK108" s="177">
        <f t="shared" si="92"/>
        <v>671.41598727108021</v>
      </c>
      <c r="BL108" s="134">
        <f t="shared" si="93"/>
        <v>2.8269916781406907</v>
      </c>
      <c r="BM108" s="119">
        <f t="shared" si="94"/>
        <v>2.1870333478253502E-3</v>
      </c>
      <c r="BN108">
        <f t="shared" si="95"/>
        <v>35</v>
      </c>
      <c r="BO108" s="124">
        <f t="shared" si="96"/>
        <v>0.57499999999999996</v>
      </c>
      <c r="BP108" s="124"/>
      <c r="BQ108" s="124"/>
      <c r="BR108" s="14">
        <f t="shared" si="97"/>
        <v>1</v>
      </c>
      <c r="BX108" s="83"/>
      <c r="BY108" s="83"/>
      <c r="BZ108" s="83"/>
      <c r="CA108" s="83"/>
      <c r="CB108" s="83"/>
      <c r="CC108" s="151"/>
      <c r="CD108" s="177">
        <f t="shared" si="98"/>
        <v>13000</v>
      </c>
      <c r="CE108" s="134">
        <f t="shared" si="99"/>
        <v>4.1139433523068369</v>
      </c>
      <c r="CF108" s="119">
        <f t="shared" si="100"/>
        <v>2.1870333478253502E-3</v>
      </c>
      <c r="CG108">
        <f t="shared" si="101"/>
        <v>34</v>
      </c>
      <c r="CH108" s="124">
        <f t="shared" si="102"/>
        <v>0.55833333333333335</v>
      </c>
      <c r="CI108" s="124"/>
      <c r="CJ108" s="124"/>
      <c r="CK108" s="14">
        <f t="shared" si="103"/>
        <v>3</v>
      </c>
      <c r="CL108" s="16"/>
    </row>
    <row r="109" spans="1:90" x14ac:dyDescent="0.2">
      <c r="A109" s="8"/>
      <c r="B109" t="s">
        <v>149</v>
      </c>
      <c r="C109">
        <v>16</v>
      </c>
      <c r="D109" t="s">
        <v>124</v>
      </c>
      <c r="F109" s="9"/>
      <c r="G109" t="s">
        <v>111</v>
      </c>
      <c r="H109" s="1">
        <v>14</v>
      </c>
      <c r="I109" s="8">
        <v>406</v>
      </c>
      <c r="J109" t="s">
        <v>125</v>
      </c>
      <c r="K109" s="9">
        <v>0</v>
      </c>
      <c r="L109" s="1">
        <v>0.1</v>
      </c>
      <c r="M109" s="6">
        <v>5</v>
      </c>
      <c r="N109" s="1">
        <v>62.5</v>
      </c>
      <c r="O109" s="18">
        <v>428000</v>
      </c>
      <c r="P109" s="30">
        <v>1.52</v>
      </c>
      <c r="R109" s="1"/>
      <c r="S109" s="1"/>
      <c r="T109" s="1"/>
      <c r="U109" s="1"/>
      <c r="V109">
        <v>11.5</v>
      </c>
      <c r="W109" s="238">
        <f t="shared" si="75"/>
        <v>-11.667442329391202</v>
      </c>
      <c r="X109" s="118">
        <f t="shared" si="76"/>
        <v>1.8581099677484208E-7</v>
      </c>
      <c r="Y109" s="1"/>
      <c r="Z109" s="1"/>
      <c r="AA109" s="1"/>
      <c r="AB109" s="1"/>
      <c r="AC109" s="197"/>
      <c r="AD109" s="244">
        <f>'Lohman 2011'!AD109</f>
        <v>1.0316932542592707</v>
      </c>
      <c r="AE109" s="96">
        <f t="shared" si="77"/>
        <v>10.757051659003467</v>
      </c>
      <c r="AF109" s="98">
        <f t="shared" si="78"/>
        <v>1.998778491117903E-6</v>
      </c>
      <c r="AG109" s="22">
        <v>2700</v>
      </c>
      <c r="AH109" s="8"/>
      <c r="AI109" s="162">
        <v>0.2</v>
      </c>
      <c r="AJ109" s="167">
        <f t="shared" si="79"/>
        <v>135.97132592638792</v>
      </c>
      <c r="AK109" s="168">
        <f t="shared" si="80"/>
        <v>0.12307521734744617</v>
      </c>
      <c r="AL109" s="151">
        <f t="shared" si="81"/>
        <v>19.857127829008039</v>
      </c>
      <c r="AM109" s="177">
        <f t="shared" si="82"/>
        <v>679.85662963193954</v>
      </c>
      <c r="AN109" s="134">
        <f t="shared" si="83"/>
        <v>2.832417336934804</v>
      </c>
      <c r="AO109" s="119">
        <f t="shared" si="84"/>
        <v>6.3084112149532712E-3</v>
      </c>
      <c r="AP109">
        <f t="shared" si="85"/>
        <v>17</v>
      </c>
      <c r="AQ109" s="124">
        <f t="shared" si="86"/>
        <v>0.27500000000000002</v>
      </c>
      <c r="AR109" s="124"/>
      <c r="AS109" s="124"/>
      <c r="AT109" s="14">
        <f t="shared" si="87"/>
        <v>1</v>
      </c>
      <c r="AZ109" s="83"/>
      <c r="BA109" s="83"/>
      <c r="BB109" s="83"/>
      <c r="BC109" s="83"/>
      <c r="BD109" s="83"/>
      <c r="BE109" s="8">
        <f t="shared" si="88"/>
        <v>126.85879965139758</v>
      </c>
      <c r="BF109" s="16">
        <f t="shared" si="89"/>
        <v>1.0718320392438772</v>
      </c>
      <c r="BG109" s="16"/>
      <c r="BH109" s="189"/>
      <c r="BI109" s="6">
        <f t="shared" si="90"/>
        <v>0.1148269624728418</v>
      </c>
      <c r="BJ109" s="151">
        <f t="shared" si="91"/>
        <v>21.283505814492031</v>
      </c>
      <c r="BK109" s="177">
        <f t="shared" si="92"/>
        <v>634.29399825698783</v>
      </c>
      <c r="BL109" s="134">
        <f t="shared" si="93"/>
        <v>2.8022906020860914</v>
      </c>
      <c r="BM109" s="119">
        <f t="shared" si="94"/>
        <v>6.3084112149532712E-3</v>
      </c>
      <c r="BN109">
        <f t="shared" si="95"/>
        <v>32</v>
      </c>
      <c r="BO109" s="124">
        <f t="shared" si="96"/>
        <v>0.52500000000000002</v>
      </c>
      <c r="BP109" s="124"/>
      <c r="BQ109" s="124"/>
      <c r="BR109" s="14">
        <f t="shared" si="97"/>
        <v>1</v>
      </c>
      <c r="BX109" s="83"/>
      <c r="BY109" s="83"/>
      <c r="BZ109" s="83"/>
      <c r="CA109" s="83"/>
      <c r="CB109" s="83"/>
      <c r="CC109" s="151"/>
      <c r="CD109" s="177">
        <f t="shared" si="98"/>
        <v>13500</v>
      </c>
      <c r="CE109" s="134">
        <f t="shared" si="99"/>
        <v>4.1303337684950066</v>
      </c>
      <c r="CF109" s="119">
        <f t="shared" si="100"/>
        <v>6.3084112149532712E-3</v>
      </c>
      <c r="CG109">
        <f t="shared" si="101"/>
        <v>35</v>
      </c>
      <c r="CH109" s="124">
        <f t="shared" si="102"/>
        <v>0.57499999999999996</v>
      </c>
      <c r="CI109" s="124"/>
      <c r="CJ109" s="124"/>
      <c r="CK109" s="14">
        <f t="shared" si="103"/>
        <v>3</v>
      </c>
      <c r="CL109" s="16"/>
    </row>
    <row r="110" spans="1:90" x14ac:dyDescent="0.2">
      <c r="A110" s="8"/>
      <c r="B110" t="s">
        <v>149</v>
      </c>
      <c r="C110">
        <v>31</v>
      </c>
      <c r="D110" t="s">
        <v>126</v>
      </c>
      <c r="F110" s="9"/>
      <c r="G110" t="s">
        <v>111</v>
      </c>
      <c r="H110" s="1">
        <v>14</v>
      </c>
      <c r="I110" s="8">
        <v>406</v>
      </c>
      <c r="J110" t="s">
        <v>125</v>
      </c>
      <c r="K110" s="9">
        <v>0</v>
      </c>
      <c r="L110" s="1">
        <v>0.1</v>
      </c>
      <c r="M110" s="6">
        <v>5</v>
      </c>
      <c r="N110" s="1">
        <v>62.5</v>
      </c>
      <c r="O110" s="18">
        <v>428000</v>
      </c>
      <c r="P110" s="30">
        <v>1.52</v>
      </c>
      <c r="R110" s="1"/>
      <c r="S110" s="1"/>
      <c r="T110" s="1"/>
      <c r="U110" s="1"/>
      <c r="V110">
        <v>11.5</v>
      </c>
      <c r="W110" s="238">
        <f t="shared" si="75"/>
        <v>-11.667442329391202</v>
      </c>
      <c r="X110" s="118">
        <f t="shared" si="76"/>
        <v>1.8581099677484208E-7</v>
      </c>
      <c r="Y110" s="1"/>
      <c r="Z110" s="1"/>
      <c r="AA110" s="1"/>
      <c r="AB110" s="1"/>
      <c r="AC110" s="197"/>
      <c r="AD110" s="244">
        <f>'Lohman 2011'!AD110</f>
        <v>1.0316932542592707</v>
      </c>
      <c r="AE110" s="96">
        <f t="shared" si="77"/>
        <v>10.757051659003467</v>
      </c>
      <c r="AF110" s="98">
        <f t="shared" si="78"/>
        <v>1.998778491117903E-6</v>
      </c>
      <c r="AG110" s="22">
        <v>11</v>
      </c>
      <c r="AH110" s="8"/>
      <c r="AI110" s="162">
        <v>0.2</v>
      </c>
      <c r="AJ110" s="167">
        <f t="shared" si="79"/>
        <v>0.55395725377417304</v>
      </c>
      <c r="AK110" s="168">
        <f t="shared" si="80"/>
        <v>5.0141755215626221E-4</v>
      </c>
      <c r="AL110" s="151">
        <f t="shared" si="81"/>
        <v>19.857127829008039</v>
      </c>
      <c r="AM110" s="177">
        <f t="shared" si="82"/>
        <v>2.769786268870865</v>
      </c>
      <c r="AN110" s="134">
        <f t="shared" si="83"/>
        <v>0.44244625793404196</v>
      </c>
      <c r="AO110" s="119">
        <f t="shared" si="84"/>
        <v>2.5700934579439254E-5</v>
      </c>
      <c r="AP110">
        <f t="shared" si="85"/>
        <v>1</v>
      </c>
      <c r="AQ110" s="124">
        <f t="shared" si="86"/>
        <v>8.3333333333333332E-3</v>
      </c>
      <c r="AR110" s="124"/>
      <c r="AS110" s="124"/>
      <c r="AT110" s="14">
        <f t="shared" si="87"/>
        <v>1</v>
      </c>
      <c r="AZ110" s="83"/>
      <c r="BA110" s="83"/>
      <c r="BB110" s="83"/>
      <c r="BC110" s="83"/>
      <c r="BD110" s="83"/>
      <c r="BE110" s="8">
        <f t="shared" si="88"/>
        <v>0.516832146727916</v>
      </c>
      <c r="BF110" s="16">
        <f t="shared" si="89"/>
        <v>1.0718320392438772</v>
      </c>
      <c r="BG110" s="16"/>
      <c r="BH110" s="189"/>
      <c r="BI110" s="6">
        <f t="shared" si="90"/>
        <v>4.6781355081528133E-4</v>
      </c>
      <c r="BJ110" s="151">
        <f t="shared" si="91"/>
        <v>21.283505814492035</v>
      </c>
      <c r="BK110" s="177">
        <f t="shared" si="92"/>
        <v>2.58416073363958</v>
      </c>
      <c r="BL110" s="134">
        <f t="shared" si="93"/>
        <v>0.41231952308532904</v>
      </c>
      <c r="BM110" s="119">
        <f t="shared" si="94"/>
        <v>2.5700934579439254E-5</v>
      </c>
      <c r="BN110">
        <f t="shared" si="95"/>
        <v>3</v>
      </c>
      <c r="BO110" s="124">
        <f t="shared" si="96"/>
        <v>4.1666666666666664E-2</v>
      </c>
      <c r="BP110" s="124"/>
      <c r="BQ110" s="124"/>
      <c r="BR110" s="14">
        <f t="shared" si="97"/>
        <v>1</v>
      </c>
      <c r="BX110" s="83"/>
      <c r="BY110" s="83"/>
      <c r="BZ110" s="83"/>
      <c r="CA110" s="83"/>
      <c r="CB110" s="83"/>
      <c r="CC110" s="151"/>
      <c r="CD110" s="177">
        <f t="shared" si="98"/>
        <v>55</v>
      </c>
      <c r="CE110" s="134">
        <f t="shared" si="99"/>
        <v>1.7403626894942439</v>
      </c>
      <c r="CF110" s="119">
        <f t="shared" si="100"/>
        <v>2.5700934579439254E-5</v>
      </c>
      <c r="CG110">
        <f t="shared" si="101"/>
        <v>4</v>
      </c>
      <c r="CH110" s="124">
        <f t="shared" si="102"/>
        <v>5.8333333333333334E-2</v>
      </c>
      <c r="CI110" s="124"/>
      <c r="CJ110" s="124"/>
      <c r="CK110" s="14">
        <f t="shared" si="103"/>
        <v>3</v>
      </c>
      <c r="CL110" s="16"/>
    </row>
    <row r="111" spans="1:90" x14ac:dyDescent="0.2">
      <c r="A111" s="8"/>
      <c r="B111" t="s">
        <v>149</v>
      </c>
      <c r="C111">
        <v>10</v>
      </c>
      <c r="D111" t="s">
        <v>124</v>
      </c>
      <c r="F111" s="9"/>
      <c r="G111" t="s">
        <v>111</v>
      </c>
      <c r="H111" s="1">
        <v>14</v>
      </c>
      <c r="I111" s="8">
        <v>-200</v>
      </c>
      <c r="J111" t="s">
        <v>24</v>
      </c>
      <c r="K111" s="9" t="s">
        <v>154</v>
      </c>
      <c r="L111" s="1">
        <v>1</v>
      </c>
      <c r="M111" s="6">
        <v>70</v>
      </c>
      <c r="N111" s="1">
        <v>106.18777634762812</v>
      </c>
      <c r="O111" s="18">
        <v>209092.85927557945</v>
      </c>
      <c r="P111" s="30">
        <v>3.1566666666666667</v>
      </c>
      <c r="R111" s="1"/>
      <c r="S111" s="1"/>
      <c r="T111" s="1"/>
      <c r="U111" s="1"/>
      <c r="V111">
        <v>11.5</v>
      </c>
      <c r="W111" s="238">
        <f t="shared" si="75"/>
        <v>-12.002174880329882</v>
      </c>
      <c r="X111" s="118">
        <f t="shared" si="76"/>
        <v>8.5968403603248089E-8</v>
      </c>
      <c r="Y111" s="1"/>
      <c r="Z111" s="1"/>
      <c r="AA111" s="1"/>
      <c r="AB111" s="1"/>
      <c r="AC111" s="197"/>
      <c r="AD111" s="244">
        <f>'Lohman 2011'!AD111</f>
        <v>2.6519932542592715</v>
      </c>
      <c r="AE111" s="96">
        <f t="shared" si="77"/>
        <v>448.73841978575496</v>
      </c>
      <c r="AF111" s="98">
        <f t="shared" si="78"/>
        <v>3.857732558442555E-5</v>
      </c>
      <c r="AG111" s="22">
        <v>10000</v>
      </c>
      <c r="AH111" s="8"/>
      <c r="AI111" s="162">
        <v>0.02</v>
      </c>
      <c r="AJ111" s="167">
        <f t="shared" si="79"/>
        <v>9719.6587514299663</v>
      </c>
      <c r="AK111" s="168">
        <f t="shared" si="80"/>
        <v>8.7978042813443995</v>
      </c>
      <c r="AL111" s="151">
        <f t="shared" si="81"/>
        <v>1.0288427048458662</v>
      </c>
      <c r="AM111" s="177">
        <f t="shared" si="82"/>
        <v>485982.93757149833</v>
      </c>
      <c r="AN111" s="134">
        <f t="shared" si="83"/>
        <v>5.6866210218371371</v>
      </c>
      <c r="AO111" s="119">
        <f t="shared" si="84"/>
        <v>4.7825640888196165E-2</v>
      </c>
      <c r="AP111">
        <f t="shared" si="85"/>
        <v>58</v>
      </c>
      <c r="AQ111" s="124">
        <f t="shared" si="86"/>
        <v>0.95833333333333337</v>
      </c>
      <c r="AR111" s="124"/>
      <c r="AS111" s="124"/>
      <c r="AT111" s="14">
        <f t="shared" si="87"/>
        <v>1</v>
      </c>
      <c r="AZ111" s="83"/>
      <c r="BA111" s="83"/>
      <c r="BB111" s="83"/>
      <c r="BC111" s="83"/>
      <c r="BD111" s="83"/>
      <c r="BE111" s="8">
        <f t="shared" si="88"/>
        <v>772.68990563096156</v>
      </c>
      <c r="BF111" s="16">
        <f t="shared" si="89"/>
        <v>12.57899020111193</v>
      </c>
      <c r="BG111" s="16"/>
      <c r="BH111" s="189"/>
      <c r="BI111" s="6">
        <f t="shared" si="90"/>
        <v>0.69940465336929125</v>
      </c>
      <c r="BJ111" s="151">
        <f t="shared" si="91"/>
        <v>12.941802302741641</v>
      </c>
      <c r="BK111" s="177">
        <f t="shared" si="92"/>
        <v>38634.495281548079</v>
      </c>
      <c r="BL111" s="134">
        <f t="shared" si="93"/>
        <v>4.5869752430241597</v>
      </c>
      <c r="BM111" s="119">
        <f t="shared" si="94"/>
        <v>4.7825640888196165E-2</v>
      </c>
      <c r="BN111">
        <f t="shared" si="95"/>
        <v>59</v>
      </c>
      <c r="BO111" s="124">
        <f t="shared" si="96"/>
        <v>0.97499999999999998</v>
      </c>
      <c r="BP111" s="124"/>
      <c r="BQ111" s="124"/>
      <c r="BR111" s="14">
        <f t="shared" si="97"/>
        <v>1</v>
      </c>
      <c r="BX111" s="83"/>
      <c r="BY111" s="83"/>
      <c r="BZ111" s="83"/>
      <c r="CA111" s="83"/>
      <c r="CB111" s="83"/>
      <c r="CC111" s="151"/>
      <c r="CD111" s="177">
        <f t="shared" si="98"/>
        <v>500000</v>
      </c>
      <c r="CE111" s="134">
        <f t="shared" si="99"/>
        <v>5.6989700043360187</v>
      </c>
      <c r="CF111" s="119">
        <f t="shared" si="100"/>
        <v>4.7825640888196165E-2</v>
      </c>
      <c r="CG111">
        <f t="shared" si="101"/>
        <v>58</v>
      </c>
      <c r="CH111" s="124">
        <f t="shared" si="102"/>
        <v>0.95833333333333337</v>
      </c>
      <c r="CI111" s="124"/>
      <c r="CJ111" s="124"/>
      <c r="CK111" s="14">
        <f t="shared" si="103"/>
        <v>3</v>
      </c>
      <c r="CL111" s="16"/>
    </row>
    <row r="112" spans="1:90" x14ac:dyDescent="0.2">
      <c r="A112" s="8"/>
      <c r="B112" t="s">
        <v>149</v>
      </c>
      <c r="C112">
        <v>12</v>
      </c>
      <c r="D112" t="s">
        <v>123</v>
      </c>
      <c r="F112" s="9"/>
      <c r="G112" t="s">
        <v>111</v>
      </c>
      <c r="H112" s="1">
        <v>14</v>
      </c>
      <c r="I112" s="8">
        <v>-200</v>
      </c>
      <c r="J112" t="s">
        <v>24</v>
      </c>
      <c r="K112" s="9" t="s">
        <v>154</v>
      </c>
      <c r="L112" s="1">
        <v>1</v>
      </c>
      <c r="M112" s="6">
        <v>70</v>
      </c>
      <c r="N112" s="1">
        <v>106.18777634762812</v>
      </c>
      <c r="O112" s="18">
        <v>209092.85927557945</v>
      </c>
      <c r="P112" s="30">
        <v>3.1566666666666667</v>
      </c>
      <c r="R112" s="1"/>
      <c r="S112" s="1"/>
      <c r="T112" s="1"/>
      <c r="U112" s="1"/>
      <c r="V112">
        <v>11.5</v>
      </c>
      <c r="W112" s="238">
        <f t="shared" si="75"/>
        <v>-12.002174880329882</v>
      </c>
      <c r="X112" s="118">
        <f t="shared" si="76"/>
        <v>8.5968403603248089E-8</v>
      </c>
      <c r="Y112" s="1"/>
      <c r="Z112" s="1"/>
      <c r="AA112" s="1"/>
      <c r="AB112" s="1"/>
      <c r="AC112" s="197"/>
      <c r="AD112" s="244">
        <f>'Lohman 2011'!AD112</f>
        <v>2.6519932542592715</v>
      </c>
      <c r="AE112" s="96">
        <f t="shared" si="77"/>
        <v>448.73841978575496</v>
      </c>
      <c r="AF112" s="98">
        <f t="shared" si="78"/>
        <v>3.857732558442555E-5</v>
      </c>
      <c r="AG112" s="22">
        <v>4300</v>
      </c>
      <c r="AH112" s="8"/>
      <c r="AI112" s="162">
        <v>0.02</v>
      </c>
      <c r="AJ112" s="167">
        <f t="shared" si="79"/>
        <v>4179.4532631148868</v>
      </c>
      <c r="AK112" s="168">
        <f t="shared" si="80"/>
        <v>3.7830558409780926</v>
      </c>
      <c r="AL112" s="151">
        <f t="shared" si="81"/>
        <v>1.0288427048458657</v>
      </c>
      <c r="AM112" s="177">
        <f t="shared" si="82"/>
        <v>208972.66315574435</v>
      </c>
      <c r="AN112" s="134">
        <f t="shared" si="83"/>
        <v>5.3200894774167233</v>
      </c>
      <c r="AO112" s="119">
        <f t="shared" si="84"/>
        <v>2.0565025581924353E-2</v>
      </c>
      <c r="AP112">
        <f t="shared" si="85"/>
        <v>56</v>
      </c>
      <c r="AQ112" s="124">
        <f t="shared" si="86"/>
        <v>0.92500000000000004</v>
      </c>
      <c r="AR112" s="124"/>
      <c r="AS112" s="124"/>
      <c r="AT112" s="14">
        <f t="shared" si="87"/>
        <v>1</v>
      </c>
      <c r="AZ112" s="83"/>
      <c r="BA112" s="83"/>
      <c r="BB112" s="83"/>
      <c r="BC112" s="83"/>
      <c r="BD112" s="83"/>
      <c r="BE112" s="8">
        <f t="shared" si="88"/>
        <v>332.25665942131354</v>
      </c>
      <c r="BF112" s="16">
        <f t="shared" si="89"/>
        <v>12.57899020111193</v>
      </c>
      <c r="BG112" s="16"/>
      <c r="BH112" s="189"/>
      <c r="BI112" s="6">
        <f t="shared" si="90"/>
        <v>0.30074400094879528</v>
      </c>
      <c r="BJ112" s="151">
        <f t="shared" si="91"/>
        <v>12.941802302741639</v>
      </c>
      <c r="BK112" s="177">
        <f t="shared" si="92"/>
        <v>16612.832971065676</v>
      </c>
      <c r="BL112" s="134">
        <f t="shared" si="93"/>
        <v>4.2204436986037459</v>
      </c>
      <c r="BM112" s="119">
        <f t="shared" si="94"/>
        <v>2.0565025581924353E-2</v>
      </c>
      <c r="BN112">
        <f t="shared" si="95"/>
        <v>56</v>
      </c>
      <c r="BO112" s="124">
        <f t="shared" si="96"/>
        <v>0.92500000000000004</v>
      </c>
      <c r="BP112" s="124"/>
      <c r="BQ112" s="124"/>
      <c r="BR112" s="14">
        <f t="shared" si="97"/>
        <v>1</v>
      </c>
      <c r="BX112" s="83"/>
      <c r="BY112" s="83"/>
      <c r="BZ112" s="83"/>
      <c r="CA112" s="83"/>
      <c r="CB112" s="83"/>
      <c r="CC112" s="151"/>
      <c r="CD112" s="177">
        <f t="shared" si="98"/>
        <v>215000</v>
      </c>
      <c r="CE112" s="134">
        <f t="shared" si="99"/>
        <v>5.3324384599156049</v>
      </c>
      <c r="CF112" s="119">
        <f t="shared" si="100"/>
        <v>2.0565025581924353E-2</v>
      </c>
      <c r="CG112">
        <f t="shared" si="101"/>
        <v>56</v>
      </c>
      <c r="CH112" s="124">
        <f t="shared" si="102"/>
        <v>0.92500000000000004</v>
      </c>
      <c r="CI112" s="124"/>
      <c r="CJ112" s="124"/>
      <c r="CK112" s="14">
        <f t="shared" si="103"/>
        <v>3</v>
      </c>
      <c r="CL112" s="16"/>
    </row>
    <row r="113" spans="1:90" x14ac:dyDescent="0.2">
      <c r="A113" s="8"/>
      <c r="B113" t="s">
        <v>149</v>
      </c>
      <c r="C113">
        <v>19</v>
      </c>
      <c r="D113" t="s">
        <v>122</v>
      </c>
      <c r="F113" s="9"/>
      <c r="G113" t="s">
        <v>111</v>
      </c>
      <c r="H113" s="1">
        <v>14</v>
      </c>
      <c r="I113" s="8">
        <v>-200</v>
      </c>
      <c r="J113" t="s">
        <v>24</v>
      </c>
      <c r="K113" s="9" t="s">
        <v>154</v>
      </c>
      <c r="L113" s="1">
        <v>1</v>
      </c>
      <c r="M113" s="6">
        <v>70</v>
      </c>
      <c r="N113" s="1">
        <v>106.18777634762812</v>
      </c>
      <c r="O113" s="18">
        <v>209092.85927557945</v>
      </c>
      <c r="P113" s="30">
        <v>3.1566666666666667</v>
      </c>
      <c r="R113" s="1"/>
      <c r="S113" s="1"/>
      <c r="T113" s="1"/>
      <c r="U113" s="1"/>
      <c r="V113">
        <v>11.5</v>
      </c>
      <c r="W113" s="238">
        <f t="shared" si="75"/>
        <v>-12.002174880329882</v>
      </c>
      <c r="X113" s="118">
        <f t="shared" si="76"/>
        <v>8.5968403603248089E-8</v>
      </c>
      <c r="Y113" s="1"/>
      <c r="Z113" s="1"/>
      <c r="AA113" s="1"/>
      <c r="AB113" s="1"/>
      <c r="AC113" s="197"/>
      <c r="AD113" s="244">
        <f>'Lohman 2011'!AD113</f>
        <v>2.6519932542592715</v>
      </c>
      <c r="AE113" s="96">
        <f t="shared" si="77"/>
        <v>448.73841978575496</v>
      </c>
      <c r="AF113" s="98">
        <f t="shared" si="78"/>
        <v>3.857732558442555E-5</v>
      </c>
      <c r="AG113" s="22">
        <v>1600</v>
      </c>
      <c r="AH113" s="8"/>
      <c r="AI113" s="162">
        <v>0.02</v>
      </c>
      <c r="AJ113" s="167">
        <f t="shared" si="79"/>
        <v>1555.1454002287951</v>
      </c>
      <c r="AK113" s="168">
        <f t="shared" si="80"/>
        <v>1.4076486850151042</v>
      </c>
      <c r="AL113" s="151">
        <f t="shared" si="81"/>
        <v>1.0288427048458657</v>
      </c>
      <c r="AM113" s="177">
        <f t="shared" si="82"/>
        <v>77757.270011439759</v>
      </c>
      <c r="AN113" s="134">
        <f t="shared" si="83"/>
        <v>4.8907410044930621</v>
      </c>
      <c r="AO113" s="119">
        <f t="shared" si="84"/>
        <v>7.6521025421113871E-3</v>
      </c>
      <c r="AP113">
        <f t="shared" si="85"/>
        <v>54</v>
      </c>
      <c r="AQ113" s="124">
        <f t="shared" si="86"/>
        <v>0.89166666666666672</v>
      </c>
      <c r="AR113" s="124"/>
      <c r="AS113" s="124"/>
      <c r="AT113" s="14">
        <f t="shared" si="87"/>
        <v>1</v>
      </c>
      <c r="AZ113" s="83"/>
      <c r="BA113" s="83"/>
      <c r="BB113" s="83"/>
      <c r="BC113" s="83"/>
      <c r="BD113" s="83"/>
      <c r="BE113" s="8">
        <f t="shared" si="88"/>
        <v>123.63038490095387</v>
      </c>
      <c r="BF113" s="16">
        <f t="shared" si="89"/>
        <v>12.57899020111193</v>
      </c>
      <c r="BG113" s="16"/>
      <c r="BH113" s="189"/>
      <c r="BI113" s="6">
        <f t="shared" si="90"/>
        <v>0.11190474453908661</v>
      </c>
      <c r="BJ113" s="151">
        <f t="shared" si="91"/>
        <v>12.941802302741639</v>
      </c>
      <c r="BK113" s="177">
        <f t="shared" si="92"/>
        <v>6181.5192450476934</v>
      </c>
      <c r="BL113" s="134">
        <f t="shared" si="93"/>
        <v>3.7910952256800847</v>
      </c>
      <c r="BM113" s="119">
        <f t="shared" si="94"/>
        <v>7.6521025421113871E-3</v>
      </c>
      <c r="BN113">
        <f t="shared" si="95"/>
        <v>53</v>
      </c>
      <c r="BO113" s="124">
        <f t="shared" si="96"/>
        <v>0.875</v>
      </c>
      <c r="BP113" s="124"/>
      <c r="BQ113" s="124"/>
      <c r="BR113" s="14">
        <f t="shared" si="97"/>
        <v>1</v>
      </c>
      <c r="BX113" s="83"/>
      <c r="BY113" s="83"/>
      <c r="BZ113" s="83"/>
      <c r="CA113" s="83"/>
      <c r="CB113" s="83"/>
      <c r="CC113" s="151"/>
      <c r="CD113" s="177">
        <f t="shared" si="98"/>
        <v>80000</v>
      </c>
      <c r="CE113" s="134">
        <f t="shared" si="99"/>
        <v>4.9030899869919438</v>
      </c>
      <c r="CF113" s="119">
        <f t="shared" si="100"/>
        <v>7.6521025421113871E-3</v>
      </c>
      <c r="CG113">
        <f t="shared" si="101"/>
        <v>49</v>
      </c>
      <c r="CH113" s="124">
        <f t="shared" si="102"/>
        <v>0.80833333333333335</v>
      </c>
      <c r="CI113" s="124"/>
      <c r="CJ113" s="124"/>
      <c r="CK113" s="14">
        <f t="shared" si="103"/>
        <v>3</v>
      </c>
      <c r="CL113" s="16"/>
    </row>
    <row r="114" spans="1:90" x14ac:dyDescent="0.2">
      <c r="A114" s="8"/>
      <c r="B114" t="s">
        <v>149</v>
      </c>
      <c r="C114">
        <v>23</v>
      </c>
      <c r="D114" t="s">
        <v>121</v>
      </c>
      <c r="F114" s="9"/>
      <c r="G114" t="s">
        <v>111</v>
      </c>
      <c r="H114" s="1">
        <v>14</v>
      </c>
      <c r="I114" s="8">
        <v>-200</v>
      </c>
      <c r="J114" t="s">
        <v>24</v>
      </c>
      <c r="K114" s="9" t="s">
        <v>154</v>
      </c>
      <c r="L114" s="1">
        <v>1</v>
      </c>
      <c r="M114" s="6">
        <v>70</v>
      </c>
      <c r="N114" s="1">
        <v>106.18777634762812</v>
      </c>
      <c r="O114" s="18">
        <v>209092.85927557945</v>
      </c>
      <c r="P114" s="30">
        <v>3.1566666666666667</v>
      </c>
      <c r="R114" s="1"/>
      <c r="S114" s="1"/>
      <c r="T114" s="1"/>
      <c r="U114" s="1"/>
      <c r="V114">
        <v>11.5</v>
      </c>
      <c r="W114" s="238">
        <f t="shared" si="75"/>
        <v>-12.002174880329882</v>
      </c>
      <c r="X114" s="118">
        <f t="shared" si="76"/>
        <v>8.5968403603248089E-8</v>
      </c>
      <c r="Y114" s="1"/>
      <c r="Z114" s="1"/>
      <c r="AA114" s="1"/>
      <c r="AB114" s="1"/>
      <c r="AC114" s="197"/>
      <c r="AD114" s="244">
        <f>'Lohman 2011'!AD114</f>
        <v>2.6519932542592715</v>
      </c>
      <c r="AE114" s="96">
        <f t="shared" si="77"/>
        <v>448.73841978575496</v>
      </c>
      <c r="AF114" s="98">
        <f t="shared" si="78"/>
        <v>3.857732558442555E-5</v>
      </c>
      <c r="AG114" s="22">
        <v>690</v>
      </c>
      <c r="AH114" s="8"/>
      <c r="AI114" s="162">
        <v>0.02</v>
      </c>
      <c r="AJ114" s="167">
        <f t="shared" si="79"/>
        <v>670.65645384866775</v>
      </c>
      <c r="AK114" s="168">
        <f t="shared" si="80"/>
        <v>0.60704849541276362</v>
      </c>
      <c r="AL114" s="151">
        <f t="shared" si="81"/>
        <v>1.0288427048458659</v>
      </c>
      <c r="AM114" s="177">
        <f t="shared" si="82"/>
        <v>33532.822692433387</v>
      </c>
      <c r="AN114" s="134">
        <f t="shared" si="83"/>
        <v>4.5254701125743928</v>
      </c>
      <c r="AO114" s="119">
        <f t="shared" si="84"/>
        <v>3.2999692212855357E-3</v>
      </c>
      <c r="AP114">
        <f t="shared" si="85"/>
        <v>51</v>
      </c>
      <c r="AQ114" s="124">
        <f t="shared" si="86"/>
        <v>0.84166666666666667</v>
      </c>
      <c r="AR114" s="124"/>
      <c r="AS114" s="124"/>
      <c r="AT114" s="14">
        <f t="shared" si="87"/>
        <v>1</v>
      </c>
      <c r="AZ114" s="83"/>
      <c r="BA114" s="83"/>
      <c r="BB114" s="83"/>
      <c r="BC114" s="83"/>
      <c r="BD114" s="83"/>
      <c r="BE114" s="8">
        <f t="shared" si="88"/>
        <v>53.315603488536368</v>
      </c>
      <c r="BF114" s="16">
        <f t="shared" si="89"/>
        <v>12.57899020111193</v>
      </c>
      <c r="BG114" s="16"/>
      <c r="BH114" s="189"/>
      <c r="BI114" s="6">
        <f t="shared" si="90"/>
        <v>4.8258921082481109E-2</v>
      </c>
      <c r="BJ114" s="151">
        <f t="shared" si="91"/>
        <v>12.941802302741637</v>
      </c>
      <c r="BK114" s="177">
        <f t="shared" si="92"/>
        <v>2665.7801744268186</v>
      </c>
      <c r="BL114" s="134">
        <f t="shared" si="93"/>
        <v>3.4258243337614154</v>
      </c>
      <c r="BM114" s="119">
        <f t="shared" si="94"/>
        <v>3.2999692212855357E-3</v>
      </c>
      <c r="BN114">
        <f t="shared" si="95"/>
        <v>47</v>
      </c>
      <c r="BO114" s="124">
        <f t="shared" si="96"/>
        <v>0.77500000000000002</v>
      </c>
      <c r="BP114" s="124"/>
      <c r="BQ114" s="124"/>
      <c r="BR114" s="14">
        <f t="shared" si="97"/>
        <v>1</v>
      </c>
      <c r="BX114" s="83"/>
      <c r="BY114" s="83"/>
      <c r="BZ114" s="83"/>
      <c r="CA114" s="83"/>
      <c r="CB114" s="83"/>
      <c r="CC114" s="151"/>
      <c r="CD114" s="177">
        <f t="shared" si="98"/>
        <v>34500</v>
      </c>
      <c r="CE114" s="134">
        <f t="shared" si="99"/>
        <v>4.5378190950732744</v>
      </c>
      <c r="CF114" s="119">
        <f t="shared" si="100"/>
        <v>3.2999692212855357E-3</v>
      </c>
      <c r="CG114">
        <f t="shared" si="101"/>
        <v>40</v>
      </c>
      <c r="CH114" s="124">
        <f t="shared" si="102"/>
        <v>0.65833333333333333</v>
      </c>
      <c r="CI114" s="124"/>
      <c r="CJ114" s="124"/>
      <c r="CK114" s="14">
        <f t="shared" si="103"/>
        <v>3</v>
      </c>
      <c r="CL114" s="16"/>
    </row>
    <row r="115" spans="1:90" x14ac:dyDescent="0.2">
      <c r="A115" s="8"/>
      <c r="B115" t="s">
        <v>149</v>
      </c>
      <c r="C115">
        <v>24</v>
      </c>
      <c r="D115" t="s">
        <v>120</v>
      </c>
      <c r="F115" s="9"/>
      <c r="G115" t="s">
        <v>111</v>
      </c>
      <c r="H115" s="1">
        <v>14</v>
      </c>
      <c r="I115" s="8">
        <v>-200</v>
      </c>
      <c r="J115" t="s">
        <v>24</v>
      </c>
      <c r="K115" s="9" t="s">
        <v>154</v>
      </c>
      <c r="L115" s="1">
        <v>1</v>
      </c>
      <c r="M115" s="6">
        <v>70</v>
      </c>
      <c r="N115" s="1">
        <v>106.18777634762812</v>
      </c>
      <c r="O115" s="18">
        <v>209092.85927557945</v>
      </c>
      <c r="P115" s="30">
        <v>3.1566666666666667</v>
      </c>
      <c r="R115" s="1"/>
      <c r="S115" s="1"/>
      <c r="T115" s="1"/>
      <c r="U115" s="1"/>
      <c r="V115">
        <v>11.5</v>
      </c>
      <c r="W115" s="238">
        <f t="shared" si="75"/>
        <v>-12.002174880329882</v>
      </c>
      <c r="X115" s="118">
        <f t="shared" si="76"/>
        <v>8.5968403603248089E-8</v>
      </c>
      <c r="Y115" s="1"/>
      <c r="Z115" s="1"/>
      <c r="AA115" s="1"/>
      <c r="AB115" s="1"/>
      <c r="AC115" s="197"/>
      <c r="AD115" s="244">
        <f>'Lohman 2011'!AD115</f>
        <v>2.6519932542592715</v>
      </c>
      <c r="AE115" s="96">
        <f t="shared" si="77"/>
        <v>448.73841978575496</v>
      </c>
      <c r="AF115" s="98">
        <f t="shared" si="78"/>
        <v>3.857732558442555E-5</v>
      </c>
      <c r="AG115" s="22">
        <v>590</v>
      </c>
      <c r="AH115" s="8"/>
      <c r="AI115" s="162">
        <v>0.02</v>
      </c>
      <c r="AJ115" s="167">
        <f t="shared" si="79"/>
        <v>573.45986633436814</v>
      </c>
      <c r="AK115" s="168">
        <f t="shared" si="80"/>
        <v>0.51907045259931961</v>
      </c>
      <c r="AL115" s="151">
        <f t="shared" si="81"/>
        <v>1.0288427048458659</v>
      </c>
      <c r="AM115" s="177">
        <f t="shared" si="82"/>
        <v>28672.993316718406</v>
      </c>
      <c r="AN115" s="134">
        <f t="shared" si="83"/>
        <v>4.4574730334792809</v>
      </c>
      <c r="AO115" s="119">
        <f t="shared" si="84"/>
        <v>2.8217128124035738E-3</v>
      </c>
      <c r="AP115">
        <f t="shared" si="85"/>
        <v>49</v>
      </c>
      <c r="AQ115" s="124">
        <f t="shared" si="86"/>
        <v>0.80833333333333335</v>
      </c>
      <c r="AR115" s="124"/>
      <c r="AS115" s="124"/>
      <c r="AT115" s="14">
        <f t="shared" si="87"/>
        <v>1</v>
      </c>
      <c r="AZ115" s="83"/>
      <c r="BA115" s="83"/>
      <c r="BB115" s="83"/>
      <c r="BC115" s="83"/>
      <c r="BD115" s="83"/>
      <c r="BE115" s="8">
        <f t="shared" si="88"/>
        <v>45.588704432226734</v>
      </c>
      <c r="BF115" s="16">
        <f t="shared" si="89"/>
        <v>12.57899020111193</v>
      </c>
      <c r="BG115" s="16"/>
      <c r="BH115" s="189"/>
      <c r="BI115" s="6">
        <f t="shared" si="90"/>
        <v>4.1264874548788189E-2</v>
      </c>
      <c r="BJ115" s="151">
        <f t="shared" si="91"/>
        <v>12.941802302741641</v>
      </c>
      <c r="BK115" s="177">
        <f t="shared" si="92"/>
        <v>2279.4352216113366</v>
      </c>
      <c r="BL115" s="134">
        <f t="shared" si="93"/>
        <v>3.3578272546663039</v>
      </c>
      <c r="BM115" s="119">
        <f t="shared" si="94"/>
        <v>2.8217128124035738E-3</v>
      </c>
      <c r="BN115">
        <f t="shared" si="95"/>
        <v>44</v>
      </c>
      <c r="BO115" s="124">
        <f t="shared" si="96"/>
        <v>0.72499999999999998</v>
      </c>
      <c r="BP115" s="124"/>
      <c r="BQ115" s="124"/>
      <c r="BR115" s="14">
        <f t="shared" si="97"/>
        <v>1</v>
      </c>
      <c r="BX115" s="83"/>
      <c r="BY115" s="83"/>
      <c r="BZ115" s="83"/>
      <c r="CA115" s="83"/>
      <c r="CB115" s="83"/>
      <c r="CC115" s="151"/>
      <c r="CD115" s="177">
        <f t="shared" si="98"/>
        <v>29500</v>
      </c>
      <c r="CE115" s="134">
        <f t="shared" si="99"/>
        <v>4.4698220159781634</v>
      </c>
      <c r="CF115" s="119">
        <f t="shared" si="100"/>
        <v>2.8217128124035738E-3</v>
      </c>
      <c r="CG115">
        <f t="shared" si="101"/>
        <v>39</v>
      </c>
      <c r="CH115" s="124">
        <f t="shared" si="102"/>
        <v>0.64166666666666672</v>
      </c>
      <c r="CI115" s="124"/>
      <c r="CJ115" s="124"/>
      <c r="CK115" s="14">
        <f t="shared" si="103"/>
        <v>3</v>
      </c>
      <c r="CL115" s="16"/>
    </row>
    <row r="116" spans="1:90" x14ac:dyDescent="0.2">
      <c r="A116" s="8"/>
      <c r="B116" t="s">
        <v>149</v>
      </c>
      <c r="C116">
        <v>25</v>
      </c>
      <c r="D116" t="s">
        <v>117</v>
      </c>
      <c r="F116" s="9"/>
      <c r="G116" t="s">
        <v>111</v>
      </c>
      <c r="H116" s="1">
        <v>14</v>
      </c>
      <c r="I116" s="8">
        <v>-200</v>
      </c>
      <c r="J116" t="s">
        <v>24</v>
      </c>
      <c r="K116" s="9"/>
      <c r="L116" s="1">
        <v>1</v>
      </c>
      <c r="M116" s="6">
        <v>70</v>
      </c>
      <c r="N116" s="1">
        <v>106.18777634762812</v>
      </c>
      <c r="O116" s="18">
        <v>209092.85927557945</v>
      </c>
      <c r="P116" s="30">
        <v>3.1566666666666667</v>
      </c>
      <c r="R116" s="1"/>
      <c r="S116" s="1"/>
      <c r="T116" s="1"/>
      <c r="U116" s="1"/>
      <c r="V116">
        <v>11.5</v>
      </c>
      <c r="W116" s="238">
        <f t="shared" si="75"/>
        <v>-12.002174880329882</v>
      </c>
      <c r="X116" s="118">
        <f t="shared" si="76"/>
        <v>8.5968403603248089E-8</v>
      </c>
      <c r="Y116" s="1"/>
      <c r="Z116" s="1"/>
      <c r="AA116" s="1"/>
      <c r="AB116" s="1"/>
      <c r="AC116" s="197"/>
      <c r="AD116" s="244">
        <f>'Lohman 2011'!AD116</f>
        <v>2.6519932542592715</v>
      </c>
      <c r="AE116" s="96">
        <f t="shared" si="77"/>
        <v>448.73841978575496</v>
      </c>
      <c r="AF116" s="98">
        <f t="shared" si="78"/>
        <v>3.857732558442555E-5</v>
      </c>
      <c r="AG116" s="22">
        <v>570</v>
      </c>
      <c r="AH116" s="8"/>
      <c r="AI116" s="162">
        <v>0.02</v>
      </c>
      <c r="AJ116" s="167">
        <f t="shared" si="79"/>
        <v>554.02054883150822</v>
      </c>
      <c r="AK116" s="168">
        <f t="shared" si="80"/>
        <v>0.5014748440366309</v>
      </c>
      <c r="AL116" s="151">
        <f t="shared" si="81"/>
        <v>1.0288427048458657</v>
      </c>
      <c r="AM116" s="177">
        <f t="shared" si="82"/>
        <v>27701.02744157541</v>
      </c>
      <c r="AN116" s="134">
        <f t="shared" si="83"/>
        <v>4.4424958775096286</v>
      </c>
      <c r="AO116" s="119">
        <f t="shared" si="84"/>
        <v>2.7260615306271816E-3</v>
      </c>
      <c r="AP116">
        <f t="shared" si="85"/>
        <v>48</v>
      </c>
      <c r="AQ116" s="124">
        <f t="shared" si="86"/>
        <v>0.79166666666666663</v>
      </c>
      <c r="AR116" s="124"/>
      <c r="AS116" s="124"/>
      <c r="AT116" s="14">
        <f t="shared" si="87"/>
        <v>1</v>
      </c>
      <c r="AZ116" s="83"/>
      <c r="BA116" s="83"/>
      <c r="BB116" s="83"/>
      <c r="BC116" s="83"/>
      <c r="BD116" s="83"/>
      <c r="BE116" s="8">
        <f t="shared" si="88"/>
        <v>44.043324620964825</v>
      </c>
      <c r="BF116" s="16">
        <f t="shared" si="89"/>
        <v>12.57899020111193</v>
      </c>
      <c r="BG116" s="16"/>
      <c r="BH116" s="189"/>
      <c r="BI116" s="6">
        <f t="shared" si="90"/>
        <v>3.9866065242049609E-2</v>
      </c>
      <c r="BJ116" s="151">
        <f t="shared" si="91"/>
        <v>12.941802302741637</v>
      </c>
      <c r="BK116" s="177">
        <f t="shared" si="92"/>
        <v>2202.1662310482411</v>
      </c>
      <c r="BL116" s="134">
        <f t="shared" si="93"/>
        <v>3.3428500986966512</v>
      </c>
      <c r="BM116" s="119">
        <f t="shared" si="94"/>
        <v>2.7260615306271816E-3</v>
      </c>
      <c r="BN116">
        <f t="shared" si="95"/>
        <v>43</v>
      </c>
      <c r="BO116" s="124">
        <f t="shared" si="96"/>
        <v>0.70833333333333337</v>
      </c>
      <c r="BP116" s="124"/>
      <c r="BQ116" s="124"/>
      <c r="BR116" s="14">
        <f t="shared" si="97"/>
        <v>1</v>
      </c>
      <c r="BX116" s="83"/>
      <c r="BY116" s="83"/>
      <c r="BZ116" s="83"/>
      <c r="CA116" s="83"/>
      <c r="CB116" s="83"/>
      <c r="CC116" s="151"/>
      <c r="CD116" s="177">
        <f t="shared" si="98"/>
        <v>28500</v>
      </c>
      <c r="CE116" s="134">
        <f t="shared" si="99"/>
        <v>4.4548448600085102</v>
      </c>
      <c r="CF116" s="119">
        <f t="shared" si="100"/>
        <v>2.7260615306271816E-3</v>
      </c>
      <c r="CG116">
        <f t="shared" si="101"/>
        <v>38</v>
      </c>
      <c r="CH116" s="124">
        <f t="shared" si="102"/>
        <v>0.625</v>
      </c>
      <c r="CI116" s="124"/>
      <c r="CJ116" s="124"/>
      <c r="CK116" s="14">
        <f t="shared" si="103"/>
        <v>3</v>
      </c>
      <c r="CL116" s="16"/>
    </row>
    <row r="117" spans="1:90" x14ac:dyDescent="0.2">
      <c r="A117" s="8"/>
      <c r="B117" t="s">
        <v>149</v>
      </c>
      <c r="C117">
        <v>29</v>
      </c>
      <c r="D117" t="s">
        <v>119</v>
      </c>
      <c r="F117" s="9"/>
      <c r="G117" t="s">
        <v>111</v>
      </c>
      <c r="H117" s="1">
        <v>14</v>
      </c>
      <c r="I117" s="8">
        <v>-200</v>
      </c>
      <c r="J117" t="s">
        <v>24</v>
      </c>
      <c r="K117" s="9" t="s">
        <v>154</v>
      </c>
      <c r="L117" s="1">
        <v>1</v>
      </c>
      <c r="M117" s="6">
        <v>70</v>
      </c>
      <c r="N117" s="1">
        <v>106.18777634762812</v>
      </c>
      <c r="O117" s="18">
        <v>209092.85927557945</v>
      </c>
      <c r="P117" s="30">
        <v>3.1566666666666667</v>
      </c>
      <c r="R117" s="1"/>
      <c r="S117" s="1"/>
      <c r="T117" s="1"/>
      <c r="U117" s="1"/>
      <c r="V117">
        <v>11.5</v>
      </c>
      <c r="W117" s="238">
        <f t="shared" si="75"/>
        <v>-12.002174880329882</v>
      </c>
      <c r="X117" s="118">
        <f t="shared" si="76"/>
        <v>8.5968403603248089E-8</v>
      </c>
      <c r="Y117" s="1"/>
      <c r="Z117" s="1"/>
      <c r="AA117" s="1"/>
      <c r="AB117" s="1"/>
      <c r="AC117" s="197"/>
      <c r="AD117" s="244">
        <f>'Lohman 2011'!AD117</f>
        <v>2.6519932542592715</v>
      </c>
      <c r="AE117" s="96">
        <f t="shared" si="77"/>
        <v>448.73841978575496</v>
      </c>
      <c r="AF117" s="98">
        <f t="shared" si="78"/>
        <v>3.857732558442555E-5</v>
      </c>
      <c r="AG117" s="22">
        <v>220</v>
      </c>
      <c r="AH117" s="8"/>
      <c r="AI117" s="162">
        <v>0.02</v>
      </c>
      <c r="AJ117" s="167">
        <f t="shared" si="79"/>
        <v>213.83249253145928</v>
      </c>
      <c r="AK117" s="168">
        <f t="shared" si="80"/>
        <v>0.19355169418957682</v>
      </c>
      <c r="AL117" s="151">
        <f t="shared" si="81"/>
        <v>1.0288427048458659</v>
      </c>
      <c r="AM117" s="177">
        <f t="shared" si="82"/>
        <v>10691.624626572964</v>
      </c>
      <c r="AN117" s="134">
        <f t="shared" si="83"/>
        <v>4.0290437026593438</v>
      </c>
      <c r="AO117" s="119">
        <f t="shared" si="84"/>
        <v>1.0521640995403156E-3</v>
      </c>
      <c r="AP117">
        <f t="shared" si="85"/>
        <v>43</v>
      </c>
      <c r="AQ117" s="124">
        <f t="shared" si="86"/>
        <v>0.70833333333333337</v>
      </c>
      <c r="AR117" s="124"/>
      <c r="AS117" s="124"/>
      <c r="AT117" s="14">
        <f t="shared" si="87"/>
        <v>1</v>
      </c>
      <c r="AZ117" s="83"/>
      <c r="BA117" s="83"/>
      <c r="BB117" s="83"/>
      <c r="BC117" s="83"/>
      <c r="BD117" s="83"/>
      <c r="BE117" s="8">
        <f t="shared" si="88"/>
        <v>16.999177923881156</v>
      </c>
      <c r="BF117" s="16">
        <f t="shared" si="89"/>
        <v>12.57899020111193</v>
      </c>
      <c r="BG117" s="16"/>
      <c r="BH117" s="189"/>
      <c r="BI117" s="6">
        <f t="shared" si="90"/>
        <v>1.5386902374124408E-2</v>
      </c>
      <c r="BJ117" s="151">
        <f t="shared" si="91"/>
        <v>12.941802302741641</v>
      </c>
      <c r="BK117" s="177">
        <f t="shared" si="92"/>
        <v>849.95889619405773</v>
      </c>
      <c r="BL117" s="134">
        <f t="shared" si="93"/>
        <v>2.9293979238463659</v>
      </c>
      <c r="BM117" s="119">
        <f t="shared" si="94"/>
        <v>1.0521640995403156E-3</v>
      </c>
      <c r="BN117">
        <f t="shared" si="95"/>
        <v>36</v>
      </c>
      <c r="BO117" s="124">
        <f t="shared" si="96"/>
        <v>0.59166666666666667</v>
      </c>
      <c r="BP117" s="124"/>
      <c r="BQ117" s="124"/>
      <c r="BR117" s="14">
        <f t="shared" si="97"/>
        <v>1</v>
      </c>
      <c r="BX117" s="83"/>
      <c r="BY117" s="83"/>
      <c r="BZ117" s="83"/>
      <c r="CA117" s="83"/>
      <c r="CB117" s="83"/>
      <c r="CC117" s="151"/>
      <c r="CD117" s="177">
        <f t="shared" si="98"/>
        <v>11000</v>
      </c>
      <c r="CE117" s="134">
        <f t="shared" si="99"/>
        <v>4.0413926851582254</v>
      </c>
      <c r="CF117" s="119">
        <f t="shared" si="100"/>
        <v>1.0521640995403156E-3</v>
      </c>
      <c r="CG117">
        <f t="shared" si="101"/>
        <v>31</v>
      </c>
      <c r="CH117" s="124">
        <f t="shared" si="102"/>
        <v>0.5083333333333333</v>
      </c>
      <c r="CI117" s="124"/>
      <c r="CJ117" s="124"/>
      <c r="CK117" s="14">
        <f t="shared" si="103"/>
        <v>3</v>
      </c>
      <c r="CL117" s="16"/>
    </row>
    <row r="118" spans="1:90" x14ac:dyDescent="0.2">
      <c r="A118" s="8"/>
      <c r="F118" s="9"/>
      <c r="I118" s="8"/>
      <c r="K118" s="9"/>
      <c r="M118" s="9"/>
      <c r="N118"/>
      <c r="O118"/>
      <c r="X118" s="9"/>
      <c r="AG118" s="10"/>
      <c r="AJ118" s="8"/>
      <c r="AK118" s="9"/>
      <c r="AL118" s="8"/>
      <c r="AP118"/>
      <c r="AQ118" s="14"/>
      <c r="AR118" s="16"/>
      <c r="AS118" s="16"/>
      <c r="BE118" s="8"/>
      <c r="BF118"/>
      <c r="BG118"/>
      <c r="BH118"/>
      <c r="BI118" s="9"/>
      <c r="BJ118" s="8"/>
      <c r="BN118"/>
      <c r="BO118" s="14"/>
      <c r="BP118" s="16"/>
      <c r="BQ118" s="16"/>
      <c r="CC118" s="8"/>
      <c r="CG118"/>
      <c r="CH118" s="14"/>
      <c r="CI118" s="16"/>
      <c r="CJ118" s="16"/>
    </row>
    <row r="119" spans="1:90" x14ac:dyDescent="0.2">
      <c r="A119" s="8"/>
      <c r="F119" s="9"/>
      <c r="I119" s="8"/>
      <c r="K119" s="9"/>
      <c r="M119" s="9"/>
      <c r="N119"/>
      <c r="O119"/>
      <c r="X119" s="9"/>
      <c r="AG119" s="27"/>
      <c r="AI119" s="13"/>
      <c r="AJ119" s="8"/>
      <c r="AK119" s="9"/>
      <c r="AL119" s="8"/>
      <c r="AP119"/>
      <c r="AQ119" s="14"/>
      <c r="AR119" s="16"/>
      <c r="AS119" s="16"/>
      <c r="BE119" s="8"/>
      <c r="BF119"/>
      <c r="BG119"/>
      <c r="BH119"/>
      <c r="BI119" s="9"/>
      <c r="BJ119" s="8"/>
      <c r="BN119"/>
      <c r="BO119" s="14"/>
      <c r="BP119" s="16"/>
      <c r="BQ119" s="16"/>
      <c r="CC119" s="8"/>
      <c r="CG119"/>
      <c r="CH119" s="14"/>
      <c r="CI119" s="16"/>
      <c r="CJ119" s="16"/>
    </row>
    <row r="120" spans="1:90" x14ac:dyDescent="0.2">
      <c r="A120" s="8"/>
      <c r="F120" s="9"/>
      <c r="I120" s="8"/>
      <c r="K120" s="9"/>
      <c r="M120" s="9"/>
      <c r="N120"/>
      <c r="O120"/>
      <c r="X120" s="9"/>
      <c r="AG120" s="27"/>
      <c r="AI120" s="13"/>
      <c r="AJ120" s="8"/>
      <c r="AK120" s="9"/>
      <c r="AL120" s="8"/>
      <c r="AP120"/>
      <c r="AQ120" s="14"/>
      <c r="AR120" s="16"/>
      <c r="AS120" s="16"/>
      <c r="BE120" s="8"/>
      <c r="BF120"/>
      <c r="BG120"/>
      <c r="BH120"/>
      <c r="BI120" s="9"/>
      <c r="BJ120" s="8"/>
      <c r="BN120"/>
      <c r="BO120" s="14"/>
      <c r="BP120" s="16"/>
      <c r="BQ120" s="16"/>
      <c r="CC120" s="8"/>
      <c r="CG120"/>
      <c r="CH120" s="14"/>
      <c r="CI120" s="16"/>
      <c r="CJ120" s="16"/>
    </row>
    <row r="121" spans="1:90" x14ac:dyDescent="0.2">
      <c r="A121" s="8"/>
      <c r="F121" s="9"/>
      <c r="I121" s="8"/>
      <c r="K121" s="9"/>
      <c r="M121" s="9"/>
      <c r="N121"/>
      <c r="O121"/>
      <c r="X121" s="9"/>
      <c r="AG121" s="27"/>
      <c r="AI121" s="13"/>
      <c r="AJ121" s="8"/>
      <c r="AK121" s="9"/>
      <c r="AL121" s="8"/>
      <c r="AP121"/>
      <c r="AQ121" s="14"/>
      <c r="AR121" s="16"/>
      <c r="AS121" s="16"/>
      <c r="BE121" s="8"/>
      <c r="BF121"/>
      <c r="BG121"/>
      <c r="BH121"/>
      <c r="BI121" s="9"/>
      <c r="BJ121" s="8"/>
      <c r="BN121"/>
      <c r="BO121" s="14"/>
      <c r="BP121" s="16"/>
      <c r="BQ121" s="16"/>
      <c r="CC121" s="8"/>
      <c r="CG121"/>
      <c r="CH121" s="14"/>
      <c r="CI121" s="16"/>
      <c r="CJ121" s="16"/>
    </row>
    <row r="122" spans="1:90" x14ac:dyDescent="0.2">
      <c r="A122" s="8"/>
      <c r="F122" s="9"/>
      <c r="I122" s="8"/>
      <c r="K122" s="9"/>
      <c r="M122" s="9"/>
      <c r="N122"/>
      <c r="O122"/>
      <c r="X122" s="9"/>
      <c r="AG122" s="27"/>
      <c r="AJ122" s="8"/>
      <c r="AK122" s="9"/>
      <c r="AL122" s="8"/>
      <c r="AP122"/>
      <c r="AQ122" s="14"/>
      <c r="AR122" s="16"/>
      <c r="AS122" s="16"/>
      <c r="BE122" s="8"/>
      <c r="BF122"/>
      <c r="BG122"/>
      <c r="BH122"/>
      <c r="BI122" s="9"/>
      <c r="BJ122" s="8"/>
      <c r="BN122"/>
      <c r="BO122" s="14"/>
      <c r="BP122" s="16"/>
      <c r="BQ122" s="16"/>
      <c r="CC122" s="8"/>
      <c r="CG122"/>
      <c r="CH122" s="14"/>
      <c r="CI122" s="16"/>
      <c r="CJ122" s="16"/>
    </row>
    <row r="123" spans="1:90" x14ac:dyDescent="0.2">
      <c r="A123" s="8"/>
      <c r="F123" s="9"/>
      <c r="I123" s="8"/>
      <c r="K123" s="9"/>
      <c r="M123" s="9"/>
      <c r="N123"/>
      <c r="O123"/>
      <c r="X123" s="9"/>
      <c r="AG123" s="27"/>
      <c r="AJ123" s="8"/>
      <c r="AK123" s="9"/>
      <c r="AL123" s="8"/>
      <c r="AP123"/>
      <c r="AQ123" s="14"/>
      <c r="AR123" s="16"/>
      <c r="AS123" s="16"/>
      <c r="BE123" s="8"/>
      <c r="BF123"/>
      <c r="BG123"/>
      <c r="BH123"/>
      <c r="BI123" s="9"/>
      <c r="BJ123" s="8"/>
      <c r="BN123"/>
      <c r="BO123" s="14"/>
      <c r="BP123" s="16"/>
      <c r="BQ123" s="16"/>
      <c r="CC123" s="8"/>
      <c r="CG123"/>
      <c r="CH123" s="14"/>
      <c r="CI123" s="16"/>
      <c r="CJ123" s="16"/>
    </row>
    <row r="124" spans="1:90" x14ac:dyDescent="0.2">
      <c r="A124" s="8"/>
      <c r="F124" s="9"/>
      <c r="I124" s="8"/>
      <c r="K124" s="9"/>
      <c r="M124" s="9"/>
      <c r="N124"/>
      <c r="O124"/>
      <c r="X124" s="9"/>
      <c r="AG124" s="27"/>
      <c r="AJ124" s="8"/>
      <c r="AK124" s="9"/>
      <c r="AL124" s="8"/>
      <c r="AP124"/>
      <c r="AQ124" s="14"/>
      <c r="AR124" s="16"/>
      <c r="AS124" s="16"/>
      <c r="BE124" s="8"/>
      <c r="BF124"/>
      <c r="BG124"/>
      <c r="BH124"/>
      <c r="BI124" s="9"/>
      <c r="BJ124" s="8"/>
      <c r="BN124"/>
      <c r="BO124" s="14"/>
      <c r="BP124" s="16"/>
      <c r="BQ124" s="16"/>
      <c r="CC124" s="8"/>
      <c r="CG124"/>
      <c r="CH124" s="14"/>
      <c r="CI124" s="16"/>
      <c r="CJ124" s="16"/>
    </row>
    <row r="125" spans="1:90" x14ac:dyDescent="0.2">
      <c r="A125" s="8"/>
      <c r="F125" s="9"/>
      <c r="I125" s="8"/>
      <c r="K125" s="9"/>
      <c r="M125" s="9"/>
      <c r="N125"/>
      <c r="O125"/>
      <c r="X125" s="9"/>
      <c r="AG125" s="27"/>
      <c r="AJ125" s="8"/>
      <c r="AK125" s="9"/>
      <c r="AL125" s="8"/>
      <c r="AP125"/>
      <c r="AQ125" s="14"/>
      <c r="AR125" s="16"/>
      <c r="AS125" s="16"/>
      <c r="BE125" s="8"/>
      <c r="BF125"/>
      <c r="BG125"/>
      <c r="BH125"/>
      <c r="BI125" s="9"/>
      <c r="BJ125" s="8"/>
      <c r="BN125"/>
      <c r="BO125" s="14"/>
      <c r="BP125" s="16"/>
      <c r="BQ125" s="16"/>
      <c r="CC125" s="8"/>
      <c r="CG125"/>
      <c r="CH125" s="14"/>
      <c r="CI125" s="16"/>
      <c r="CJ125" s="16"/>
    </row>
    <row r="126" spans="1:90" x14ac:dyDescent="0.2">
      <c r="A126" s="8"/>
      <c r="F126" s="9"/>
      <c r="I126" s="8"/>
      <c r="K126" s="9"/>
      <c r="M126" s="9"/>
      <c r="N126"/>
      <c r="O126"/>
      <c r="X126" s="9"/>
      <c r="AG126" s="27"/>
      <c r="AJ126" s="8"/>
      <c r="AK126" s="9"/>
      <c r="AL126" s="8"/>
      <c r="AP126"/>
      <c r="AQ126" s="14"/>
      <c r="AR126" s="16"/>
      <c r="AS126" s="16"/>
      <c r="BE126" s="8"/>
      <c r="BF126"/>
      <c r="BG126"/>
      <c r="BH126"/>
      <c r="BI126" s="9"/>
      <c r="BJ126" s="8"/>
      <c r="BN126"/>
      <c r="BO126" s="14"/>
      <c r="BP126" s="16"/>
      <c r="BQ126" s="16"/>
      <c r="CC126" s="8"/>
      <c r="CG126"/>
      <c r="CH126" s="14"/>
      <c r="CI126" s="16"/>
      <c r="CJ126" s="16"/>
    </row>
    <row r="127" spans="1:90" x14ac:dyDescent="0.2">
      <c r="A127" s="8"/>
      <c r="F127" s="9"/>
      <c r="I127" s="8"/>
      <c r="K127" s="9"/>
      <c r="M127" s="9"/>
      <c r="N127"/>
      <c r="O127"/>
      <c r="X127" s="9"/>
      <c r="AG127" s="27"/>
      <c r="AJ127" s="8"/>
      <c r="AK127" s="9"/>
      <c r="AL127" s="8"/>
      <c r="AP127"/>
      <c r="AQ127" s="14"/>
      <c r="AR127" s="16"/>
      <c r="AS127" s="16"/>
      <c r="BE127" s="8"/>
      <c r="BF127"/>
      <c r="BG127"/>
      <c r="BH127"/>
      <c r="BI127" s="9"/>
      <c r="BJ127" s="8"/>
      <c r="BN127"/>
      <c r="BO127" s="14"/>
      <c r="BP127" s="16"/>
      <c r="BQ127" s="16"/>
      <c r="CC127" s="8"/>
      <c r="CG127"/>
      <c r="CH127" s="14"/>
      <c r="CI127" s="16"/>
      <c r="CJ127" s="16"/>
    </row>
    <row r="128" spans="1:90" x14ac:dyDescent="0.2">
      <c r="A128" s="8"/>
      <c r="F128" s="9"/>
      <c r="I128" s="8"/>
      <c r="K128" s="9"/>
      <c r="M128" s="9"/>
      <c r="N128"/>
      <c r="O128"/>
      <c r="X128" s="9"/>
      <c r="AG128" s="27"/>
      <c r="AJ128" s="8"/>
      <c r="AK128" s="9"/>
      <c r="AL128" s="8"/>
      <c r="AP128"/>
      <c r="AQ128" s="14"/>
      <c r="AR128" s="16"/>
      <c r="AS128" s="16"/>
      <c r="BE128" s="8"/>
      <c r="BF128"/>
      <c r="BG128"/>
      <c r="BH128"/>
      <c r="BI128" s="9"/>
      <c r="BJ128" s="8"/>
      <c r="BN128"/>
      <c r="BO128" s="14"/>
      <c r="BP128" s="16"/>
      <c r="BQ128" s="16"/>
      <c r="CC128" s="8"/>
      <c r="CG128"/>
      <c r="CH128" s="14"/>
      <c r="CI128" s="16"/>
      <c r="CJ128" s="16"/>
    </row>
    <row r="129" spans="1:88" x14ac:dyDescent="0.2">
      <c r="A129" s="8"/>
      <c r="F129" s="9"/>
      <c r="I129" s="8"/>
      <c r="K129" s="9"/>
      <c r="M129" s="9"/>
      <c r="N129"/>
      <c r="O129"/>
      <c r="X129" s="9"/>
      <c r="AG129" s="27"/>
      <c r="AJ129" s="8"/>
      <c r="AK129" s="9"/>
      <c r="AL129" s="8"/>
      <c r="AP129"/>
      <c r="AQ129" s="14"/>
      <c r="AR129" s="16"/>
      <c r="AS129" s="16"/>
      <c r="BE129" s="8"/>
      <c r="BF129"/>
      <c r="BG129"/>
      <c r="BH129"/>
      <c r="BI129" s="9"/>
      <c r="BJ129" s="8"/>
      <c r="BN129"/>
      <c r="BO129" s="14"/>
      <c r="BP129" s="16"/>
      <c r="BQ129" s="16"/>
      <c r="CC129" s="8"/>
      <c r="CG129"/>
      <c r="CH129" s="14"/>
      <c r="CI129" s="16"/>
      <c r="CJ129" s="16"/>
    </row>
    <row r="130" spans="1:88" x14ac:dyDescent="0.2">
      <c r="A130" s="8"/>
      <c r="F130" s="9"/>
      <c r="I130" s="8"/>
      <c r="K130" s="9"/>
      <c r="M130" s="9"/>
      <c r="N130"/>
      <c r="O130"/>
      <c r="X130" s="9"/>
      <c r="AG130" s="27"/>
      <c r="AJ130" s="8"/>
      <c r="AK130" s="9"/>
      <c r="AL130" s="8"/>
      <c r="AP130"/>
      <c r="AQ130" s="14"/>
      <c r="AR130" s="16"/>
      <c r="AS130" s="16"/>
      <c r="BE130" s="8"/>
      <c r="BF130"/>
      <c r="BG130"/>
      <c r="BH130"/>
      <c r="BI130" s="9"/>
      <c r="BJ130" s="8"/>
      <c r="BN130"/>
      <c r="BO130" s="14"/>
      <c r="BP130" s="16"/>
      <c r="BQ130" s="16"/>
      <c r="CC130" s="8"/>
      <c r="CG130"/>
      <c r="CH130" s="14"/>
      <c r="CI130" s="16"/>
      <c r="CJ130" s="16"/>
    </row>
    <row r="131" spans="1:88" x14ac:dyDescent="0.2">
      <c r="A131" s="8"/>
      <c r="F131" s="9"/>
      <c r="I131" s="8"/>
      <c r="K131" s="9"/>
      <c r="M131" s="9"/>
      <c r="N131"/>
      <c r="O131"/>
      <c r="X131" s="9"/>
      <c r="AG131" s="27"/>
      <c r="AJ131" s="8"/>
      <c r="AK131" s="9"/>
      <c r="AL131" s="8"/>
      <c r="AP131"/>
      <c r="AQ131" s="14"/>
      <c r="AR131" s="16"/>
      <c r="AS131" s="16"/>
      <c r="BE131" s="8"/>
      <c r="BF131"/>
      <c r="BG131"/>
      <c r="BH131"/>
      <c r="BI131" s="9"/>
      <c r="BJ131" s="8"/>
      <c r="BN131"/>
      <c r="BO131" s="14"/>
      <c r="BP131" s="16"/>
      <c r="BQ131" s="16"/>
      <c r="CC131" s="8"/>
      <c r="CG131"/>
      <c r="CH131" s="14"/>
      <c r="CI131" s="16"/>
      <c r="CJ131" s="16"/>
    </row>
    <row r="132" spans="1:88" x14ac:dyDescent="0.2">
      <c r="A132" s="8"/>
      <c r="F132" s="9"/>
      <c r="I132" s="8"/>
      <c r="K132" s="9"/>
      <c r="M132" s="9"/>
      <c r="N132"/>
      <c r="O132"/>
      <c r="X132" s="9"/>
      <c r="AG132" s="27"/>
      <c r="AJ132" s="8"/>
      <c r="AK132" s="9"/>
      <c r="AL132" s="8"/>
      <c r="AP132"/>
      <c r="AQ132" s="14"/>
      <c r="AR132" s="16"/>
      <c r="AS132" s="16"/>
      <c r="BE132" s="8"/>
      <c r="BF132"/>
      <c r="BG132"/>
      <c r="BH132"/>
      <c r="BI132" s="9"/>
      <c r="BJ132" s="8"/>
      <c r="BN132"/>
      <c r="BO132" s="14"/>
      <c r="BP132" s="16"/>
      <c r="BQ132" s="16"/>
      <c r="CC132" s="8"/>
      <c r="CG132"/>
      <c r="CH132" s="14"/>
      <c r="CI132" s="16"/>
      <c r="CJ132" s="16"/>
    </row>
    <row r="133" spans="1:88" x14ac:dyDescent="0.2">
      <c r="A133" s="8"/>
      <c r="F133" s="9"/>
      <c r="I133" s="8"/>
      <c r="K133" s="9"/>
      <c r="M133" s="9"/>
      <c r="N133"/>
      <c r="O133"/>
      <c r="X133" s="9"/>
      <c r="AG133" s="27"/>
      <c r="AJ133" s="8"/>
      <c r="AK133" s="9"/>
      <c r="AL133" s="8"/>
      <c r="AP133"/>
      <c r="AQ133" s="14"/>
      <c r="AR133" s="16"/>
      <c r="AS133" s="16"/>
      <c r="BE133" s="8"/>
      <c r="BF133"/>
      <c r="BG133"/>
      <c r="BH133"/>
      <c r="BI133" s="9"/>
      <c r="BJ133" s="8"/>
      <c r="BN133"/>
      <c r="BO133" s="14"/>
      <c r="BP133" s="16"/>
      <c r="BQ133" s="16"/>
      <c r="CC133" s="8"/>
      <c r="CG133"/>
      <c r="CH133" s="14"/>
      <c r="CI133" s="16"/>
      <c r="CJ133" s="16"/>
    </row>
    <row r="134" spans="1:88" x14ac:dyDescent="0.2">
      <c r="A134" s="8"/>
      <c r="F134" s="9"/>
      <c r="I134" s="8"/>
      <c r="K134" s="9"/>
      <c r="M134" s="9"/>
      <c r="N134"/>
      <c r="O134"/>
      <c r="X134" s="9"/>
      <c r="AG134" s="27"/>
      <c r="AJ134" s="8"/>
      <c r="AK134" s="9"/>
      <c r="AL134" s="8"/>
      <c r="AP134"/>
      <c r="AQ134" s="14"/>
      <c r="AR134" s="16"/>
      <c r="AS134" s="16"/>
      <c r="BE134" s="8"/>
      <c r="BF134"/>
      <c r="BG134"/>
      <c r="BH134"/>
      <c r="BI134" s="9"/>
      <c r="BJ134" s="8"/>
      <c r="BN134"/>
      <c r="BO134" s="14"/>
      <c r="BP134" s="16"/>
      <c r="BQ134" s="16"/>
      <c r="CC134" s="8"/>
      <c r="CG134"/>
      <c r="CH134" s="14"/>
      <c r="CI134" s="16"/>
      <c r="CJ134" s="16"/>
    </row>
    <row r="135" spans="1:88" x14ac:dyDescent="0.2">
      <c r="A135" s="8"/>
      <c r="F135" s="9"/>
      <c r="I135" s="8"/>
      <c r="K135" s="9"/>
      <c r="M135" s="9"/>
      <c r="N135"/>
      <c r="O135"/>
      <c r="X135" s="9"/>
      <c r="AG135" s="27"/>
      <c r="AJ135" s="8"/>
      <c r="AK135" s="9"/>
      <c r="AL135" s="8"/>
      <c r="AP135"/>
      <c r="AQ135" s="14"/>
      <c r="AR135" s="16"/>
      <c r="AS135" s="16"/>
      <c r="BE135" s="8"/>
      <c r="BF135"/>
      <c r="BG135"/>
      <c r="BH135"/>
      <c r="BI135" s="9"/>
      <c r="BJ135" s="8"/>
      <c r="BN135"/>
      <c r="BO135" s="14"/>
      <c r="BP135" s="16"/>
      <c r="BQ135" s="16"/>
      <c r="CC135" s="8"/>
      <c r="CG135"/>
      <c r="CH135" s="14"/>
      <c r="CI135" s="16"/>
      <c r="CJ135" s="16"/>
    </row>
    <row r="136" spans="1:88" x14ac:dyDescent="0.2">
      <c r="A136" s="8"/>
      <c r="F136" s="9"/>
      <c r="I136" s="8"/>
      <c r="K136" s="9"/>
      <c r="M136" s="9"/>
      <c r="N136"/>
      <c r="O136"/>
      <c r="X136" s="9"/>
      <c r="AG136" s="27"/>
      <c r="AJ136" s="8"/>
      <c r="AK136" s="9"/>
      <c r="AL136" s="8"/>
      <c r="AP136"/>
      <c r="AQ136" s="14"/>
      <c r="AR136" s="16"/>
      <c r="AS136" s="16"/>
      <c r="BE136" s="8"/>
      <c r="BF136"/>
      <c r="BG136"/>
      <c r="BH136"/>
      <c r="BI136" s="9"/>
      <c r="BJ136" s="8"/>
      <c r="BN136"/>
      <c r="BO136" s="14"/>
      <c r="BP136" s="16"/>
      <c r="BQ136" s="16"/>
      <c r="CC136" s="8"/>
      <c r="CG136"/>
      <c r="CH136" s="14"/>
      <c r="CI136" s="16"/>
      <c r="CJ136" s="16"/>
    </row>
    <row r="137" spans="1:88" x14ac:dyDescent="0.2">
      <c r="A137" s="8"/>
      <c r="F137" s="9"/>
      <c r="I137" s="8"/>
      <c r="K137" s="9"/>
      <c r="M137" s="9"/>
      <c r="N137"/>
      <c r="O137"/>
      <c r="X137" s="9"/>
      <c r="AG137" s="27"/>
      <c r="AJ137" s="8"/>
      <c r="AK137" s="9"/>
      <c r="AL137" s="8"/>
      <c r="AP137"/>
      <c r="AQ137" s="14"/>
      <c r="AR137" s="16"/>
      <c r="AS137" s="16"/>
      <c r="BE137" s="8"/>
      <c r="BF137"/>
      <c r="BG137"/>
      <c r="BH137"/>
      <c r="BI137" s="9"/>
      <c r="BJ137" s="8"/>
      <c r="BN137"/>
      <c r="BO137" s="14"/>
      <c r="BP137" s="16"/>
      <c r="BQ137" s="16"/>
      <c r="CC137" s="8"/>
      <c r="CG137"/>
      <c r="CH137" s="14"/>
      <c r="CI137" s="16"/>
      <c r="CJ137" s="16"/>
    </row>
    <row r="138" spans="1:88" x14ac:dyDescent="0.2">
      <c r="A138" s="8"/>
      <c r="F138" s="9"/>
      <c r="I138" s="8"/>
      <c r="K138" s="9"/>
      <c r="M138" s="9"/>
      <c r="N138"/>
      <c r="O138"/>
      <c r="X138" s="9"/>
      <c r="AG138" s="27"/>
      <c r="AH138" s="8"/>
      <c r="AJ138" s="8"/>
      <c r="AK138" s="9"/>
      <c r="AL138" s="8"/>
      <c r="AP138"/>
      <c r="AQ138" s="14"/>
      <c r="AR138" s="16"/>
      <c r="AS138" s="16"/>
      <c r="BE138" s="8"/>
      <c r="BF138"/>
      <c r="BG138"/>
      <c r="BH138"/>
      <c r="BI138" s="9"/>
      <c r="BJ138" s="8"/>
      <c r="BN138"/>
      <c r="BO138" s="14"/>
      <c r="BP138" s="16"/>
      <c r="BQ138" s="16"/>
      <c r="CC138" s="8"/>
      <c r="CG138"/>
      <c r="CH138" s="14"/>
      <c r="CI138" s="16"/>
      <c r="CJ138" s="16"/>
    </row>
    <row r="139" spans="1:88" x14ac:dyDescent="0.2">
      <c r="A139" s="8"/>
      <c r="F139" s="9"/>
      <c r="I139" s="8"/>
      <c r="K139" s="9"/>
      <c r="M139" s="9"/>
      <c r="N139"/>
      <c r="O139"/>
      <c r="X139" s="9"/>
      <c r="AG139" s="27"/>
      <c r="AH139" s="8"/>
      <c r="AJ139" s="8"/>
      <c r="AK139" s="9"/>
      <c r="AL139" s="8"/>
      <c r="AP139"/>
      <c r="AQ139" s="14"/>
      <c r="AR139" s="16"/>
      <c r="AS139" s="16"/>
      <c r="BE139" s="8"/>
      <c r="BF139"/>
      <c r="BG139"/>
      <c r="BH139"/>
      <c r="BI139" s="9"/>
      <c r="BJ139" s="8"/>
      <c r="BN139"/>
      <c r="BO139" s="14"/>
      <c r="BP139" s="16"/>
      <c r="BQ139" s="16"/>
      <c r="CC139" s="8"/>
      <c r="CG139"/>
      <c r="CH139" s="14"/>
      <c r="CI139" s="16"/>
      <c r="CJ139" s="16"/>
    </row>
    <row r="140" spans="1:88" x14ac:dyDescent="0.2">
      <c r="A140" s="8"/>
      <c r="F140" s="9"/>
      <c r="I140" s="8"/>
      <c r="K140" s="9"/>
      <c r="M140" s="9"/>
      <c r="N140"/>
      <c r="O140"/>
      <c r="X140" s="9"/>
      <c r="AG140" s="27"/>
      <c r="AH140" s="8"/>
      <c r="AJ140" s="8"/>
      <c r="AK140" s="9"/>
      <c r="AL140" s="8"/>
      <c r="AP140"/>
      <c r="AQ140" s="14"/>
      <c r="AR140" s="16"/>
      <c r="AS140" s="16"/>
      <c r="BE140" s="8"/>
      <c r="BF140"/>
      <c r="BG140"/>
      <c r="BH140"/>
      <c r="BI140" s="9"/>
      <c r="BJ140" s="8"/>
      <c r="BN140"/>
      <c r="BO140" s="14"/>
      <c r="BP140" s="16"/>
      <c r="BQ140" s="16"/>
      <c r="CC140" s="8"/>
      <c r="CG140"/>
      <c r="CH140" s="14"/>
      <c r="CI140" s="16"/>
      <c r="CJ140" s="16"/>
    </row>
    <row r="141" spans="1:88" x14ac:dyDescent="0.2">
      <c r="A141" s="8"/>
      <c r="F141" s="9"/>
      <c r="I141" s="8"/>
      <c r="K141" s="9"/>
      <c r="M141" s="9"/>
      <c r="N141"/>
      <c r="O141"/>
      <c r="X141" s="9"/>
      <c r="AG141" s="27"/>
      <c r="AH141" s="8"/>
      <c r="AJ141" s="8"/>
      <c r="AK141" s="9"/>
      <c r="AL141" s="8"/>
      <c r="AP141"/>
      <c r="AQ141" s="14"/>
      <c r="AR141" s="16"/>
      <c r="AS141" s="16"/>
      <c r="BE141" s="8"/>
      <c r="BF141"/>
      <c r="BG141"/>
      <c r="BH141"/>
      <c r="BI141" s="9"/>
      <c r="BJ141" s="8"/>
      <c r="BN141"/>
      <c r="BO141" s="14"/>
      <c r="BP141" s="16"/>
      <c r="BQ141" s="16"/>
      <c r="CC141" s="8"/>
      <c r="CG141"/>
      <c r="CH141" s="14"/>
      <c r="CI141" s="16"/>
      <c r="CJ141" s="16"/>
    </row>
    <row r="142" spans="1:88" x14ac:dyDescent="0.2">
      <c r="A142" s="8"/>
      <c r="F142" s="9"/>
      <c r="I142" s="8"/>
      <c r="K142" s="9"/>
      <c r="M142" s="9"/>
      <c r="N142"/>
      <c r="O142"/>
      <c r="X142" s="9"/>
      <c r="AG142" s="27"/>
      <c r="AH142" s="8"/>
      <c r="AJ142" s="8"/>
      <c r="AK142" s="9"/>
      <c r="AL142" s="8"/>
      <c r="AP142"/>
      <c r="AQ142" s="14"/>
      <c r="AR142" s="16"/>
      <c r="AS142" s="16"/>
      <c r="BE142" s="8"/>
      <c r="BF142"/>
      <c r="BG142"/>
      <c r="BH142"/>
      <c r="BI142" s="9"/>
      <c r="BJ142" s="8"/>
      <c r="BN142"/>
      <c r="BO142" s="14"/>
      <c r="BP142" s="16"/>
      <c r="BQ142" s="16"/>
      <c r="CG142"/>
      <c r="CH142" s="16"/>
      <c r="CI142" s="16"/>
      <c r="CJ142" s="16"/>
    </row>
    <row r="143" spans="1:88" x14ac:dyDescent="0.2">
      <c r="A143" s="8"/>
      <c r="F143" s="9"/>
      <c r="I143" s="8"/>
      <c r="K143" s="9"/>
      <c r="M143" s="9"/>
      <c r="N143"/>
      <c r="O143"/>
      <c r="X143" s="9"/>
      <c r="AG143" s="27"/>
      <c r="AH143" s="8"/>
      <c r="AJ143" s="8"/>
      <c r="AK143" s="9"/>
      <c r="AL143" s="8"/>
      <c r="AM143" s="89"/>
      <c r="AN143" s="25"/>
      <c r="AO143" s="25"/>
      <c r="AP143"/>
      <c r="AQ143" s="14"/>
      <c r="AR143" s="16"/>
      <c r="AS143" s="16"/>
      <c r="BE143" s="8"/>
      <c r="BF143"/>
      <c r="BG143"/>
      <c r="BH143"/>
      <c r="BI143" s="9"/>
      <c r="BJ143" s="8"/>
      <c r="BK143" s="89"/>
      <c r="BL143" s="25"/>
      <c r="BM143" s="25"/>
      <c r="BN143"/>
      <c r="BO143" s="14"/>
      <c r="BP143" s="16"/>
      <c r="BQ143" s="16"/>
      <c r="CD143" s="243"/>
      <c r="CE143" s="240"/>
      <c r="CF143" s="240"/>
      <c r="CG143"/>
      <c r="CH143" s="16"/>
      <c r="CI143" s="16"/>
      <c r="CJ143" s="16"/>
    </row>
    <row r="144" spans="1:88" x14ac:dyDescent="0.2">
      <c r="A144" s="8"/>
      <c r="F144" s="9"/>
      <c r="I144" s="8"/>
      <c r="K144" s="9"/>
      <c r="M144" s="9"/>
      <c r="N144"/>
      <c r="O144"/>
      <c r="X144" s="9"/>
      <c r="AG144" s="27"/>
      <c r="AH144" s="8"/>
      <c r="AJ144" s="8"/>
      <c r="AK144" s="9"/>
      <c r="AL144" s="8"/>
      <c r="AM144" s="243"/>
      <c r="AN144" s="240"/>
      <c r="AO144" s="240"/>
      <c r="AP144"/>
      <c r="AQ144" s="16"/>
      <c r="AR144" s="16"/>
      <c r="AS144" s="16"/>
      <c r="BE144" s="8"/>
      <c r="BF144"/>
      <c r="BG144"/>
      <c r="BH144"/>
      <c r="BI144" s="9"/>
      <c r="BJ144" s="8"/>
      <c r="BK144" s="89"/>
      <c r="BL144" s="25"/>
      <c r="BM144" s="25"/>
      <c r="BN144"/>
      <c r="BO144" s="14"/>
      <c r="BP144" s="16"/>
      <c r="BQ144" s="16"/>
      <c r="CD144" s="243"/>
      <c r="CE144" s="240"/>
      <c r="CF144" s="240"/>
      <c r="CG144"/>
      <c r="CH144" s="16"/>
      <c r="CI144" s="16"/>
      <c r="CJ144" s="16"/>
    </row>
    <row r="145" spans="1:88" x14ac:dyDescent="0.2">
      <c r="A145" s="8"/>
      <c r="F145" s="9"/>
      <c r="I145" s="8"/>
      <c r="K145" s="9"/>
      <c r="M145" s="9"/>
      <c r="N145"/>
      <c r="O145"/>
      <c r="X145" s="9"/>
      <c r="AG145" s="27"/>
      <c r="AH145" s="8"/>
      <c r="AJ145" s="8"/>
      <c r="AK145" s="9"/>
      <c r="AL145" s="8"/>
      <c r="AM145" s="243"/>
      <c r="AN145" s="240"/>
      <c r="AO145" s="240"/>
      <c r="AP145"/>
      <c r="AQ145" s="16"/>
      <c r="AR145" s="16"/>
      <c r="AS145" s="16"/>
      <c r="BE145" s="8"/>
      <c r="BF145"/>
      <c r="BG145"/>
      <c r="BH145"/>
      <c r="BI145" s="9"/>
      <c r="BJ145" s="8"/>
      <c r="BK145" s="89"/>
      <c r="BL145" s="25"/>
      <c r="BM145" s="25"/>
      <c r="BN145"/>
      <c r="BO145" s="14"/>
      <c r="BP145" s="16"/>
      <c r="BQ145" s="16"/>
      <c r="CD145" s="243"/>
      <c r="CE145" s="240"/>
      <c r="CF145" s="240"/>
      <c r="CG145"/>
      <c r="CH145" s="16"/>
      <c r="CI145" s="16"/>
      <c r="CJ145" s="16"/>
    </row>
    <row r="146" spans="1:88" x14ac:dyDescent="0.2">
      <c r="A146" s="8"/>
      <c r="F146" s="9"/>
      <c r="I146" s="8"/>
      <c r="K146" s="9"/>
      <c r="M146" s="9"/>
      <c r="N146"/>
      <c r="O146"/>
      <c r="X146" s="9"/>
      <c r="AG146" s="27"/>
      <c r="AH146" s="8"/>
      <c r="AJ146" s="8"/>
      <c r="AK146" s="9"/>
      <c r="AL146" s="8"/>
      <c r="AM146" s="243"/>
      <c r="AN146" s="240"/>
      <c r="AO146" s="240"/>
      <c r="AP146"/>
      <c r="AQ146" s="16"/>
      <c r="AR146" s="16"/>
      <c r="AS146" s="16"/>
      <c r="BE146" s="8"/>
      <c r="BF146"/>
      <c r="BG146"/>
      <c r="BH146"/>
      <c r="BI146" s="9"/>
      <c r="BJ146" s="8"/>
      <c r="BK146" s="89"/>
      <c r="BL146" s="25"/>
      <c r="BM146" s="25"/>
      <c r="BN146"/>
      <c r="BO146" s="14"/>
      <c r="BP146" s="16"/>
      <c r="BQ146" s="16"/>
      <c r="CD146" s="243"/>
      <c r="CE146" s="240"/>
      <c r="CF146" s="240"/>
      <c r="CG146"/>
      <c r="CH146" s="16"/>
      <c r="CI146" s="16"/>
      <c r="CJ146" s="16"/>
    </row>
    <row r="147" spans="1:88" x14ac:dyDescent="0.2">
      <c r="A147" s="8"/>
      <c r="F147" s="9"/>
      <c r="I147" s="8"/>
      <c r="K147" s="9"/>
      <c r="M147" s="9"/>
      <c r="N147"/>
      <c r="O147"/>
      <c r="X147" s="9"/>
      <c r="AG147" s="27"/>
      <c r="AH147" s="8"/>
      <c r="AJ147" s="8"/>
      <c r="AK147" s="9"/>
      <c r="AL147" s="8"/>
      <c r="AP147"/>
      <c r="AS147" s="1"/>
      <c r="BE147" s="8"/>
      <c r="BF147"/>
      <c r="BG147"/>
      <c r="BH147"/>
      <c r="BI147" s="9"/>
      <c r="BJ147" s="8"/>
      <c r="BN147"/>
      <c r="BO147" s="6"/>
      <c r="BQ147" s="1"/>
      <c r="CG147"/>
      <c r="CJ147" s="1"/>
    </row>
    <row r="148" spans="1:88" x14ac:dyDescent="0.2">
      <c r="A148" s="104" t="s">
        <v>23</v>
      </c>
      <c r="B148" s="105"/>
      <c r="C148" s="106"/>
      <c r="D148" s="46"/>
      <c r="E148" s="46"/>
      <c r="F148" s="51"/>
      <c r="G148" s="107"/>
      <c r="H148" s="52"/>
      <c r="I148" s="55"/>
      <c r="J148" s="46"/>
      <c r="K148" s="54"/>
      <c r="L148" s="46"/>
      <c r="M148" s="51"/>
      <c r="N148" s="52"/>
      <c r="O148" s="52"/>
      <c r="P148" s="46"/>
      <c r="Q148" s="46"/>
      <c r="R148" s="46"/>
      <c r="S148" s="46"/>
      <c r="T148" s="46"/>
      <c r="U148" s="46"/>
      <c r="V148" s="46"/>
      <c r="W148" s="46"/>
      <c r="X148" s="51"/>
      <c r="Y148" s="46"/>
      <c r="Z148" s="46"/>
      <c r="AA148" s="46"/>
      <c r="AB148" s="46"/>
      <c r="AC148" s="46"/>
      <c r="AD148" s="46"/>
      <c r="AE148" s="46"/>
      <c r="AF148" s="46"/>
      <c r="AG148" s="50" t="s">
        <v>22</v>
      </c>
      <c r="AH148" s="55"/>
      <c r="AI148" s="46"/>
      <c r="AJ148" s="170"/>
      <c r="AK148" s="54"/>
      <c r="AL148" s="8"/>
      <c r="AP148"/>
      <c r="AS148" s="1"/>
      <c r="BN148"/>
      <c r="BQ148" s="1"/>
      <c r="CG148"/>
      <c r="CJ148" s="1"/>
    </row>
    <row r="149" spans="1:88" x14ac:dyDescent="0.2">
      <c r="A149" s="8">
        <v>39</v>
      </c>
      <c r="B149" t="s">
        <v>143</v>
      </c>
      <c r="C149">
        <v>3</v>
      </c>
      <c r="D149" t="s">
        <v>17</v>
      </c>
      <c r="E149" t="s">
        <v>16</v>
      </c>
      <c r="F149" s="9">
        <v>16</v>
      </c>
      <c r="G149" s="26" t="s">
        <v>15</v>
      </c>
      <c r="H149" s="1">
        <v>18</v>
      </c>
      <c r="I149" s="11">
        <v>410</v>
      </c>
      <c r="J149" t="s">
        <v>21</v>
      </c>
      <c r="K149" s="6" t="s">
        <v>181</v>
      </c>
      <c r="L149" s="1"/>
      <c r="M149" s="6"/>
      <c r="N149" s="1">
        <v>96.95</v>
      </c>
      <c r="O149" s="18">
        <v>775600.00000000012</v>
      </c>
      <c r="P149" s="30">
        <v>1.906666666666667</v>
      </c>
      <c r="Q149" s="1"/>
      <c r="R149" s="1"/>
      <c r="S149" s="1"/>
      <c r="T149" s="1"/>
      <c r="U149" s="1"/>
      <c r="V149" s="1"/>
      <c r="W149" s="1"/>
      <c r="X149" s="118"/>
      <c r="Y149" s="1"/>
      <c r="Z149" s="1"/>
      <c r="AA149" s="1"/>
      <c r="AB149" s="1"/>
      <c r="AC149" s="1"/>
      <c r="AD149" s="1"/>
      <c r="AE149" s="96"/>
      <c r="AF149" s="98"/>
      <c r="AG149" s="24">
        <v>301.99999999999994</v>
      </c>
      <c r="AH149" s="8">
        <v>5.9</v>
      </c>
      <c r="AI149" s="16"/>
      <c r="AJ149" s="171"/>
      <c r="AK149" s="118"/>
      <c r="AL149" s="8"/>
      <c r="AM149" s="239"/>
      <c r="AN149" s="240"/>
      <c r="AO149" s="240"/>
      <c r="AP149"/>
      <c r="AQ149" s="16"/>
      <c r="AR149" s="16"/>
      <c r="AS149" s="16"/>
      <c r="BE149" s="188"/>
      <c r="BF149" s="188"/>
      <c r="BG149" s="188"/>
      <c r="BH149" s="188"/>
      <c r="BI149" s="98"/>
      <c r="BK149" s="239"/>
      <c r="BL149" s="240"/>
      <c r="BM149" s="240"/>
      <c r="BN149"/>
      <c r="BO149" s="16"/>
      <c r="BP149" s="16"/>
      <c r="BQ149" s="16"/>
      <c r="CD149" s="239"/>
      <c r="CE149" s="240"/>
      <c r="CF149" s="240"/>
      <c r="CG149"/>
      <c r="CH149" s="16"/>
      <c r="CI149" s="16"/>
      <c r="CJ149" s="16"/>
    </row>
    <row r="150" spans="1:88" x14ac:dyDescent="0.2">
      <c r="A150" s="8">
        <v>32</v>
      </c>
      <c r="B150" t="s">
        <v>143</v>
      </c>
      <c r="C150">
        <v>3</v>
      </c>
      <c r="D150" t="s">
        <v>17</v>
      </c>
      <c r="E150" t="s">
        <v>16</v>
      </c>
      <c r="F150" s="9">
        <v>11</v>
      </c>
      <c r="G150" s="26" t="s">
        <v>15</v>
      </c>
      <c r="H150" s="1">
        <v>18</v>
      </c>
      <c r="I150" s="11">
        <v>410</v>
      </c>
      <c r="J150" t="s">
        <v>21</v>
      </c>
      <c r="K150" s="6" t="s">
        <v>181</v>
      </c>
      <c r="L150" s="1"/>
      <c r="M150" s="6"/>
      <c r="N150" s="1">
        <v>96.95</v>
      </c>
      <c r="O150" s="18">
        <v>775600.00000000012</v>
      </c>
      <c r="P150" s="30">
        <v>1.906666666666667</v>
      </c>
      <c r="Q150" s="1"/>
      <c r="R150" s="1"/>
      <c r="S150" s="1"/>
      <c r="T150" s="1"/>
      <c r="U150" s="1"/>
      <c r="V150" s="1"/>
      <c r="W150" s="1"/>
      <c r="X150" s="118"/>
      <c r="Y150" s="1"/>
      <c r="Z150" s="1"/>
      <c r="AA150" s="1"/>
      <c r="AB150" s="1"/>
      <c r="AC150" s="1"/>
      <c r="AD150" s="1"/>
      <c r="AE150" s="96"/>
      <c r="AF150" s="98"/>
      <c r="AG150" s="24">
        <v>51.066666666666748</v>
      </c>
      <c r="AH150" s="8">
        <v>0.18</v>
      </c>
      <c r="AI150" s="16"/>
      <c r="AJ150" s="171"/>
      <c r="AK150" s="118"/>
      <c r="AL150" s="8"/>
      <c r="AM150" s="239"/>
      <c r="AN150" s="240"/>
      <c r="AO150" s="240"/>
      <c r="AP150"/>
      <c r="AQ150" s="16"/>
      <c r="AR150" s="16"/>
      <c r="AS150" s="16"/>
      <c r="BE150" s="188"/>
      <c r="BF150" s="188"/>
      <c r="BG150" s="188"/>
      <c r="BH150" s="188"/>
      <c r="BI150" s="98"/>
      <c r="BK150" s="239"/>
      <c r="BL150" s="240"/>
      <c r="BM150" s="240"/>
      <c r="BN150"/>
      <c r="BO150" s="16"/>
      <c r="BP150" s="16"/>
      <c r="BQ150" s="16"/>
      <c r="CD150" s="239"/>
      <c r="CE150" s="240"/>
      <c r="CF150" s="240"/>
      <c r="CG150"/>
      <c r="CH150" s="16"/>
      <c r="CI150" s="16"/>
      <c r="CJ150" s="16"/>
    </row>
    <row r="151" spans="1:88" x14ac:dyDescent="0.2">
      <c r="A151" s="8">
        <v>35</v>
      </c>
      <c r="B151" t="s">
        <v>143</v>
      </c>
      <c r="C151">
        <v>3</v>
      </c>
      <c r="D151" t="s">
        <v>17</v>
      </c>
      <c r="E151" t="s">
        <v>16</v>
      </c>
      <c r="F151" s="9">
        <v>14</v>
      </c>
      <c r="G151" s="26" t="s">
        <v>15</v>
      </c>
      <c r="H151" s="1">
        <v>18</v>
      </c>
      <c r="I151" s="11">
        <v>410</v>
      </c>
      <c r="J151" t="s">
        <v>21</v>
      </c>
      <c r="K151" s="6" t="s">
        <v>181</v>
      </c>
      <c r="L151" s="1"/>
      <c r="M151" s="6"/>
      <c r="N151" s="1">
        <v>96.95</v>
      </c>
      <c r="O151" s="18">
        <v>775600.00000000012</v>
      </c>
      <c r="P151" s="30">
        <v>1.906666666666667</v>
      </c>
      <c r="Q151" s="1"/>
      <c r="R151" s="1"/>
      <c r="S151" s="1"/>
      <c r="T151" s="1"/>
      <c r="U151" s="1"/>
      <c r="V151" s="1"/>
      <c r="W151" s="1"/>
      <c r="X151" s="118"/>
      <c r="Y151" s="1"/>
      <c r="Z151" s="1"/>
      <c r="AA151" s="1"/>
      <c r="AB151" s="1"/>
      <c r="AC151" s="1"/>
      <c r="AD151" s="1"/>
      <c r="AE151" s="96"/>
      <c r="AF151" s="98"/>
      <c r="AG151" s="24">
        <v>13.511111111111109</v>
      </c>
      <c r="AH151" s="8">
        <f>AVERAGE(0.14,0)</f>
        <v>7.0000000000000007E-2</v>
      </c>
      <c r="AI151" s="16"/>
      <c r="AJ151" s="171"/>
      <c r="AK151" s="118"/>
      <c r="AL151" s="8"/>
      <c r="AM151" s="239"/>
      <c r="AN151" s="240"/>
      <c r="AO151" s="240"/>
      <c r="AP151"/>
      <c r="AQ151" s="16"/>
      <c r="AR151" s="16"/>
      <c r="AS151" s="16"/>
      <c r="BE151" s="188"/>
      <c r="BF151" s="188"/>
      <c r="BG151" s="188"/>
      <c r="BH151" s="188"/>
      <c r="BI151" s="98"/>
      <c r="BK151" s="239"/>
      <c r="BL151" s="240"/>
      <c r="BM151" s="240"/>
      <c r="BN151"/>
      <c r="BO151" s="16"/>
      <c r="BP151" s="16"/>
      <c r="BQ151" s="16"/>
      <c r="CD151" s="239"/>
      <c r="CE151" s="240"/>
      <c r="CF151" s="240"/>
      <c r="CG151"/>
      <c r="CH151" s="16"/>
      <c r="CI151" s="16"/>
      <c r="CJ151" s="16"/>
    </row>
    <row r="152" spans="1:88" x14ac:dyDescent="0.2">
      <c r="A152" s="21" t="s">
        <v>18</v>
      </c>
      <c r="B152" t="s">
        <v>143</v>
      </c>
      <c r="C152">
        <v>3</v>
      </c>
      <c r="D152" t="s">
        <v>17</v>
      </c>
      <c r="E152" t="s">
        <v>16</v>
      </c>
      <c r="F152" s="9">
        <v>17</v>
      </c>
      <c r="G152" s="26" t="s">
        <v>15</v>
      </c>
      <c r="H152" s="1">
        <v>18</v>
      </c>
      <c r="I152" s="11">
        <v>410</v>
      </c>
      <c r="J152" t="s">
        <v>21</v>
      </c>
      <c r="K152" s="6" t="s">
        <v>181</v>
      </c>
      <c r="L152" s="1"/>
      <c r="M152" s="6"/>
      <c r="N152" s="1">
        <v>96.95</v>
      </c>
      <c r="O152" s="18">
        <v>775600.00000000012</v>
      </c>
      <c r="P152" s="30">
        <v>1.906666666666667</v>
      </c>
      <c r="Q152" s="1"/>
      <c r="R152" s="1"/>
      <c r="S152" s="1"/>
      <c r="T152" s="1"/>
      <c r="U152" s="1"/>
      <c r="V152" s="1"/>
      <c r="W152" s="1"/>
      <c r="X152" s="118"/>
      <c r="Y152" s="1"/>
      <c r="Z152" s="1"/>
      <c r="AA152" s="1"/>
      <c r="AB152" s="1"/>
      <c r="AC152" s="1"/>
      <c r="AD152" s="1"/>
      <c r="AE152" s="96"/>
      <c r="AF152" s="98"/>
      <c r="AG152" s="24">
        <v>8.0888888888888886</v>
      </c>
      <c r="AH152" s="8">
        <v>0</v>
      </c>
      <c r="AI152" s="99">
        <v>0.05</v>
      </c>
      <c r="AJ152" s="171"/>
      <c r="AK152" s="118"/>
      <c r="AL152" s="8"/>
      <c r="AM152" s="176"/>
      <c r="AN152" s="240"/>
      <c r="AO152" s="240"/>
      <c r="AP152"/>
      <c r="AQ152" s="16"/>
      <c r="AR152" s="16"/>
      <c r="AS152" s="16"/>
      <c r="BE152" s="188"/>
      <c r="BF152" s="188"/>
      <c r="BG152" s="188"/>
      <c r="BH152" s="188"/>
      <c r="BI152" s="98"/>
      <c r="BK152" s="176"/>
      <c r="BL152" s="240"/>
      <c r="BM152" s="240"/>
      <c r="BN152"/>
      <c r="BO152" s="16"/>
      <c r="BP152" s="16"/>
      <c r="BQ152" s="16"/>
      <c r="CD152" s="176"/>
      <c r="CE152" s="240"/>
      <c r="CF152" s="240"/>
      <c r="CG152"/>
      <c r="CH152" s="16"/>
      <c r="CI152" s="16"/>
      <c r="CJ152" s="16"/>
    </row>
    <row r="153" spans="1:88" x14ac:dyDescent="0.2">
      <c r="A153" s="21" t="s">
        <v>18</v>
      </c>
      <c r="B153" t="s">
        <v>143</v>
      </c>
      <c r="C153">
        <v>3</v>
      </c>
      <c r="D153" t="s">
        <v>17</v>
      </c>
      <c r="E153" t="s">
        <v>16</v>
      </c>
      <c r="F153" s="9">
        <v>22</v>
      </c>
      <c r="G153" s="26" t="s">
        <v>15</v>
      </c>
      <c r="H153" s="1">
        <v>18</v>
      </c>
      <c r="I153" s="11">
        <v>410</v>
      </c>
      <c r="J153" t="s">
        <v>21</v>
      </c>
      <c r="K153" s="6" t="s">
        <v>181</v>
      </c>
      <c r="L153" s="1"/>
      <c r="M153" s="6"/>
      <c r="N153" s="1">
        <v>96.95</v>
      </c>
      <c r="O153" s="18">
        <v>775600.00000000012</v>
      </c>
      <c r="P153" s="30">
        <v>1.906666666666667</v>
      </c>
      <c r="Q153" s="1"/>
      <c r="R153" s="1"/>
      <c r="S153" s="1"/>
      <c r="T153" s="1"/>
      <c r="U153" s="1"/>
      <c r="V153" s="1"/>
      <c r="W153" s="1"/>
      <c r="X153" s="118"/>
      <c r="Y153" s="1"/>
      <c r="Z153" s="1"/>
      <c r="AA153" s="1"/>
      <c r="AB153" s="1"/>
      <c r="AC153" s="1"/>
      <c r="AD153" s="1"/>
      <c r="AE153" s="96"/>
      <c r="AF153" s="98"/>
      <c r="AG153" s="24">
        <v>2.5866666666666669</v>
      </c>
      <c r="AH153" s="8">
        <v>0</v>
      </c>
      <c r="AI153" s="99">
        <v>0.05</v>
      </c>
      <c r="AJ153" s="171"/>
      <c r="AK153" s="118"/>
      <c r="AL153" s="8"/>
      <c r="AM153" s="176"/>
      <c r="AN153" s="240"/>
      <c r="AO153" s="240"/>
      <c r="AP153"/>
      <c r="AQ153" s="16"/>
      <c r="AR153" s="16"/>
      <c r="AS153" s="16"/>
      <c r="BE153" s="188"/>
      <c r="BF153" s="188"/>
      <c r="BG153" s="188"/>
      <c r="BH153" s="188"/>
      <c r="BI153" s="98"/>
      <c r="BK153" s="176"/>
      <c r="BL153" s="240"/>
      <c r="BM153" s="240"/>
      <c r="BN153"/>
      <c r="BO153" s="16"/>
      <c r="BP153" s="16"/>
      <c r="BQ153" s="16"/>
      <c r="CD153" s="176"/>
      <c r="CE153" s="240"/>
      <c r="CF153" s="240"/>
      <c r="CG153"/>
      <c r="CH153" s="16"/>
      <c r="CI153" s="16"/>
      <c r="CJ153" s="16"/>
    </row>
    <row r="154" spans="1:88" x14ac:dyDescent="0.2">
      <c r="A154" s="21" t="s">
        <v>18</v>
      </c>
      <c r="B154" t="s">
        <v>143</v>
      </c>
      <c r="C154">
        <v>3</v>
      </c>
      <c r="D154" t="s">
        <v>17</v>
      </c>
      <c r="E154" t="s">
        <v>16</v>
      </c>
      <c r="F154" s="9">
        <v>23</v>
      </c>
      <c r="G154" s="26" t="s">
        <v>15</v>
      </c>
      <c r="H154" s="1">
        <v>18</v>
      </c>
      <c r="I154" s="11">
        <v>410</v>
      </c>
      <c r="J154" t="s">
        <v>21</v>
      </c>
      <c r="K154" s="6" t="s">
        <v>181</v>
      </c>
      <c r="L154" s="1"/>
      <c r="M154" s="6"/>
      <c r="N154" s="1">
        <v>96.95</v>
      </c>
      <c r="O154" s="18">
        <v>775600.00000000012</v>
      </c>
      <c r="P154" s="30">
        <v>1.906666666666667</v>
      </c>
      <c r="Q154" s="1"/>
      <c r="R154" s="1"/>
      <c r="S154" s="1"/>
      <c r="T154" s="1"/>
      <c r="U154" s="1"/>
      <c r="V154" s="1"/>
      <c r="W154" s="1"/>
      <c r="X154" s="118"/>
      <c r="Y154" s="1"/>
      <c r="Z154" s="1"/>
      <c r="AA154" s="1"/>
      <c r="AB154" s="1"/>
      <c r="AC154" s="1"/>
      <c r="AD154" s="1"/>
      <c r="AE154" s="96"/>
      <c r="AF154" s="98"/>
      <c r="AG154" s="24">
        <v>0.65600000000000069</v>
      </c>
      <c r="AH154" s="8">
        <v>0</v>
      </c>
      <c r="AI154" s="99">
        <v>0.05</v>
      </c>
      <c r="AJ154" s="171"/>
      <c r="AK154" s="118"/>
      <c r="AL154" s="8"/>
      <c r="AM154" s="176"/>
      <c r="AN154" s="240"/>
      <c r="AO154" s="240"/>
      <c r="AP154"/>
      <c r="AQ154" s="16"/>
      <c r="AR154" s="16"/>
      <c r="AS154" s="16"/>
      <c r="BE154" s="188"/>
      <c r="BF154" s="188"/>
      <c r="BG154" s="188"/>
      <c r="BH154" s="188"/>
      <c r="BI154" s="98"/>
      <c r="BK154" s="176"/>
      <c r="BL154" s="240"/>
      <c r="BM154" s="240"/>
      <c r="BN154"/>
      <c r="BO154" s="16"/>
      <c r="BP154" s="16"/>
      <c r="BQ154" s="16"/>
      <c r="CD154" s="176"/>
      <c r="CE154" s="240"/>
      <c r="CF154" s="240"/>
      <c r="CG154"/>
      <c r="CH154" s="16"/>
      <c r="CI154" s="16"/>
      <c r="CJ154" s="16"/>
    </row>
    <row r="155" spans="1:88" x14ac:dyDescent="0.2">
      <c r="A155" s="21" t="s">
        <v>18</v>
      </c>
      <c r="B155" t="s">
        <v>143</v>
      </c>
      <c r="C155">
        <v>3</v>
      </c>
      <c r="D155" t="s">
        <v>17</v>
      </c>
      <c r="E155" t="s">
        <v>20</v>
      </c>
      <c r="F155" s="9">
        <v>59</v>
      </c>
      <c r="G155" s="26" t="s">
        <v>15</v>
      </c>
      <c r="H155" s="1">
        <v>18</v>
      </c>
      <c r="I155" s="11">
        <v>410</v>
      </c>
      <c r="J155" t="s">
        <v>21</v>
      </c>
      <c r="K155" s="6" t="s">
        <v>181</v>
      </c>
      <c r="L155" s="1"/>
      <c r="M155" s="6"/>
      <c r="N155" s="1">
        <v>96.95</v>
      </c>
      <c r="O155" s="18">
        <v>775600.00000000012</v>
      </c>
      <c r="P155" s="30">
        <v>1.906666666666667</v>
      </c>
      <c r="Q155" s="1"/>
      <c r="R155" s="1"/>
      <c r="S155" s="1"/>
      <c r="T155" s="1"/>
      <c r="U155" s="1"/>
      <c r="V155" s="1"/>
      <c r="W155" s="1"/>
      <c r="X155" s="118"/>
      <c r="Y155" s="1"/>
      <c r="Z155" s="1"/>
      <c r="AA155" s="1"/>
      <c r="AB155" s="1"/>
      <c r="AC155" s="1"/>
      <c r="AD155" s="1"/>
      <c r="AE155" s="96"/>
      <c r="AF155" s="98"/>
      <c r="AG155" s="24">
        <v>0.10000000000000002</v>
      </c>
      <c r="AH155" s="8">
        <v>0</v>
      </c>
      <c r="AI155" s="99">
        <v>0.05</v>
      </c>
      <c r="AJ155" s="171"/>
      <c r="AK155" s="118"/>
      <c r="AL155" s="8"/>
      <c r="AM155" s="176"/>
      <c r="AN155" s="240"/>
      <c r="AO155" s="240"/>
      <c r="AP155"/>
      <c r="AQ155" s="16"/>
      <c r="AR155" s="16"/>
      <c r="AS155" s="16"/>
      <c r="BE155" s="188"/>
      <c r="BF155" s="188"/>
      <c r="BG155" s="188"/>
      <c r="BH155" s="188"/>
      <c r="BI155" s="98"/>
      <c r="BK155" s="176"/>
      <c r="BL155" s="240"/>
      <c r="BM155" s="240"/>
      <c r="BN155"/>
      <c r="BO155" s="16"/>
      <c r="BP155" s="16"/>
      <c r="BQ155" s="16"/>
      <c r="CD155" s="176"/>
      <c r="CE155" s="240"/>
      <c r="CF155" s="240"/>
      <c r="CG155"/>
      <c r="CH155" s="16"/>
      <c r="CI155" s="16"/>
      <c r="CJ155" s="16"/>
    </row>
    <row r="156" spans="1:88" x14ac:dyDescent="0.2">
      <c r="K156" s="6"/>
      <c r="M156" s="9"/>
      <c r="X156" s="118"/>
      <c r="AG156" s="10"/>
      <c r="AJ156" s="8"/>
      <c r="AK156" s="9"/>
      <c r="AL156" s="8"/>
      <c r="AM156" s="239"/>
      <c r="AP156"/>
      <c r="AS156" s="1"/>
      <c r="BE156"/>
      <c r="BF156"/>
      <c r="BG156"/>
      <c r="BH156"/>
      <c r="BI156"/>
      <c r="BK156" s="239"/>
      <c r="BN156"/>
      <c r="BQ156" s="1"/>
      <c r="CD156" s="239"/>
      <c r="CG156"/>
      <c r="CJ156" s="1"/>
    </row>
    <row r="157" spans="1:88" x14ac:dyDescent="0.2">
      <c r="A157" s="8">
        <v>37</v>
      </c>
      <c r="B157" t="s">
        <v>143</v>
      </c>
      <c r="C157">
        <v>3</v>
      </c>
      <c r="D157" t="s">
        <v>17</v>
      </c>
      <c r="E157" t="s">
        <v>16</v>
      </c>
      <c r="F157" s="9">
        <v>16</v>
      </c>
      <c r="G157" s="26" t="s">
        <v>15</v>
      </c>
      <c r="H157" s="1">
        <v>18</v>
      </c>
      <c r="I157" s="11">
        <v>403</v>
      </c>
      <c r="J157" t="s">
        <v>14</v>
      </c>
      <c r="K157" s="6" t="s">
        <v>153</v>
      </c>
      <c r="L157" s="1"/>
      <c r="M157" s="6"/>
      <c r="N157" s="1">
        <v>165.80749949115744</v>
      </c>
      <c r="O157" s="18">
        <v>118882.50367033854</v>
      </c>
      <c r="P157" s="30">
        <v>3.4</v>
      </c>
      <c r="Q157" s="1"/>
      <c r="R157" s="1"/>
      <c r="S157" s="1"/>
      <c r="T157" s="1"/>
      <c r="U157" s="1"/>
      <c r="V157" s="1"/>
      <c r="W157" s="1"/>
      <c r="X157" s="118"/>
      <c r="Y157" s="1"/>
      <c r="Z157" s="1"/>
      <c r="AA157" s="1"/>
      <c r="AB157" s="1"/>
      <c r="AC157" s="1"/>
      <c r="AD157" s="1"/>
      <c r="AE157" s="96"/>
      <c r="AF157" s="98"/>
      <c r="AG157" s="24">
        <v>132.44444444444443</v>
      </c>
      <c r="AH157" s="8">
        <v>1.3</v>
      </c>
      <c r="AI157" s="16"/>
      <c r="AJ157" s="171"/>
      <c r="AK157" s="118"/>
      <c r="AL157" s="8"/>
      <c r="AM157" s="239"/>
      <c r="AN157" s="240"/>
      <c r="AO157" s="240"/>
      <c r="AP157"/>
      <c r="AQ157" s="16"/>
      <c r="AR157" s="16"/>
      <c r="AS157" s="16"/>
      <c r="BE157" s="188"/>
      <c r="BF157" s="188"/>
      <c r="BG157" s="188"/>
      <c r="BH157" s="188"/>
      <c r="BI157" s="98"/>
      <c r="BK157" s="239"/>
      <c r="BL157" s="240"/>
      <c r="BM157" s="240"/>
      <c r="BN157"/>
      <c r="BO157" s="16"/>
      <c r="BP157" s="16"/>
      <c r="BQ157" s="16"/>
      <c r="CD157" s="239"/>
      <c r="CE157" s="240"/>
      <c r="CF157" s="240"/>
      <c r="CG157"/>
      <c r="CH157" s="16"/>
      <c r="CI157" s="16"/>
      <c r="CJ157" s="16"/>
    </row>
    <row r="158" spans="1:88" x14ac:dyDescent="0.2">
      <c r="A158" s="8">
        <v>33</v>
      </c>
      <c r="B158" t="s">
        <v>143</v>
      </c>
      <c r="C158">
        <v>3</v>
      </c>
      <c r="D158" t="s">
        <v>17</v>
      </c>
      <c r="E158" t="s">
        <v>16</v>
      </c>
      <c r="F158" s="9">
        <v>14</v>
      </c>
      <c r="G158" s="26" t="s">
        <v>15</v>
      </c>
      <c r="H158" s="1">
        <v>18</v>
      </c>
      <c r="I158" s="11">
        <v>403</v>
      </c>
      <c r="J158" t="s">
        <v>14</v>
      </c>
      <c r="K158" s="6" t="s">
        <v>153</v>
      </c>
      <c r="L158" s="1"/>
      <c r="M158" s="6"/>
      <c r="N158" s="1">
        <v>165.80749949115744</v>
      </c>
      <c r="O158" s="18">
        <v>118882.50367033854</v>
      </c>
      <c r="P158" s="30">
        <v>3.4</v>
      </c>
      <c r="Q158" s="1"/>
      <c r="R158" s="1"/>
      <c r="S158" s="1"/>
      <c r="T158" s="1"/>
      <c r="U158" s="1"/>
      <c r="V158" s="1"/>
      <c r="W158" s="1"/>
      <c r="X158" s="118"/>
      <c r="Y158" s="1"/>
      <c r="Z158" s="1"/>
      <c r="AA158" s="1"/>
      <c r="AB158" s="1"/>
      <c r="AC158" s="1"/>
      <c r="AD158" s="1"/>
      <c r="AE158" s="96"/>
      <c r="AF158" s="98"/>
      <c r="AG158" s="24">
        <v>40.933333333333493</v>
      </c>
      <c r="AH158" s="8">
        <f>AVERAGE(0.38,0)</f>
        <v>0.19</v>
      </c>
      <c r="AI158" s="16"/>
      <c r="AJ158" s="171"/>
      <c r="AK158" s="118"/>
      <c r="AL158" s="8"/>
      <c r="AM158" s="239"/>
      <c r="AN158" s="240"/>
      <c r="AO158" s="240"/>
      <c r="AP158"/>
      <c r="AQ158" s="16"/>
      <c r="AR158" s="16"/>
      <c r="AS158" s="16"/>
      <c r="BE158" s="188"/>
      <c r="BF158" s="188"/>
      <c r="BG158" s="188"/>
      <c r="BH158" s="188"/>
      <c r="BI158" s="98"/>
      <c r="BK158" s="239"/>
      <c r="BL158" s="240"/>
      <c r="BM158" s="240"/>
      <c r="BN158"/>
      <c r="BO158" s="16"/>
      <c r="BP158" s="16"/>
      <c r="BQ158" s="16"/>
      <c r="CD158" s="239"/>
      <c r="CE158" s="240"/>
      <c r="CF158" s="240"/>
      <c r="CG158"/>
      <c r="CH158" s="16"/>
      <c r="CI158" s="16"/>
      <c r="CJ158" s="16"/>
    </row>
    <row r="159" spans="1:88" x14ac:dyDescent="0.2">
      <c r="A159" s="8">
        <v>28</v>
      </c>
      <c r="B159" t="s">
        <v>143</v>
      </c>
      <c r="C159">
        <v>3</v>
      </c>
      <c r="D159" t="s">
        <v>17</v>
      </c>
      <c r="E159" t="s">
        <v>20</v>
      </c>
      <c r="F159" s="9">
        <v>59</v>
      </c>
      <c r="G159" s="26" t="s">
        <v>15</v>
      </c>
      <c r="H159" s="1">
        <v>18</v>
      </c>
      <c r="I159" s="11">
        <v>403</v>
      </c>
      <c r="J159" t="s">
        <v>14</v>
      </c>
      <c r="K159" s="6" t="s">
        <v>153</v>
      </c>
      <c r="L159" s="1"/>
      <c r="M159" s="6"/>
      <c r="N159" s="1">
        <v>165.80749949115744</v>
      </c>
      <c r="O159" s="18">
        <v>118882.50367033854</v>
      </c>
      <c r="P159" s="30">
        <v>3.4</v>
      </c>
      <c r="Q159" s="1"/>
      <c r="R159" s="1"/>
      <c r="S159" s="1"/>
      <c r="T159" s="1"/>
      <c r="U159" s="1"/>
      <c r="V159" s="1"/>
      <c r="W159" s="1"/>
      <c r="X159" s="118"/>
      <c r="Y159" s="1"/>
      <c r="Z159" s="1"/>
      <c r="AA159" s="1"/>
      <c r="AB159" s="1"/>
      <c r="AC159" s="1"/>
      <c r="AD159" s="1"/>
      <c r="AE159" s="96"/>
      <c r="AF159" s="98"/>
      <c r="AG159" s="24">
        <v>18.377777777777773</v>
      </c>
      <c r="AH159" s="8">
        <v>0.09</v>
      </c>
      <c r="AI159" s="16"/>
      <c r="AJ159" s="171"/>
      <c r="AK159" s="118"/>
      <c r="AL159" s="8"/>
      <c r="AM159" s="239"/>
      <c r="AN159" s="240"/>
      <c r="AO159" s="240"/>
      <c r="AP159"/>
      <c r="AQ159" s="16"/>
      <c r="AR159" s="16"/>
      <c r="AS159" s="16"/>
      <c r="BE159" s="188"/>
      <c r="BF159" s="188"/>
      <c r="BG159" s="188"/>
      <c r="BH159" s="188"/>
      <c r="BI159" s="98"/>
      <c r="BK159" s="239"/>
      <c r="BL159" s="240"/>
      <c r="BM159" s="240"/>
      <c r="BN159"/>
      <c r="BO159" s="16"/>
      <c r="BP159" s="16"/>
      <c r="BQ159" s="16"/>
      <c r="CD159" s="239"/>
      <c r="CE159" s="240"/>
      <c r="CF159" s="240"/>
      <c r="CG159"/>
      <c r="CH159" s="16"/>
      <c r="CI159" s="16"/>
      <c r="CJ159" s="16"/>
    </row>
    <row r="160" spans="1:88" x14ac:dyDescent="0.2">
      <c r="A160" s="8">
        <v>40</v>
      </c>
      <c r="B160" t="s">
        <v>143</v>
      </c>
      <c r="C160">
        <v>3</v>
      </c>
      <c r="D160" t="s">
        <v>17</v>
      </c>
      <c r="E160" t="s">
        <v>16</v>
      </c>
      <c r="F160" s="9">
        <v>17</v>
      </c>
      <c r="G160" s="26" t="s">
        <v>15</v>
      </c>
      <c r="H160" s="1">
        <v>18</v>
      </c>
      <c r="I160" s="11">
        <v>403</v>
      </c>
      <c r="J160" t="s">
        <v>14</v>
      </c>
      <c r="K160" s="6" t="s">
        <v>153</v>
      </c>
      <c r="L160" s="1"/>
      <c r="M160" s="6"/>
      <c r="N160" s="1">
        <v>165.80749949115744</v>
      </c>
      <c r="O160" s="18">
        <v>118882.50367033854</v>
      </c>
      <c r="P160" s="30">
        <v>3.4</v>
      </c>
      <c r="Q160" s="1"/>
      <c r="R160" s="1"/>
      <c r="S160" s="1"/>
      <c r="T160" s="1"/>
      <c r="U160" s="1"/>
      <c r="V160" s="1"/>
      <c r="W160" s="1"/>
      <c r="X160" s="118"/>
      <c r="Y160" s="1"/>
      <c r="Z160" s="1"/>
      <c r="AA160" s="1"/>
      <c r="AB160" s="1"/>
      <c r="AC160" s="1"/>
      <c r="AD160" s="1"/>
      <c r="AE160" s="96"/>
      <c r="AF160" s="98"/>
      <c r="AG160" s="24">
        <v>2.960000000000008</v>
      </c>
      <c r="AH160" s="8">
        <v>0.08</v>
      </c>
      <c r="AI160" s="16"/>
      <c r="AJ160" s="171"/>
      <c r="AK160" s="118"/>
      <c r="AL160" s="8"/>
      <c r="AM160" s="239"/>
      <c r="AP160"/>
      <c r="AQ160" s="16"/>
      <c r="AR160" s="16"/>
      <c r="AS160" s="16"/>
      <c r="BE160" s="188"/>
      <c r="BF160" s="188"/>
      <c r="BG160" s="188"/>
      <c r="BH160" s="188"/>
      <c r="BI160" s="98"/>
      <c r="BK160" s="239"/>
      <c r="BN160"/>
      <c r="BO160" s="16"/>
      <c r="BP160" s="16"/>
      <c r="BQ160" s="16"/>
      <c r="CD160" s="239"/>
      <c r="CG160"/>
      <c r="CH160" s="16"/>
      <c r="CI160" s="16"/>
      <c r="CJ160" s="16"/>
    </row>
    <row r="161" spans="1:88" x14ac:dyDescent="0.2">
      <c r="A161" s="8">
        <v>30</v>
      </c>
      <c r="B161" t="s">
        <v>143</v>
      </c>
      <c r="C161">
        <v>3</v>
      </c>
      <c r="D161" t="s">
        <v>17</v>
      </c>
      <c r="E161" t="s">
        <v>16</v>
      </c>
      <c r="F161" s="9">
        <v>11</v>
      </c>
      <c r="G161" s="26" t="s">
        <v>15</v>
      </c>
      <c r="H161" s="1">
        <v>18</v>
      </c>
      <c r="I161" s="11">
        <v>403</v>
      </c>
      <c r="J161" t="s">
        <v>14</v>
      </c>
      <c r="K161" s="6" t="s">
        <v>153</v>
      </c>
      <c r="L161" s="1"/>
      <c r="M161" s="6"/>
      <c r="N161" s="1">
        <v>165.80749949115744</v>
      </c>
      <c r="O161" s="18">
        <v>118882.50367033854</v>
      </c>
      <c r="P161" s="30">
        <v>3.4</v>
      </c>
      <c r="Q161" s="1"/>
      <c r="R161" s="1"/>
      <c r="S161" s="1"/>
      <c r="T161" s="1"/>
      <c r="U161" s="1"/>
      <c r="V161" s="1"/>
      <c r="W161" s="1"/>
      <c r="X161" s="118"/>
      <c r="Y161" s="1"/>
      <c r="Z161" s="1"/>
      <c r="AA161" s="1"/>
      <c r="AB161" s="1"/>
      <c r="AC161" s="1"/>
      <c r="AD161" s="1"/>
      <c r="AE161" s="96"/>
      <c r="AF161" s="98"/>
      <c r="AG161" s="24">
        <v>0.11800000000000005</v>
      </c>
      <c r="AH161" s="8">
        <v>0.05</v>
      </c>
      <c r="AI161" s="16"/>
      <c r="AJ161" s="171"/>
      <c r="AK161" s="118"/>
      <c r="AL161" s="8"/>
      <c r="AM161" s="239"/>
      <c r="AP161"/>
      <c r="AS161" s="1"/>
      <c r="BE161" s="188"/>
      <c r="BF161" s="188"/>
      <c r="BG161" s="188"/>
      <c r="BH161" s="188"/>
      <c r="BI161" s="98"/>
      <c r="BK161" s="239"/>
      <c r="BN161"/>
      <c r="BQ161" s="1"/>
      <c r="CD161" s="239"/>
      <c r="CG161"/>
      <c r="CJ161" s="1"/>
    </row>
    <row r="162" spans="1:88" x14ac:dyDescent="0.2">
      <c r="A162" s="21" t="s">
        <v>18</v>
      </c>
      <c r="B162" t="s">
        <v>143</v>
      </c>
      <c r="C162">
        <v>3</v>
      </c>
      <c r="D162" t="s">
        <v>17</v>
      </c>
      <c r="E162" t="s">
        <v>16</v>
      </c>
      <c r="F162" s="9">
        <v>22</v>
      </c>
      <c r="G162" s="26" t="s">
        <v>15</v>
      </c>
      <c r="H162" s="1">
        <v>18</v>
      </c>
      <c r="I162" s="11">
        <v>403</v>
      </c>
      <c r="J162" t="s">
        <v>14</v>
      </c>
      <c r="K162" s="6" t="s">
        <v>153</v>
      </c>
      <c r="L162" s="1"/>
      <c r="M162" s="6"/>
      <c r="N162" s="1">
        <v>165.80749949115744</v>
      </c>
      <c r="O162" s="18">
        <v>118882.50367033854</v>
      </c>
      <c r="P162" s="30">
        <v>3.4</v>
      </c>
      <c r="Q162" s="1"/>
      <c r="R162" s="1"/>
      <c r="S162" s="1"/>
      <c r="T162" s="1"/>
      <c r="U162" s="1"/>
      <c r="V162" s="1"/>
      <c r="W162" s="1"/>
      <c r="X162" s="118"/>
      <c r="Y162" s="1"/>
      <c r="Z162" s="1"/>
      <c r="AA162" s="1"/>
      <c r="AB162" s="1"/>
      <c r="AC162" s="1"/>
      <c r="AD162" s="1"/>
      <c r="AE162" s="96"/>
      <c r="AF162" s="98"/>
      <c r="AG162" s="24">
        <v>0.10000000000000002</v>
      </c>
      <c r="AH162" s="8">
        <v>0</v>
      </c>
      <c r="AI162" s="99">
        <v>0.05</v>
      </c>
      <c r="AJ162" s="171"/>
      <c r="AK162" s="118"/>
      <c r="AL162" s="8"/>
      <c r="AM162" s="176"/>
      <c r="AN162" s="240"/>
      <c r="AO162" s="240"/>
      <c r="AP162"/>
      <c r="AQ162" s="16"/>
      <c r="AR162" s="16"/>
      <c r="AS162" s="16"/>
      <c r="BE162" s="188"/>
      <c r="BF162" s="188"/>
      <c r="BG162" s="188"/>
      <c r="BH162" s="188"/>
      <c r="BI162" s="98"/>
      <c r="BK162" s="176"/>
      <c r="BL162" s="240"/>
      <c r="BM162" s="240"/>
      <c r="BN162"/>
      <c r="BO162" s="16"/>
      <c r="BP162" s="16"/>
      <c r="BQ162" s="16"/>
      <c r="CD162" s="176"/>
      <c r="CE162" s="240"/>
      <c r="CF162" s="240"/>
      <c r="CG162"/>
      <c r="CH162" s="16"/>
      <c r="CI162" s="16"/>
      <c r="CJ162" s="16"/>
    </row>
    <row r="163" spans="1:88" x14ac:dyDescent="0.2">
      <c r="A163" s="21" t="s">
        <v>18</v>
      </c>
      <c r="B163" t="s">
        <v>143</v>
      </c>
      <c r="C163">
        <v>3</v>
      </c>
      <c r="D163" t="s">
        <v>17</v>
      </c>
      <c r="E163" t="s">
        <v>16</v>
      </c>
      <c r="F163" s="9">
        <v>23</v>
      </c>
      <c r="G163" s="26" t="s">
        <v>15</v>
      </c>
      <c r="H163" s="1">
        <v>18</v>
      </c>
      <c r="I163" s="11">
        <v>403</v>
      </c>
      <c r="J163" t="s">
        <v>14</v>
      </c>
      <c r="K163" s="6" t="s">
        <v>153</v>
      </c>
      <c r="L163" s="1"/>
      <c r="M163" s="6"/>
      <c r="N163" s="1">
        <v>165.80749949115744</v>
      </c>
      <c r="O163" s="18">
        <v>118882.50367033854</v>
      </c>
      <c r="P163" s="30">
        <v>3.4</v>
      </c>
      <c r="Q163" s="1"/>
      <c r="R163" s="1"/>
      <c r="S163" s="1"/>
      <c r="T163" s="1"/>
      <c r="U163" s="1"/>
      <c r="V163" s="1"/>
      <c r="W163" s="1"/>
      <c r="X163" s="118"/>
      <c r="Y163" s="1"/>
      <c r="Z163" s="1"/>
      <c r="AA163" s="1"/>
      <c r="AB163" s="1"/>
      <c r="AC163" s="1"/>
      <c r="AD163" s="1"/>
      <c r="AE163" s="96"/>
      <c r="AF163" s="98"/>
      <c r="AG163" s="24">
        <v>0.10000000000000002</v>
      </c>
      <c r="AH163" s="8">
        <v>0</v>
      </c>
      <c r="AI163" s="99">
        <v>0.05</v>
      </c>
      <c r="AJ163" s="171"/>
      <c r="AK163" s="118"/>
      <c r="AL163" s="8"/>
      <c r="AM163" s="176"/>
      <c r="AN163" s="240"/>
      <c r="AO163" s="240"/>
      <c r="AP163"/>
      <c r="AQ163" s="16"/>
      <c r="AR163" s="16"/>
      <c r="AS163" s="16"/>
      <c r="BE163" s="188"/>
      <c r="BF163" s="188"/>
      <c r="BG163" s="188"/>
      <c r="BH163" s="188"/>
      <c r="BI163" s="98"/>
      <c r="BK163" s="176"/>
      <c r="BL163" s="240"/>
      <c r="BM163" s="240"/>
      <c r="BN163"/>
      <c r="BO163" s="16"/>
      <c r="BP163" s="16"/>
      <c r="BQ163" s="16"/>
      <c r="CD163" s="176"/>
      <c r="CE163" s="240"/>
      <c r="CF163" s="240"/>
      <c r="CG163"/>
      <c r="CH163" s="16"/>
      <c r="CI163" s="16"/>
      <c r="CJ163" s="16"/>
    </row>
    <row r="164" spans="1:88" x14ac:dyDescent="0.2">
      <c r="A164" s="21"/>
      <c r="B164" s="13"/>
      <c r="F164" s="9"/>
      <c r="G164" s="26"/>
      <c r="I164" s="11"/>
      <c r="K164" s="6"/>
      <c r="L164" s="1"/>
      <c r="M164" s="6"/>
      <c r="O164" s="18"/>
      <c r="P164" s="1"/>
      <c r="Q164" s="1"/>
      <c r="R164" s="1"/>
      <c r="S164" s="1"/>
      <c r="T164" s="1"/>
      <c r="U164" s="1"/>
      <c r="V164" s="1"/>
      <c r="W164" s="1"/>
      <c r="X164" s="14"/>
      <c r="Y164" s="1"/>
      <c r="Z164" s="1"/>
      <c r="AA164" s="1"/>
      <c r="AB164" s="1"/>
      <c r="AC164" s="1"/>
      <c r="AD164" s="1"/>
      <c r="AE164" s="1"/>
      <c r="AF164" s="16"/>
      <c r="AG164" s="24"/>
      <c r="AH164" s="8"/>
      <c r="AI164" s="16"/>
      <c r="AJ164" s="8"/>
      <c r="AK164" s="9"/>
      <c r="AL164" s="8"/>
      <c r="AM164" s="176"/>
      <c r="AN164" s="240"/>
      <c r="AO164" s="240"/>
      <c r="AP164"/>
      <c r="AQ164" s="16"/>
      <c r="AR164" s="16"/>
      <c r="AS164" s="16"/>
      <c r="BE164"/>
      <c r="BF164"/>
      <c r="BG164"/>
      <c r="BH164"/>
      <c r="BI164"/>
      <c r="BK164" s="176"/>
      <c r="BL164" s="240"/>
      <c r="BM164" s="240"/>
      <c r="BN164"/>
      <c r="BO164" s="16"/>
      <c r="BP164" s="16"/>
      <c r="BQ164" s="16"/>
      <c r="CD164" s="176"/>
      <c r="CE164" s="240"/>
      <c r="CF164" s="240"/>
      <c r="CG164"/>
      <c r="CH164" s="16"/>
      <c r="CI164" s="16"/>
      <c r="CJ164" s="16"/>
    </row>
    <row r="165" spans="1:88" x14ac:dyDescent="0.2">
      <c r="A165" s="8">
        <v>38</v>
      </c>
      <c r="B165" t="s">
        <v>143</v>
      </c>
      <c r="C165">
        <v>3</v>
      </c>
      <c r="D165" t="s">
        <v>17</v>
      </c>
      <c r="E165" t="s">
        <v>16</v>
      </c>
      <c r="F165" s="9">
        <v>16</v>
      </c>
      <c r="G165" s="26" t="s">
        <v>15</v>
      </c>
      <c r="H165" s="1">
        <v>18</v>
      </c>
      <c r="I165" s="11">
        <v>405</v>
      </c>
      <c r="J165" t="s">
        <v>19</v>
      </c>
      <c r="K165" s="6" t="s">
        <v>182</v>
      </c>
      <c r="L165" s="1"/>
      <c r="M165" s="6"/>
      <c r="N165" s="1">
        <v>131.4</v>
      </c>
      <c r="O165" s="18">
        <v>1164844.1611748487</v>
      </c>
      <c r="P165" s="30">
        <v>2.61</v>
      </c>
      <c r="Q165" s="1"/>
      <c r="R165" s="1"/>
      <c r="S165" s="1"/>
      <c r="T165" s="1"/>
      <c r="U165" s="1"/>
      <c r="V165" s="1"/>
      <c r="W165" s="1"/>
      <c r="X165" s="118"/>
      <c r="Y165" s="1"/>
      <c r="Z165" s="1"/>
      <c r="AA165" s="1"/>
      <c r="AB165" s="1"/>
      <c r="AC165" s="1"/>
      <c r="AD165" s="1"/>
      <c r="AE165" s="96"/>
      <c r="AF165" s="98"/>
      <c r="AG165" s="24">
        <v>27.711111111111112</v>
      </c>
      <c r="AH165" s="8">
        <v>0.68</v>
      </c>
      <c r="AI165" s="16"/>
      <c r="AJ165" s="171"/>
      <c r="AK165" s="118"/>
      <c r="AL165" s="8"/>
      <c r="AM165" s="239"/>
      <c r="AP165"/>
      <c r="AS165" s="1"/>
      <c r="BE165" s="188"/>
      <c r="BF165" s="188"/>
      <c r="BG165" s="188"/>
      <c r="BH165" s="188"/>
      <c r="BI165" s="98"/>
      <c r="BK165" s="239"/>
      <c r="BN165"/>
      <c r="BQ165" s="1"/>
      <c r="CD165" s="239"/>
      <c r="CG165"/>
      <c r="CJ165" s="1"/>
    </row>
    <row r="166" spans="1:88" x14ac:dyDescent="0.2">
      <c r="A166" s="8">
        <v>31</v>
      </c>
      <c r="B166" t="s">
        <v>143</v>
      </c>
      <c r="C166">
        <v>3</v>
      </c>
      <c r="D166" t="s">
        <v>17</v>
      </c>
      <c r="E166" t="s">
        <v>16</v>
      </c>
      <c r="F166" s="9">
        <v>11</v>
      </c>
      <c r="G166" s="26" t="s">
        <v>15</v>
      </c>
      <c r="H166" s="1">
        <v>18</v>
      </c>
      <c r="I166" s="11">
        <v>405</v>
      </c>
      <c r="J166" t="s">
        <v>19</v>
      </c>
      <c r="K166" s="6" t="s">
        <v>182</v>
      </c>
      <c r="L166" s="1"/>
      <c r="M166" s="6"/>
      <c r="N166" s="1">
        <v>131.4</v>
      </c>
      <c r="O166" s="18">
        <v>1164844.1611748487</v>
      </c>
      <c r="P166" s="30">
        <v>2.61</v>
      </c>
      <c r="Q166" s="1"/>
      <c r="R166" s="1"/>
      <c r="S166" s="1"/>
      <c r="T166" s="1"/>
      <c r="U166" s="1"/>
      <c r="V166" s="1"/>
      <c r="W166" s="1"/>
      <c r="X166" s="118"/>
      <c r="Y166" s="1"/>
      <c r="Z166" s="1"/>
      <c r="AA166" s="1"/>
      <c r="AB166" s="1"/>
      <c r="AC166" s="1"/>
      <c r="AD166" s="1"/>
      <c r="AE166" s="96"/>
      <c r="AF166" s="98"/>
      <c r="AG166" s="24">
        <v>15.266666666666675</v>
      </c>
      <c r="AH166" s="8">
        <v>7.0000000000000007E-2</v>
      </c>
      <c r="AI166" s="16"/>
      <c r="AJ166" s="171"/>
      <c r="AK166" s="118"/>
      <c r="AL166" s="8"/>
      <c r="AM166" s="239"/>
      <c r="AP166"/>
      <c r="AQ166" s="16"/>
      <c r="AR166" s="16"/>
      <c r="AS166" s="16"/>
      <c r="BE166" s="188"/>
      <c r="BF166" s="188"/>
      <c r="BG166" s="188"/>
      <c r="BH166" s="188"/>
      <c r="BI166" s="98"/>
      <c r="BK166" s="239"/>
      <c r="BN166"/>
      <c r="BO166" s="16"/>
      <c r="BP166" s="16"/>
      <c r="BQ166" s="16"/>
      <c r="CD166" s="239"/>
      <c r="CG166"/>
      <c r="CH166" s="16"/>
      <c r="CI166" s="16"/>
      <c r="CJ166" s="16"/>
    </row>
    <row r="167" spans="1:88" x14ac:dyDescent="0.2">
      <c r="A167" s="8">
        <v>41</v>
      </c>
      <c r="B167" t="s">
        <v>143</v>
      </c>
      <c r="C167">
        <v>3</v>
      </c>
      <c r="D167" t="s">
        <v>17</v>
      </c>
      <c r="E167" t="s">
        <v>16</v>
      </c>
      <c r="F167" s="9">
        <v>17</v>
      </c>
      <c r="G167" s="26" t="s">
        <v>15</v>
      </c>
      <c r="H167" s="1">
        <v>18</v>
      </c>
      <c r="I167" s="11">
        <v>405</v>
      </c>
      <c r="J167" t="s">
        <v>19</v>
      </c>
      <c r="K167" s="6" t="s">
        <v>182</v>
      </c>
      <c r="L167" s="1"/>
      <c r="M167" s="6"/>
      <c r="N167" s="1">
        <v>131.4</v>
      </c>
      <c r="O167" s="18">
        <v>1164844.1611748487</v>
      </c>
      <c r="P167" s="30">
        <v>2.61</v>
      </c>
      <c r="Q167" s="1"/>
      <c r="R167" s="1"/>
      <c r="S167" s="1"/>
      <c r="T167" s="1"/>
      <c r="U167" s="1"/>
      <c r="V167" s="1"/>
      <c r="W167" s="1"/>
      <c r="X167" s="118"/>
      <c r="Y167" s="1"/>
      <c r="Z167" s="1"/>
      <c r="AA167" s="1"/>
      <c r="AB167" s="1"/>
      <c r="AC167" s="1"/>
      <c r="AD167" s="1"/>
      <c r="AE167" s="96"/>
      <c r="AF167" s="98"/>
      <c r="AG167" s="24">
        <v>6.2666666666666648</v>
      </c>
      <c r="AH167" s="8">
        <v>0.06</v>
      </c>
      <c r="AI167" s="16"/>
      <c r="AJ167" s="171"/>
      <c r="AK167" s="118"/>
      <c r="AL167" s="8"/>
      <c r="AM167" s="239"/>
      <c r="AP167"/>
      <c r="AS167" s="1"/>
      <c r="BE167" s="188"/>
      <c r="BF167" s="188"/>
      <c r="BG167" s="188"/>
      <c r="BH167" s="188"/>
      <c r="BI167" s="98"/>
      <c r="BK167" s="239"/>
      <c r="BN167"/>
      <c r="BQ167" s="1"/>
      <c r="CD167" s="239"/>
      <c r="CG167"/>
      <c r="CJ167" s="1"/>
    </row>
    <row r="168" spans="1:88" x14ac:dyDescent="0.2">
      <c r="A168" s="8">
        <v>29</v>
      </c>
      <c r="B168" t="s">
        <v>143</v>
      </c>
      <c r="C168">
        <v>3</v>
      </c>
      <c r="D168" t="s">
        <v>17</v>
      </c>
      <c r="E168" t="s">
        <v>20</v>
      </c>
      <c r="F168" s="9">
        <v>59</v>
      </c>
      <c r="G168" s="26" t="s">
        <v>15</v>
      </c>
      <c r="H168" s="1">
        <v>18</v>
      </c>
      <c r="I168" s="11">
        <v>405</v>
      </c>
      <c r="J168" t="s">
        <v>19</v>
      </c>
      <c r="K168" s="6" t="s">
        <v>182</v>
      </c>
      <c r="L168" s="1"/>
      <c r="M168" s="6"/>
      <c r="N168" s="1">
        <v>131.4</v>
      </c>
      <c r="O168" s="18">
        <v>1164844.1611748487</v>
      </c>
      <c r="P168" s="30">
        <v>2.61</v>
      </c>
      <c r="Q168" s="1"/>
      <c r="R168" s="1"/>
      <c r="S168" s="1"/>
      <c r="T168" s="1"/>
      <c r="U168" s="1"/>
      <c r="V168" s="1"/>
      <c r="W168" s="1"/>
      <c r="X168" s="118"/>
      <c r="Y168" s="1"/>
      <c r="Z168" s="1"/>
      <c r="AA168" s="1"/>
      <c r="AB168" s="1"/>
      <c r="AC168" s="1"/>
      <c r="AD168" s="1"/>
      <c r="AE168" s="96"/>
      <c r="AF168" s="98"/>
      <c r="AG168" s="24">
        <v>3.7</v>
      </c>
      <c r="AH168" s="8">
        <v>0.05</v>
      </c>
      <c r="AI168" s="16"/>
      <c r="AJ168" s="171"/>
      <c r="AK168" s="118"/>
      <c r="AL168" s="8"/>
      <c r="AM168" s="239"/>
      <c r="AP168"/>
      <c r="AS168" s="1"/>
      <c r="BE168" s="188"/>
      <c r="BF168" s="188"/>
      <c r="BG168" s="188"/>
      <c r="BH168" s="188"/>
      <c r="BI168" s="98"/>
      <c r="BK168" s="239"/>
      <c r="BN168"/>
      <c r="BQ168" s="1"/>
      <c r="CD168" s="239"/>
      <c r="CG168"/>
      <c r="CJ168" s="1"/>
    </row>
    <row r="169" spans="1:88" x14ac:dyDescent="0.2">
      <c r="A169" s="8">
        <v>34</v>
      </c>
      <c r="B169" t="s">
        <v>143</v>
      </c>
      <c r="C169">
        <v>3</v>
      </c>
      <c r="D169" t="s">
        <v>17</v>
      </c>
      <c r="E169" t="s">
        <v>16</v>
      </c>
      <c r="F169" s="9">
        <v>14</v>
      </c>
      <c r="G169" s="26" t="s">
        <v>15</v>
      </c>
      <c r="H169" s="1">
        <v>18</v>
      </c>
      <c r="I169" s="11">
        <v>405</v>
      </c>
      <c r="J169" t="s">
        <v>19</v>
      </c>
      <c r="K169" s="6" t="s">
        <v>182</v>
      </c>
      <c r="L169" s="1"/>
      <c r="M169" s="6"/>
      <c r="N169" s="1">
        <v>131.4</v>
      </c>
      <c r="O169" s="18">
        <v>1164844.1611748487</v>
      </c>
      <c r="P169" s="30">
        <v>2.61</v>
      </c>
      <c r="Q169" s="1"/>
      <c r="R169" s="1"/>
      <c r="S169" s="1"/>
      <c r="T169" s="1"/>
      <c r="U169" s="1"/>
      <c r="V169" s="1"/>
      <c r="W169" s="1"/>
      <c r="X169" s="118"/>
      <c r="Y169" s="1"/>
      <c r="Z169" s="1"/>
      <c r="AA169" s="1"/>
      <c r="AB169" s="1"/>
      <c r="AC169" s="1"/>
      <c r="AD169" s="1"/>
      <c r="AE169" s="96"/>
      <c r="AF169" s="98"/>
      <c r="AG169" s="24">
        <v>0.86000000000000087</v>
      </c>
      <c r="AH169" s="8">
        <f>AVERAGE(0.05,0)</f>
        <v>2.5000000000000001E-2</v>
      </c>
      <c r="AI169" s="16"/>
      <c r="AJ169" s="171"/>
      <c r="AK169" s="118"/>
      <c r="AL169" s="8"/>
      <c r="AM169" s="239"/>
      <c r="AP169"/>
      <c r="AS169" s="1"/>
      <c r="BE169" s="188"/>
      <c r="BF169" s="188"/>
      <c r="BG169" s="188"/>
      <c r="BH169" s="188"/>
      <c r="BI169" s="98"/>
      <c r="BK169" s="239"/>
      <c r="BN169"/>
      <c r="BQ169" s="1"/>
      <c r="CD169" s="239"/>
      <c r="CG169"/>
      <c r="CJ169" s="1"/>
    </row>
    <row r="170" spans="1:88" x14ac:dyDescent="0.2">
      <c r="A170" s="21" t="s">
        <v>18</v>
      </c>
      <c r="B170" t="s">
        <v>143</v>
      </c>
      <c r="C170">
        <v>3</v>
      </c>
      <c r="D170" t="s">
        <v>17</v>
      </c>
      <c r="E170" t="s">
        <v>16</v>
      </c>
      <c r="F170" s="9">
        <v>22</v>
      </c>
      <c r="G170" s="26" t="s">
        <v>15</v>
      </c>
      <c r="H170" s="1">
        <v>18</v>
      </c>
      <c r="I170" s="11">
        <v>405</v>
      </c>
      <c r="J170" t="s">
        <v>14</v>
      </c>
      <c r="K170" s="6" t="s">
        <v>182</v>
      </c>
      <c r="L170" s="1"/>
      <c r="M170" s="6"/>
      <c r="N170" s="1">
        <v>131.4</v>
      </c>
      <c r="O170" s="18">
        <v>1164844.1611748487</v>
      </c>
      <c r="P170" s="30">
        <v>2.61</v>
      </c>
      <c r="Q170" s="1"/>
      <c r="R170" s="1"/>
      <c r="S170" s="1"/>
      <c r="T170" s="1"/>
      <c r="U170" s="1"/>
      <c r="V170" s="1"/>
      <c r="W170" s="1"/>
      <c r="X170" s="118"/>
      <c r="Y170" s="1"/>
      <c r="Z170" s="1"/>
      <c r="AA170" s="1"/>
      <c r="AB170" s="1"/>
      <c r="AC170" s="1"/>
      <c r="AD170" s="1"/>
      <c r="AE170" s="96"/>
      <c r="AF170" s="98"/>
      <c r="AG170" s="24">
        <v>0.33933333333333338</v>
      </c>
      <c r="AH170" s="8">
        <v>0</v>
      </c>
      <c r="AI170" s="99">
        <v>0.05</v>
      </c>
      <c r="AJ170" s="171"/>
      <c r="AK170" s="118"/>
      <c r="AL170" s="8"/>
      <c r="AM170" s="176"/>
      <c r="AN170" s="240"/>
      <c r="AO170" s="240"/>
      <c r="AP170"/>
      <c r="AQ170" s="16"/>
      <c r="AR170" s="16"/>
      <c r="AS170" s="16"/>
      <c r="BE170" s="188"/>
      <c r="BF170" s="188"/>
      <c r="BG170" s="188"/>
      <c r="BH170" s="188"/>
      <c r="BI170" s="98"/>
      <c r="BK170" s="176"/>
      <c r="BL170" s="240"/>
      <c r="BM170" s="240"/>
      <c r="BN170"/>
      <c r="BO170" s="16"/>
      <c r="BP170" s="16"/>
      <c r="BQ170" s="16"/>
      <c r="CD170" s="176"/>
      <c r="CE170" s="240"/>
      <c r="CF170" s="240"/>
      <c r="CG170"/>
      <c r="CH170" s="16"/>
      <c r="CI170" s="16"/>
      <c r="CJ170" s="16"/>
    </row>
    <row r="171" spans="1:88" x14ac:dyDescent="0.2">
      <c r="A171" s="21" t="s">
        <v>18</v>
      </c>
      <c r="B171" t="s">
        <v>143</v>
      </c>
      <c r="C171">
        <v>3</v>
      </c>
      <c r="D171" t="s">
        <v>17</v>
      </c>
      <c r="E171" t="s">
        <v>16</v>
      </c>
      <c r="F171" s="9">
        <v>23</v>
      </c>
      <c r="G171" s="26" t="s">
        <v>15</v>
      </c>
      <c r="H171" s="1">
        <v>18</v>
      </c>
      <c r="I171" s="11">
        <v>405</v>
      </c>
      <c r="J171" t="s">
        <v>14</v>
      </c>
      <c r="K171" s="6" t="s">
        <v>182</v>
      </c>
      <c r="L171" s="1"/>
      <c r="M171" s="6"/>
      <c r="N171" s="1">
        <v>131.4</v>
      </c>
      <c r="O171" s="18">
        <v>1164844.1611748487</v>
      </c>
      <c r="P171" s="30">
        <v>2.61</v>
      </c>
      <c r="Q171" s="1"/>
      <c r="R171" s="1"/>
      <c r="S171" s="1"/>
      <c r="T171" s="1"/>
      <c r="U171" s="1"/>
      <c r="V171" s="1"/>
      <c r="W171" s="1"/>
      <c r="X171" s="118"/>
      <c r="Y171" s="1"/>
      <c r="Z171" s="1"/>
      <c r="AA171" s="1"/>
      <c r="AB171" s="1"/>
      <c r="AC171" s="1"/>
      <c r="AD171" s="1"/>
      <c r="AE171" s="96"/>
      <c r="AF171" s="98"/>
      <c r="AG171" s="24">
        <v>0.26666666666666666</v>
      </c>
      <c r="AH171" s="8">
        <v>0</v>
      </c>
      <c r="AI171" s="99">
        <v>0.05</v>
      </c>
      <c r="AJ171" s="171"/>
      <c r="AK171" s="118"/>
      <c r="AL171" s="8"/>
      <c r="AM171" s="176"/>
      <c r="AN171" s="240"/>
      <c r="AO171" s="240"/>
      <c r="AP171"/>
      <c r="AQ171" s="16"/>
      <c r="AR171" s="16"/>
      <c r="AS171" s="16"/>
      <c r="BE171" s="188"/>
      <c r="BF171" s="188"/>
      <c r="BG171" s="188"/>
      <c r="BH171" s="188"/>
      <c r="BI171" s="98"/>
      <c r="BK171" s="176"/>
      <c r="BL171" s="240"/>
      <c r="BM171" s="240"/>
      <c r="BN171"/>
      <c r="BO171" s="16"/>
      <c r="BP171" s="16"/>
      <c r="BQ171" s="16"/>
      <c r="CD171" s="176"/>
      <c r="CE171" s="240"/>
      <c r="CF171" s="240"/>
      <c r="CG171"/>
      <c r="CH171" s="16"/>
      <c r="CI171" s="16"/>
      <c r="CJ171" s="16"/>
    </row>
    <row r="172" spans="1:88" x14ac:dyDescent="0.2">
      <c r="A172" s="104" t="s">
        <v>13</v>
      </c>
      <c r="B172" s="105"/>
      <c r="C172" s="46"/>
      <c r="D172" s="46"/>
      <c r="E172" s="46"/>
      <c r="F172" s="51"/>
      <c r="G172" s="46"/>
      <c r="H172" s="52"/>
      <c r="I172" s="55"/>
      <c r="J172" s="46"/>
      <c r="K172" s="54"/>
      <c r="L172" s="46"/>
      <c r="M172" s="51"/>
      <c r="N172" s="52"/>
      <c r="O172" s="52"/>
      <c r="P172" s="46"/>
      <c r="Q172" s="46"/>
      <c r="R172" s="46"/>
      <c r="S172" s="46"/>
      <c r="T172" s="46"/>
      <c r="U172" s="46"/>
      <c r="V172" s="46"/>
      <c r="W172" s="46"/>
      <c r="X172" s="51"/>
      <c r="Y172" s="46"/>
      <c r="Z172" s="46"/>
      <c r="AA172" s="46"/>
      <c r="AB172" s="46"/>
      <c r="AC172" s="46"/>
      <c r="AD172" s="46"/>
      <c r="AE172" s="46"/>
      <c r="AF172" s="46"/>
      <c r="AG172" s="122"/>
      <c r="AH172" s="55"/>
      <c r="AI172" s="46"/>
      <c r="AJ172" s="170"/>
      <c r="AK172" s="54"/>
      <c r="AL172" s="8"/>
      <c r="AP172"/>
      <c r="AS172" s="1"/>
      <c r="BN172"/>
      <c r="BQ172" s="1"/>
      <c r="CG172"/>
      <c r="CJ172" s="1"/>
    </row>
    <row r="173" spans="1:88" x14ac:dyDescent="0.2">
      <c r="A173" s="8">
        <v>1</v>
      </c>
      <c r="B173" t="s">
        <v>143</v>
      </c>
      <c r="C173">
        <v>1</v>
      </c>
      <c r="D173" s="23" t="s">
        <v>11</v>
      </c>
      <c r="E173" t="s">
        <v>10</v>
      </c>
      <c r="F173" s="6">
        <v>36</v>
      </c>
      <c r="G173" s="1"/>
      <c r="H173" s="99">
        <v>14</v>
      </c>
      <c r="I173" s="11">
        <v>403</v>
      </c>
      <c r="J173" s="13" t="s">
        <v>12</v>
      </c>
      <c r="K173" s="6" t="s">
        <v>153</v>
      </c>
      <c r="L173" s="1"/>
      <c r="M173" s="6"/>
      <c r="N173" s="1">
        <v>165.80749949115744</v>
      </c>
      <c r="O173" s="18">
        <v>118882.50367033854</v>
      </c>
      <c r="P173" s="30">
        <v>3.4</v>
      </c>
      <c r="Q173" s="1"/>
      <c r="R173" s="1"/>
      <c r="S173" s="1"/>
      <c r="T173" s="1"/>
      <c r="U173" s="1"/>
      <c r="V173" s="1"/>
      <c r="W173" s="1"/>
      <c r="X173" s="118"/>
      <c r="Y173" s="1"/>
      <c r="Z173" s="1"/>
      <c r="AA173" s="1"/>
      <c r="AB173" s="1"/>
      <c r="AC173" s="1"/>
      <c r="AD173" s="1"/>
      <c r="AE173" s="96"/>
      <c r="AF173" s="98"/>
      <c r="AG173" s="22" t="s">
        <v>7</v>
      </c>
      <c r="AH173" s="21"/>
      <c r="AI173" s="16">
        <v>0.05</v>
      </c>
      <c r="AJ173" s="167"/>
      <c r="AK173" s="6"/>
      <c r="AL173" s="8"/>
      <c r="AP173"/>
      <c r="AS173" s="1"/>
      <c r="BE173" s="3"/>
      <c r="BF173" s="3"/>
      <c r="BG173" s="3"/>
      <c r="BH173" s="3"/>
      <c r="BN173"/>
      <c r="BQ173" s="1"/>
      <c r="CG173"/>
      <c r="CJ173" s="1"/>
    </row>
    <row r="174" spans="1:88" x14ac:dyDescent="0.2">
      <c r="A174" s="8">
        <v>2</v>
      </c>
      <c r="B174" t="s">
        <v>143</v>
      </c>
      <c r="C174">
        <v>1</v>
      </c>
      <c r="D174" s="23" t="s">
        <v>11</v>
      </c>
      <c r="E174" t="s">
        <v>10</v>
      </c>
      <c r="F174" s="6">
        <v>37</v>
      </c>
      <c r="G174" s="1"/>
      <c r="H174" s="99">
        <v>14</v>
      </c>
      <c r="I174" s="11">
        <v>403</v>
      </c>
      <c r="J174" t="s">
        <v>12</v>
      </c>
      <c r="K174" s="6" t="s">
        <v>153</v>
      </c>
      <c r="L174" s="1"/>
      <c r="M174" s="6"/>
      <c r="N174" s="1">
        <v>165.80749949115744</v>
      </c>
      <c r="O174" s="18">
        <v>118882.50367033854</v>
      </c>
      <c r="P174" s="30">
        <v>3.4</v>
      </c>
      <c r="Q174" s="1"/>
      <c r="R174" s="1"/>
      <c r="S174" s="1"/>
      <c r="T174" s="1"/>
      <c r="U174" s="1"/>
      <c r="V174" s="1"/>
      <c r="W174" s="1"/>
      <c r="X174" s="118"/>
      <c r="Y174" s="1"/>
      <c r="Z174" s="1"/>
      <c r="AA174" s="1"/>
      <c r="AB174" s="1"/>
      <c r="AC174" s="1"/>
      <c r="AD174" s="1"/>
      <c r="AE174" s="96"/>
      <c r="AF174" s="98"/>
      <c r="AG174" s="22" t="s">
        <v>7</v>
      </c>
      <c r="AH174" s="21"/>
      <c r="AI174" s="16">
        <v>0.05</v>
      </c>
      <c r="AJ174" s="167"/>
      <c r="AK174" s="6"/>
      <c r="AL174" s="8"/>
      <c r="AP174"/>
      <c r="AS174" s="1"/>
      <c r="BE174" s="3"/>
      <c r="BF174" s="3"/>
      <c r="BG174" s="3"/>
      <c r="BH174" s="3"/>
      <c r="BN174"/>
      <c r="BQ174" s="1"/>
      <c r="CG174"/>
      <c r="CJ174" s="1"/>
    </row>
    <row r="175" spans="1:88" x14ac:dyDescent="0.2">
      <c r="A175" s="8">
        <v>10</v>
      </c>
      <c r="B175" t="s">
        <v>143</v>
      </c>
      <c r="C175">
        <v>1</v>
      </c>
      <c r="D175" s="23" t="s">
        <v>11</v>
      </c>
      <c r="E175" t="s">
        <v>10</v>
      </c>
      <c r="F175" s="6" t="s">
        <v>9</v>
      </c>
      <c r="G175" s="1"/>
      <c r="H175" s="99">
        <v>14</v>
      </c>
      <c r="I175" s="11">
        <v>403</v>
      </c>
      <c r="J175" t="s">
        <v>12</v>
      </c>
      <c r="K175" s="6" t="s">
        <v>153</v>
      </c>
      <c r="L175" s="1"/>
      <c r="M175" s="6"/>
      <c r="N175" s="1">
        <v>165.80749949115744</v>
      </c>
      <c r="O175" s="18">
        <v>118882.50367033854</v>
      </c>
      <c r="P175" s="30">
        <v>3.4</v>
      </c>
      <c r="Q175" s="1"/>
      <c r="R175" s="1"/>
      <c r="S175" s="1"/>
      <c r="T175" s="1"/>
      <c r="U175" s="1"/>
      <c r="V175" s="1"/>
      <c r="W175" s="1"/>
      <c r="X175" s="118"/>
      <c r="Y175" s="1"/>
      <c r="Z175" s="1"/>
      <c r="AA175" s="1"/>
      <c r="AB175" s="1"/>
      <c r="AC175" s="1"/>
      <c r="AD175" s="1"/>
      <c r="AE175" s="96"/>
      <c r="AF175" s="98"/>
      <c r="AG175" s="22" t="s">
        <v>7</v>
      </c>
      <c r="AH175" s="21"/>
      <c r="AI175" s="16">
        <v>0.05</v>
      </c>
      <c r="AJ175" s="167"/>
      <c r="AK175" s="6"/>
      <c r="AL175" s="8"/>
      <c r="AP175"/>
      <c r="AS175" s="1"/>
      <c r="BE175" s="3"/>
      <c r="BF175" s="3"/>
      <c r="BG175" s="3"/>
      <c r="BH175" s="3"/>
      <c r="BN175"/>
      <c r="BQ175" s="1"/>
      <c r="CG175"/>
      <c r="CJ175" s="1"/>
    </row>
    <row r="176" spans="1:88" x14ac:dyDescent="0.2">
      <c r="A176" s="8">
        <v>11</v>
      </c>
      <c r="B176" t="s">
        <v>143</v>
      </c>
      <c r="C176">
        <v>1</v>
      </c>
      <c r="D176" s="23" t="s">
        <v>11</v>
      </c>
      <c r="E176" t="s">
        <v>10</v>
      </c>
      <c r="F176" s="6">
        <v>36</v>
      </c>
      <c r="G176" s="1"/>
      <c r="H176" s="99">
        <v>14</v>
      </c>
      <c r="I176" s="11">
        <v>410</v>
      </c>
      <c r="J176" t="s">
        <v>8</v>
      </c>
      <c r="K176" s="6" t="s">
        <v>181</v>
      </c>
      <c r="L176" s="1"/>
      <c r="M176" s="6"/>
      <c r="N176" s="1">
        <v>96.95</v>
      </c>
      <c r="O176" s="18">
        <v>775600.00000000012</v>
      </c>
      <c r="P176" s="30">
        <v>1.906666666666667</v>
      </c>
      <c r="Q176" s="1"/>
      <c r="R176" s="1"/>
      <c r="S176" s="1"/>
      <c r="T176" s="1"/>
      <c r="U176" s="1"/>
      <c r="V176" s="1"/>
      <c r="W176" s="1"/>
      <c r="X176" s="118"/>
      <c r="Y176" s="1"/>
      <c r="Z176" s="1"/>
      <c r="AA176" s="1"/>
      <c r="AB176" s="1"/>
      <c r="AC176" s="1"/>
      <c r="AD176" s="1"/>
      <c r="AE176" s="96"/>
      <c r="AF176" s="98"/>
      <c r="AG176" s="22" t="s">
        <v>7</v>
      </c>
      <c r="AH176" s="21"/>
      <c r="AI176" s="16">
        <v>0.05</v>
      </c>
      <c r="AJ176" s="167"/>
      <c r="AK176" s="6"/>
      <c r="AL176" s="8"/>
      <c r="AP176"/>
      <c r="AS176" s="1"/>
      <c r="BE176" s="3"/>
      <c r="BF176" s="3"/>
      <c r="BG176" s="3"/>
      <c r="BH176" s="3"/>
      <c r="BN176"/>
      <c r="BQ176" s="1"/>
      <c r="CG176"/>
      <c r="CJ176" s="1"/>
    </row>
    <row r="177" spans="1:90" x14ac:dyDescent="0.2">
      <c r="A177" s="8">
        <v>12</v>
      </c>
      <c r="B177" t="s">
        <v>143</v>
      </c>
      <c r="C177">
        <v>1</v>
      </c>
      <c r="D177" s="23" t="s">
        <v>11</v>
      </c>
      <c r="E177" t="s">
        <v>10</v>
      </c>
      <c r="F177" s="6">
        <v>37</v>
      </c>
      <c r="G177" s="1"/>
      <c r="H177" s="99">
        <v>14</v>
      </c>
      <c r="I177" s="11">
        <v>410</v>
      </c>
      <c r="J177" t="s">
        <v>8</v>
      </c>
      <c r="K177" s="6" t="s">
        <v>181</v>
      </c>
      <c r="L177" s="1"/>
      <c r="M177" s="6"/>
      <c r="N177" s="1">
        <v>96.95</v>
      </c>
      <c r="O177" s="18">
        <v>775600.00000000012</v>
      </c>
      <c r="P177" s="30">
        <v>1.906666666666667</v>
      </c>
      <c r="Q177" s="1"/>
      <c r="R177" s="1"/>
      <c r="S177" s="1"/>
      <c r="T177" s="1"/>
      <c r="U177" s="1"/>
      <c r="V177" s="1"/>
      <c r="W177" s="1"/>
      <c r="X177" s="118"/>
      <c r="Y177" s="1"/>
      <c r="Z177" s="1"/>
      <c r="AA177" s="1"/>
      <c r="AB177" s="1"/>
      <c r="AC177" s="1"/>
      <c r="AD177" s="1"/>
      <c r="AE177" s="96"/>
      <c r="AF177" s="98"/>
      <c r="AG177" s="22" t="s">
        <v>7</v>
      </c>
      <c r="AH177" s="21"/>
      <c r="AI177" s="16">
        <v>0.05</v>
      </c>
      <c r="AJ177" s="167"/>
      <c r="AK177" s="6"/>
      <c r="AL177" s="8"/>
      <c r="AP177"/>
      <c r="AS177" s="1"/>
      <c r="BE177" s="3"/>
      <c r="BF177" s="3"/>
      <c r="BG177" s="3"/>
      <c r="BH177" s="3"/>
      <c r="BN177"/>
      <c r="BQ177" s="1"/>
      <c r="CG177"/>
      <c r="CJ177" s="1"/>
    </row>
    <row r="178" spans="1:90" x14ac:dyDescent="0.2">
      <c r="A178" s="8">
        <v>20</v>
      </c>
      <c r="B178" t="s">
        <v>143</v>
      </c>
      <c r="C178">
        <v>1</v>
      </c>
      <c r="D178" s="23" t="s">
        <v>11</v>
      </c>
      <c r="E178" t="s">
        <v>10</v>
      </c>
      <c r="F178" s="6" t="s">
        <v>9</v>
      </c>
      <c r="G178" s="1"/>
      <c r="H178" s="99">
        <v>14</v>
      </c>
      <c r="I178" s="11">
        <v>410</v>
      </c>
      <c r="J178" s="13" t="s">
        <v>8</v>
      </c>
      <c r="K178" s="6" t="s">
        <v>181</v>
      </c>
      <c r="L178" s="1"/>
      <c r="M178" s="6"/>
      <c r="N178" s="1">
        <v>96.95</v>
      </c>
      <c r="O178" s="18">
        <v>775600.00000000012</v>
      </c>
      <c r="P178" s="30">
        <v>1.906666666666667</v>
      </c>
      <c r="Q178" s="1"/>
      <c r="R178" s="1"/>
      <c r="S178" s="1"/>
      <c r="T178" s="1"/>
      <c r="U178" s="1"/>
      <c r="V178" s="1"/>
      <c r="W178" s="1"/>
      <c r="X178" s="118"/>
      <c r="Y178" s="1"/>
      <c r="Z178" s="1"/>
      <c r="AA178" s="1"/>
      <c r="AB178" s="1"/>
      <c r="AC178" s="1"/>
      <c r="AD178" s="1"/>
      <c r="AE178" s="96"/>
      <c r="AF178" s="98"/>
      <c r="AG178" s="22" t="s">
        <v>7</v>
      </c>
      <c r="AH178" s="21"/>
      <c r="AI178" s="16">
        <v>0.05</v>
      </c>
      <c r="AJ178" s="167"/>
      <c r="AK178" s="6"/>
      <c r="AL178" s="8"/>
      <c r="AP178"/>
      <c r="AS178" s="1"/>
      <c r="BE178" s="3"/>
      <c r="BF178" s="3"/>
      <c r="BG178" s="3"/>
      <c r="BH178" s="3"/>
      <c r="BN178"/>
      <c r="BQ178" s="1"/>
      <c r="CG178"/>
      <c r="CJ178" s="1"/>
    </row>
    <row r="179" spans="1:90" x14ac:dyDescent="0.2">
      <c r="A179" s="8">
        <v>66</v>
      </c>
      <c r="B179" t="s">
        <v>143</v>
      </c>
      <c r="C179">
        <v>6</v>
      </c>
      <c r="D179" t="s">
        <v>6</v>
      </c>
      <c r="E179" t="s">
        <v>5</v>
      </c>
      <c r="F179" s="9">
        <v>2</v>
      </c>
      <c r="H179" s="99">
        <v>14</v>
      </c>
      <c r="I179" s="11">
        <v>-400</v>
      </c>
      <c r="J179" s="13" t="s">
        <v>4</v>
      </c>
      <c r="K179" s="6"/>
      <c r="L179" s="1"/>
      <c r="M179" s="6"/>
      <c r="N179" s="1">
        <v>64.515000000000001</v>
      </c>
      <c r="O179" s="18">
        <v>6710000</v>
      </c>
      <c r="P179" s="30">
        <v>1.4849999999999999</v>
      </c>
      <c r="Q179" s="1"/>
      <c r="R179" s="1"/>
      <c r="S179" s="1"/>
      <c r="T179" s="1"/>
      <c r="U179" s="1"/>
      <c r="V179" s="1"/>
      <c r="W179" s="1"/>
      <c r="X179" s="118"/>
      <c r="Y179" s="1"/>
      <c r="Z179" s="1"/>
      <c r="AA179" s="1"/>
      <c r="AB179" s="1"/>
      <c r="AC179" s="1"/>
      <c r="AD179" s="1"/>
      <c r="AE179" s="96"/>
      <c r="AF179" s="98"/>
      <c r="AG179" s="22" t="s">
        <v>7</v>
      </c>
      <c r="AH179" s="15">
        <v>0.43</v>
      </c>
      <c r="AI179" s="99">
        <v>0.05</v>
      </c>
      <c r="AJ179" s="171"/>
      <c r="AK179" s="6"/>
      <c r="AL179" s="8"/>
      <c r="AM179" s="239"/>
      <c r="AN179" s="241"/>
      <c r="AO179" s="241"/>
      <c r="AP179"/>
      <c r="AQ179" s="16"/>
      <c r="AR179" s="16"/>
      <c r="AS179" s="16"/>
      <c r="AT179" s="13"/>
      <c r="BE179" s="188"/>
      <c r="BF179" s="188"/>
      <c r="BG179" s="188"/>
      <c r="BH179" s="188"/>
      <c r="BK179" s="239"/>
      <c r="BL179" s="241"/>
      <c r="BM179" s="241"/>
      <c r="BN179"/>
      <c r="BO179" s="16"/>
      <c r="BP179" s="16"/>
      <c r="BQ179" s="16"/>
      <c r="BR179" s="13"/>
      <c r="CD179" s="239"/>
      <c r="CE179" s="241"/>
      <c r="CF179" s="241"/>
      <c r="CG179"/>
      <c r="CH179" s="16"/>
      <c r="CI179" s="16"/>
      <c r="CJ179" s="16"/>
      <c r="CK179" s="13"/>
      <c r="CL179" s="13"/>
    </row>
    <row r="180" spans="1:90" x14ac:dyDescent="0.2">
      <c r="A180" s="104" t="s">
        <v>3</v>
      </c>
      <c r="B180" s="105"/>
      <c r="C180" s="46"/>
      <c r="D180" s="46"/>
      <c r="E180" s="46"/>
      <c r="F180" s="51"/>
      <c r="G180" s="46"/>
      <c r="H180" s="52"/>
      <c r="I180" s="55"/>
      <c r="J180" s="46"/>
      <c r="K180" s="54"/>
      <c r="L180" s="46"/>
      <c r="M180" s="51"/>
      <c r="N180" s="52"/>
      <c r="O180" s="52"/>
      <c r="P180" s="46"/>
      <c r="Q180" s="46"/>
      <c r="R180" s="46"/>
      <c r="S180" s="46"/>
      <c r="T180" s="46"/>
      <c r="U180" s="46"/>
      <c r="V180" s="46"/>
      <c r="W180" s="46"/>
      <c r="X180" s="51"/>
      <c r="Y180" s="46"/>
      <c r="Z180" s="46"/>
      <c r="AA180" s="46"/>
      <c r="AB180" s="46"/>
      <c r="AC180" s="46"/>
      <c r="AD180" s="46"/>
      <c r="AE180" s="46"/>
      <c r="AF180" s="46"/>
      <c r="AG180" s="122"/>
      <c r="AH180" s="55"/>
      <c r="AI180" s="46"/>
      <c r="AJ180" s="170"/>
      <c r="AK180" s="54"/>
      <c r="AL180" s="8"/>
      <c r="AP180"/>
      <c r="AS180" s="1"/>
      <c r="BN180"/>
      <c r="BQ180" s="1"/>
      <c r="CG180"/>
      <c r="CJ180" s="1"/>
    </row>
    <row r="181" spans="1:90" x14ac:dyDescent="0.2">
      <c r="A181" s="8">
        <v>21</v>
      </c>
      <c r="B181" t="s">
        <v>143</v>
      </c>
      <c r="C181">
        <v>2</v>
      </c>
      <c r="D181" t="s">
        <v>2</v>
      </c>
      <c r="E181" t="s">
        <v>1</v>
      </c>
      <c r="F181" s="6">
        <v>59</v>
      </c>
      <c r="G181" s="1"/>
      <c r="H181" s="1">
        <v>18</v>
      </c>
      <c r="I181" s="100">
        <v>-1200</v>
      </c>
      <c r="J181" s="13" t="s">
        <v>0</v>
      </c>
      <c r="K181" s="6">
        <v>0</v>
      </c>
      <c r="L181" s="1"/>
      <c r="M181" s="6"/>
      <c r="N181" s="1">
        <v>150</v>
      </c>
      <c r="O181" s="29"/>
      <c r="P181" s="1">
        <v>0</v>
      </c>
      <c r="Q181" s="1"/>
      <c r="R181" s="1"/>
      <c r="S181" s="1"/>
      <c r="T181" s="1"/>
      <c r="U181" s="1"/>
      <c r="V181" s="1"/>
      <c r="W181" s="1"/>
      <c r="X181" s="118"/>
      <c r="Y181" s="1"/>
      <c r="Z181" s="1"/>
      <c r="AA181" s="1"/>
      <c r="AB181" s="1"/>
      <c r="AC181" s="1"/>
      <c r="AD181" s="1"/>
      <c r="AE181" s="96"/>
      <c r="AF181" s="98"/>
      <c r="AG181" s="22">
        <v>753</v>
      </c>
      <c r="AH181" s="21">
        <v>283</v>
      </c>
      <c r="AI181" s="16"/>
      <c r="AJ181" s="171"/>
      <c r="AK181" s="118"/>
      <c r="AL181" s="8"/>
      <c r="AP181"/>
      <c r="AS181" s="1"/>
      <c r="BE181" s="188"/>
      <c r="BF181" s="188"/>
      <c r="BG181" s="188"/>
      <c r="BH181" s="188"/>
      <c r="BI181" s="98"/>
      <c r="BN181"/>
      <c r="BQ181" s="1"/>
      <c r="CG181"/>
      <c r="CJ181" s="1"/>
    </row>
    <row r="182" spans="1:90" x14ac:dyDescent="0.2">
      <c r="A182" s="104" t="s">
        <v>142</v>
      </c>
      <c r="B182" s="46"/>
      <c r="C182" s="46"/>
      <c r="D182" s="46"/>
      <c r="E182" s="46"/>
      <c r="F182" s="54"/>
      <c r="G182" s="52"/>
      <c r="H182" s="52"/>
      <c r="I182" s="48"/>
      <c r="J182" s="47"/>
      <c r="K182" s="54"/>
      <c r="L182" s="52"/>
      <c r="M182" s="54"/>
      <c r="N182" s="52"/>
      <c r="O182" s="108"/>
      <c r="P182" s="52"/>
      <c r="Q182" s="52"/>
      <c r="R182" s="52"/>
      <c r="S182" s="52"/>
      <c r="T182" s="52"/>
      <c r="U182" s="52"/>
      <c r="V182" s="52"/>
      <c r="W182" s="52"/>
      <c r="X182" s="45"/>
      <c r="Y182" s="52"/>
      <c r="Z182" s="52"/>
      <c r="AA182" s="52"/>
      <c r="AB182" s="52"/>
      <c r="AC182" s="52"/>
      <c r="AD182" s="52"/>
      <c r="AE182" s="52"/>
      <c r="AF182" s="49"/>
      <c r="AG182" s="122"/>
      <c r="AH182" s="109"/>
      <c r="AI182" s="49"/>
      <c r="AJ182" s="172"/>
      <c r="AK182" s="54"/>
      <c r="AL182" s="8"/>
      <c r="AP182"/>
      <c r="AS182" s="1"/>
      <c r="BE182" s="3"/>
      <c r="BF182" s="3"/>
      <c r="BG182" s="3"/>
      <c r="BH182" s="3"/>
      <c r="BN182"/>
      <c r="BQ182" s="1"/>
      <c r="CG182"/>
      <c r="CJ182" s="1"/>
    </row>
    <row r="183" spans="1:90" x14ac:dyDescent="0.2">
      <c r="A183" s="8">
        <v>85</v>
      </c>
      <c r="B183" t="s">
        <v>143</v>
      </c>
      <c r="C183">
        <v>8</v>
      </c>
      <c r="D183" s="16" t="s">
        <v>28</v>
      </c>
      <c r="E183" t="s">
        <v>27</v>
      </c>
      <c r="F183" s="14" t="s">
        <v>26</v>
      </c>
      <c r="G183" s="26" t="s">
        <v>25</v>
      </c>
      <c r="H183" s="16">
        <v>18</v>
      </c>
      <c r="I183" s="17">
        <v>-1201</v>
      </c>
      <c r="J183" t="s">
        <v>37</v>
      </c>
      <c r="K183" s="6"/>
      <c r="L183" s="1"/>
      <c r="M183" s="6"/>
      <c r="N183" s="1">
        <v>132</v>
      </c>
      <c r="O183" s="29"/>
      <c r="P183" s="30">
        <v>5</v>
      </c>
      <c r="Q183" s="30"/>
      <c r="R183" s="30"/>
      <c r="S183" s="30"/>
      <c r="T183" s="30"/>
      <c r="U183" s="30"/>
      <c r="V183" s="30"/>
      <c r="W183" s="30"/>
      <c r="X183" s="118"/>
      <c r="Y183" s="30"/>
      <c r="Z183" s="30"/>
      <c r="AA183" s="30"/>
      <c r="AB183" s="30"/>
      <c r="AC183" s="30"/>
      <c r="AD183" s="30"/>
      <c r="AE183" s="96"/>
      <c r="AF183" s="98"/>
      <c r="AG183" s="22">
        <v>210</v>
      </c>
      <c r="AH183" s="21"/>
      <c r="AI183" s="99">
        <v>25</v>
      </c>
      <c r="AJ183" s="171"/>
      <c r="AK183" s="118"/>
      <c r="AL183" s="8"/>
      <c r="AM183" s="176"/>
      <c r="AN183" s="242"/>
      <c r="AO183" s="242"/>
      <c r="AP183"/>
      <c r="AQ183" s="16"/>
      <c r="AR183" s="16"/>
      <c r="AS183" s="16"/>
      <c r="AZ183" s="83"/>
      <c r="BA183" s="83"/>
      <c r="BB183" s="83"/>
      <c r="BC183" s="83"/>
      <c r="BD183" s="83"/>
      <c r="BE183" s="188"/>
      <c r="BF183" s="188"/>
      <c r="BG183" s="188"/>
      <c r="BH183" s="188"/>
      <c r="BI183" s="98"/>
      <c r="BK183" s="176"/>
      <c r="BL183" s="242"/>
      <c r="BM183" s="242"/>
      <c r="BN183"/>
      <c r="BO183" s="16"/>
      <c r="BP183" s="16"/>
      <c r="BQ183" s="16"/>
      <c r="BX183" s="83"/>
      <c r="BY183" s="83"/>
      <c r="BZ183" s="83"/>
      <c r="CA183" s="83"/>
      <c r="CB183" s="83"/>
      <c r="CD183" s="176"/>
      <c r="CE183" s="242"/>
      <c r="CF183" s="242"/>
      <c r="CG183"/>
      <c r="CH183" s="16"/>
      <c r="CI183" s="16"/>
      <c r="CJ183" s="16"/>
    </row>
    <row r="184" spans="1:90" x14ac:dyDescent="0.2">
      <c r="A184" s="8">
        <v>86</v>
      </c>
      <c r="B184" t="s">
        <v>143</v>
      </c>
      <c r="C184">
        <v>8</v>
      </c>
      <c r="D184" s="16" t="s">
        <v>28</v>
      </c>
      <c r="E184" t="s">
        <v>27</v>
      </c>
      <c r="F184" s="14" t="s">
        <v>26</v>
      </c>
      <c r="G184" s="26" t="s">
        <v>25</v>
      </c>
      <c r="H184" s="16">
        <v>18</v>
      </c>
      <c r="I184" s="17">
        <v>-1202</v>
      </c>
      <c r="J184" t="s">
        <v>36</v>
      </c>
      <c r="K184" s="6"/>
      <c r="L184" s="1"/>
      <c r="M184" s="6"/>
      <c r="N184" s="1">
        <v>168</v>
      </c>
      <c r="O184" s="29"/>
      <c r="P184" s="1">
        <v>6.7299999999999995</v>
      </c>
      <c r="Q184" s="1"/>
      <c r="R184" s="1"/>
      <c r="S184" s="1"/>
      <c r="T184" s="1"/>
      <c r="U184" s="1"/>
      <c r="V184" s="1"/>
      <c r="W184" s="1"/>
      <c r="X184" s="118"/>
      <c r="Y184" s="1"/>
      <c r="Z184" s="1"/>
      <c r="AA184" s="1"/>
      <c r="AB184" s="1"/>
      <c r="AC184" s="1"/>
      <c r="AD184" s="1"/>
      <c r="AE184" s="96"/>
      <c r="AF184" s="98"/>
      <c r="AG184" s="22">
        <v>15</v>
      </c>
      <c r="AH184" s="21"/>
      <c r="AI184" s="99">
        <v>25</v>
      </c>
      <c r="AJ184" s="171"/>
      <c r="AK184" s="118"/>
      <c r="AL184" s="8"/>
      <c r="AM184" s="176"/>
      <c r="AN184" s="242"/>
      <c r="AO184" s="242"/>
      <c r="AP184"/>
      <c r="AQ184" s="16"/>
      <c r="AR184" s="16"/>
      <c r="AS184" s="16"/>
      <c r="AZ184" s="83"/>
      <c r="BA184" s="83"/>
      <c r="BB184" s="83"/>
      <c r="BC184" s="83"/>
      <c r="BD184" s="83"/>
      <c r="BE184" s="188"/>
      <c r="BF184" s="188"/>
      <c r="BG184" s="188"/>
      <c r="BH184" s="188"/>
      <c r="BI184" s="98"/>
      <c r="BK184" s="176"/>
      <c r="BL184" s="242"/>
      <c r="BM184" s="242"/>
      <c r="BN184"/>
      <c r="BO184" s="16"/>
      <c r="BP184" s="16"/>
      <c r="BQ184" s="16"/>
      <c r="BX184" s="83"/>
      <c r="BY184" s="83"/>
      <c r="BZ184" s="83"/>
      <c r="CA184" s="83"/>
      <c r="CB184" s="83"/>
      <c r="CD184" s="176"/>
      <c r="CE184" s="242"/>
      <c r="CF184" s="242"/>
      <c r="CG184"/>
      <c r="CH184" s="16"/>
      <c r="CI184" s="16"/>
      <c r="CJ184" s="16"/>
    </row>
    <row r="185" spans="1:90" x14ac:dyDescent="0.2">
      <c r="A185" s="105" t="s">
        <v>118</v>
      </c>
      <c r="B185" s="46"/>
      <c r="C185" s="46"/>
      <c r="D185" s="46"/>
      <c r="E185" s="46"/>
      <c r="F185" s="46"/>
      <c r="G185" s="46"/>
      <c r="H185" s="52"/>
      <c r="I185" s="46"/>
      <c r="J185" s="46"/>
      <c r="K185" s="54"/>
      <c r="L185" s="46"/>
      <c r="M185" s="51"/>
      <c r="N185" s="52"/>
      <c r="O185" s="52"/>
      <c r="P185" s="46"/>
      <c r="Q185" s="46"/>
      <c r="R185" s="46"/>
      <c r="S185" s="46"/>
      <c r="T185" s="46"/>
      <c r="U185" s="46"/>
      <c r="V185" s="46"/>
      <c r="W185" s="46"/>
      <c r="X185" s="51"/>
      <c r="Y185" s="46"/>
      <c r="Z185" s="46"/>
      <c r="AA185" s="46"/>
      <c r="AB185" s="46"/>
      <c r="AC185" s="46"/>
      <c r="AD185" s="46"/>
      <c r="AE185" s="46"/>
      <c r="AF185" s="46"/>
      <c r="AG185" s="122"/>
      <c r="AH185" s="46"/>
      <c r="AI185" s="46"/>
      <c r="AJ185" s="170"/>
      <c r="AK185" s="54"/>
      <c r="AL185" s="8"/>
    </row>
    <row r="186" spans="1:90" x14ac:dyDescent="0.2">
      <c r="B186" t="s">
        <v>149</v>
      </c>
      <c r="D186" t="s">
        <v>117</v>
      </c>
      <c r="F186" s="9"/>
      <c r="I186" s="8"/>
      <c r="K186" s="9"/>
      <c r="M186" s="9"/>
      <c r="N186"/>
      <c r="O186"/>
      <c r="X186" s="9"/>
      <c r="AG186" s="22" t="s">
        <v>116</v>
      </c>
      <c r="AH186" s="120" t="s">
        <v>115</v>
      </c>
      <c r="AJ186" s="8"/>
      <c r="AK186" s="9"/>
      <c r="AL186" s="8"/>
      <c r="AP186" s="16"/>
      <c r="AQ186" s="16"/>
      <c r="AR186" s="16"/>
      <c r="BE186"/>
      <c r="BF186"/>
      <c r="BG186"/>
      <c r="BH186"/>
      <c r="BI186"/>
      <c r="BN186" s="16"/>
      <c r="BO186" s="16"/>
      <c r="BP186" s="16"/>
      <c r="CG186" s="16"/>
      <c r="CH186" s="16"/>
      <c r="CI186" s="16"/>
    </row>
    <row r="187" spans="1:90" x14ac:dyDescent="0.2">
      <c r="A187" s="8"/>
      <c r="B187" t="s">
        <v>149</v>
      </c>
      <c r="D187" t="s">
        <v>114</v>
      </c>
      <c r="F187" s="9"/>
      <c r="I187" s="8"/>
      <c r="K187" s="9"/>
      <c r="M187" s="9"/>
      <c r="N187"/>
      <c r="O187"/>
      <c r="X187" s="9"/>
      <c r="AG187" s="22" t="s">
        <v>113</v>
      </c>
      <c r="AH187" s="90" t="s">
        <v>109</v>
      </c>
      <c r="AJ187" s="8"/>
      <c r="AK187" s="9"/>
      <c r="AL187" s="8"/>
      <c r="AP187" s="16"/>
      <c r="AQ187" s="16"/>
      <c r="AR187" s="16"/>
      <c r="BE187"/>
      <c r="BF187"/>
      <c r="BG187"/>
      <c r="BH187"/>
      <c r="BI187"/>
      <c r="BN187" s="16"/>
      <c r="BO187" s="16"/>
      <c r="BP187" s="16"/>
      <c r="CG187" s="16"/>
      <c r="CH187" s="16"/>
      <c r="CI187" s="16"/>
    </row>
    <row r="188" spans="1:90" x14ac:dyDescent="0.2">
      <c r="A188" s="8"/>
      <c r="B188" t="s">
        <v>149</v>
      </c>
      <c r="D188" t="s">
        <v>112</v>
      </c>
      <c r="F188" s="9"/>
      <c r="I188" s="8"/>
      <c r="K188" s="9"/>
      <c r="M188" s="9"/>
      <c r="N188"/>
      <c r="O188"/>
      <c r="X188" s="9"/>
      <c r="AG188" s="22" t="s">
        <v>110</v>
      </c>
      <c r="AH188" s="90" t="s">
        <v>109</v>
      </c>
      <c r="AJ188" s="8"/>
      <c r="AK188" s="9"/>
      <c r="AL188" s="8"/>
      <c r="AP188" s="16"/>
      <c r="AQ188" s="16"/>
      <c r="AR188" s="16"/>
      <c r="BE188"/>
      <c r="BF188"/>
      <c r="BG188"/>
      <c r="BH188"/>
      <c r="BI188"/>
      <c r="BN188" s="16"/>
      <c r="BO188" s="16"/>
      <c r="BP188" s="16"/>
      <c r="CG188" s="16"/>
      <c r="CH188" s="16"/>
      <c r="CI188" s="16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188"/>
  <sheetViews>
    <sheetView topLeftCell="A13" zoomScale="55" zoomScaleNormal="55" workbookViewId="0">
      <selection activeCell="E33" sqref="E33"/>
    </sheetView>
  </sheetViews>
  <sheetFormatPr defaultRowHeight="12.75" outlineLevelRow="1" outlineLevelCol="1" x14ac:dyDescent="0.2"/>
  <cols>
    <col min="1" max="1" width="9.140625" customWidth="1" outlineLevel="1"/>
    <col min="2" max="2" width="12" customWidth="1" outlineLevel="1"/>
    <col min="3" max="3" width="9.140625" customWidth="1" outlineLevel="1"/>
    <col min="4" max="4" width="14.140625" customWidth="1"/>
    <col min="5" max="7" width="9.140625" customWidth="1" outlineLevel="1"/>
    <col min="8" max="8" width="9.140625" style="1" customWidth="1" outlineLevel="1"/>
    <col min="9" max="9" width="9.140625" customWidth="1" outlineLevel="1"/>
    <col min="10" max="10" width="22.5703125" customWidth="1"/>
    <col min="11" max="11" width="12.85546875" style="1" customWidth="1" outlineLevel="1"/>
    <col min="12" max="13" width="12.42578125" customWidth="1"/>
    <col min="14" max="14" width="11" style="1" customWidth="1"/>
    <col min="15" max="15" width="9.7109375" style="1" customWidth="1" outlineLevel="1"/>
    <col min="16" max="17" width="14.7109375" customWidth="1"/>
    <col min="18" max="18" width="10" customWidth="1"/>
    <col min="19" max="23" width="8.42578125" customWidth="1"/>
    <col min="24" max="24" width="12.42578125" customWidth="1" outlineLevel="1"/>
    <col min="25" max="25" width="14.7109375" customWidth="1"/>
    <col min="26" max="30" width="8" customWidth="1"/>
    <col min="31" max="32" width="12.42578125" customWidth="1" outlineLevel="1"/>
    <col min="33" max="33" width="20.140625" style="3" customWidth="1"/>
    <col min="34" max="34" width="17.140625" customWidth="1"/>
    <col min="35" max="35" width="17" customWidth="1"/>
    <col min="36" max="36" width="13.42578125" style="2" customWidth="1"/>
    <col min="37" max="37" width="14.28515625" style="1" customWidth="1" outlineLevel="1"/>
    <col min="39" max="39" width="24.140625" customWidth="1"/>
    <col min="40" max="40" width="11.5703125" customWidth="1"/>
    <col min="41" max="41" width="11.140625" customWidth="1"/>
    <col min="42" max="44" width="11.140625" style="1" customWidth="1"/>
    <col min="45" max="45" width="10.7109375" customWidth="1"/>
    <col min="52" max="56" width="23" customWidth="1"/>
    <col min="57" max="60" width="13.42578125" style="2" customWidth="1"/>
    <col min="61" max="61" width="14.28515625" style="1" customWidth="1" outlineLevel="1"/>
    <col min="63" max="63" width="24.140625" customWidth="1"/>
    <col min="64" max="64" width="11.5703125" customWidth="1"/>
    <col min="65" max="65" width="11.140625" customWidth="1"/>
    <col min="66" max="68" width="11.140625" style="1" customWidth="1"/>
    <col min="69" max="69" width="10.7109375" customWidth="1"/>
    <col min="76" max="80" width="23" customWidth="1"/>
    <col min="82" max="82" width="24.140625" customWidth="1"/>
    <col min="83" max="83" width="11.5703125" customWidth="1"/>
    <col min="84" max="84" width="11.140625" customWidth="1"/>
    <col min="85" max="87" width="11.140625" style="1" customWidth="1"/>
    <col min="88" max="88" width="10.7109375" customWidth="1"/>
    <col min="94" max="94" width="11.140625" customWidth="1"/>
  </cols>
  <sheetData>
    <row r="1" spans="2:88" x14ac:dyDescent="0.2">
      <c r="B1" s="58" t="s">
        <v>257</v>
      </c>
      <c r="K1"/>
      <c r="L1" s="1"/>
      <c r="M1" s="1"/>
      <c r="N1"/>
      <c r="O1"/>
      <c r="AG1"/>
      <c r="AJ1"/>
      <c r="AK1"/>
      <c r="BE1"/>
      <c r="BF1"/>
      <c r="BG1"/>
      <c r="BH1"/>
      <c r="BI1"/>
    </row>
    <row r="2" spans="2:88" x14ac:dyDescent="0.2">
      <c r="K2"/>
      <c r="N2"/>
      <c r="O2"/>
      <c r="AG2"/>
      <c r="AJ2"/>
      <c r="AK2"/>
      <c r="BE2"/>
      <c r="BF2"/>
      <c r="BG2"/>
      <c r="BH2"/>
      <c r="BI2"/>
    </row>
    <row r="3" spans="2:88" x14ac:dyDescent="0.2">
      <c r="B3" s="231" t="s">
        <v>279</v>
      </c>
      <c r="C3" s="214"/>
      <c r="D3" s="215"/>
      <c r="H3"/>
      <c r="I3" s="1"/>
    </row>
    <row r="4" spans="2:88" x14ac:dyDescent="0.2">
      <c r="B4" s="8" t="s">
        <v>285</v>
      </c>
      <c r="D4" s="9"/>
      <c r="J4" s="192"/>
      <c r="K4" s="20"/>
      <c r="L4" s="195"/>
      <c r="O4" s="20"/>
      <c r="CC4" s="58" t="s">
        <v>103</v>
      </c>
      <c r="CF4" s="1"/>
    </row>
    <row r="5" spans="2:88" x14ac:dyDescent="0.2">
      <c r="B5" s="8" t="s">
        <v>286</v>
      </c>
      <c r="C5" t="s">
        <v>105</v>
      </c>
      <c r="D5" s="9">
        <v>0.99</v>
      </c>
      <c r="J5" s="192"/>
      <c r="K5" s="20"/>
      <c r="L5" s="195"/>
      <c r="O5" s="20"/>
      <c r="CC5" s="136" t="s">
        <v>161</v>
      </c>
      <c r="CD5" s="130" t="s">
        <v>93</v>
      </c>
      <c r="CE5" s="130"/>
      <c r="CF5" s="130" t="s">
        <v>162</v>
      </c>
      <c r="CG5" s="131"/>
    </row>
    <row r="6" spans="2:88" x14ac:dyDescent="0.2">
      <c r="B6" s="8" t="s">
        <v>287</v>
      </c>
      <c r="C6" t="s">
        <v>104</v>
      </c>
      <c r="D6" s="9">
        <v>-7.0000000000000007E-2</v>
      </c>
      <c r="L6" s="195"/>
      <c r="CC6" s="137" t="s">
        <v>160</v>
      </c>
      <c r="CD6" s="132" t="s">
        <v>93</v>
      </c>
      <c r="CE6" s="132" t="s">
        <v>92</v>
      </c>
      <c r="CF6" s="132" t="s">
        <v>93</v>
      </c>
      <c r="CG6" s="133" t="s">
        <v>92</v>
      </c>
    </row>
    <row r="7" spans="2:88" ht="25.5" x14ac:dyDescent="0.25">
      <c r="B7" s="8" t="s">
        <v>232</v>
      </c>
      <c r="C7" t="s">
        <v>105</v>
      </c>
      <c r="D7" s="9">
        <v>60</v>
      </c>
      <c r="L7" s="195"/>
      <c r="Q7" s="194"/>
      <c r="R7" s="194"/>
      <c r="S7" s="194"/>
      <c r="T7" s="194"/>
      <c r="U7" s="194"/>
      <c r="V7" s="194"/>
      <c r="Z7" s="194"/>
      <c r="AA7" s="194"/>
      <c r="AB7" s="194"/>
      <c r="AC7" s="194"/>
      <c r="AD7" s="194"/>
      <c r="CC7" s="138" t="s">
        <v>163</v>
      </c>
      <c r="CD7" s="139" t="s">
        <v>102</v>
      </c>
      <c r="CE7" s="139" t="s">
        <v>101</v>
      </c>
      <c r="CF7" s="139" t="s">
        <v>98</v>
      </c>
      <c r="CG7" s="140" t="s">
        <v>97</v>
      </c>
    </row>
    <row r="8" spans="2:88" ht="15" x14ac:dyDescent="0.25">
      <c r="B8" s="8"/>
      <c r="D8" s="9"/>
      <c r="L8" s="195"/>
      <c r="Q8" s="194"/>
      <c r="R8" s="194"/>
      <c r="S8" s="194"/>
      <c r="T8" s="194"/>
      <c r="U8" s="194"/>
      <c r="V8" s="194"/>
      <c r="Z8" s="194"/>
      <c r="AA8" s="194"/>
      <c r="AB8" s="194"/>
      <c r="AC8" s="194"/>
      <c r="AD8" s="194"/>
      <c r="CC8" s="129" t="s">
        <v>166</v>
      </c>
      <c r="CD8" s="16">
        <f>COUNTIF($AT$51:$AT$117,0)</f>
        <v>13</v>
      </c>
      <c r="CE8" s="16">
        <f>COUNTIF($AT$51:$AT$117,2)</f>
        <v>0</v>
      </c>
      <c r="CF8" s="16">
        <f>COUNTIF($AT$51:$AT$117,1)</f>
        <v>47</v>
      </c>
      <c r="CG8" s="16">
        <f>COUNTIF($AT$51:$AT$117,3)</f>
        <v>0</v>
      </c>
    </row>
    <row r="9" spans="2:88" ht="15" x14ac:dyDescent="0.25">
      <c r="B9" s="8"/>
      <c r="D9" s="9"/>
      <c r="L9" s="195"/>
      <c r="Q9" s="194"/>
      <c r="R9" s="194"/>
      <c r="S9" s="194"/>
      <c r="T9" s="194"/>
      <c r="U9" s="194"/>
      <c r="V9" s="194"/>
      <c r="Z9" s="194"/>
      <c r="AA9" s="194"/>
      <c r="AB9" s="194"/>
      <c r="AC9" s="194"/>
      <c r="AD9" s="194"/>
      <c r="CF9" s="1"/>
    </row>
    <row r="10" spans="2:88" ht="15" x14ac:dyDescent="0.25">
      <c r="B10" s="8" t="s">
        <v>288</v>
      </c>
      <c r="D10" s="9"/>
      <c r="L10" s="195"/>
      <c r="Q10" s="194"/>
      <c r="R10" s="194"/>
      <c r="S10" s="194"/>
      <c r="T10" s="194"/>
      <c r="U10" s="194"/>
      <c r="V10" s="194"/>
      <c r="Z10" s="194"/>
      <c r="AA10" s="194"/>
      <c r="AB10" s="194"/>
      <c r="AC10" s="194"/>
      <c r="AD10" s="194"/>
      <c r="CF10" s="1"/>
    </row>
    <row r="11" spans="2:88" ht="15" x14ac:dyDescent="0.25">
      <c r="B11" s="8" t="s">
        <v>289</v>
      </c>
      <c r="C11" t="s">
        <v>105</v>
      </c>
      <c r="D11" s="9">
        <v>-1.37E-2</v>
      </c>
      <c r="L11" s="195"/>
      <c r="Q11" s="194"/>
      <c r="R11" s="194"/>
      <c r="S11" s="194"/>
      <c r="T11" s="194"/>
      <c r="U11" s="194"/>
      <c r="V11" s="194"/>
      <c r="Z11" s="194"/>
      <c r="AA11" s="194"/>
      <c r="AB11" s="194"/>
      <c r="AC11" s="194"/>
      <c r="AD11" s="194"/>
      <c r="CC11" s="58"/>
      <c r="CF11" s="1"/>
    </row>
    <row r="12" spans="2:88" ht="15" x14ac:dyDescent="0.25">
      <c r="B12" s="8"/>
      <c r="C12" t="s">
        <v>104</v>
      </c>
      <c r="D12" s="9">
        <v>-10.01</v>
      </c>
      <c r="L12" s="195"/>
      <c r="Q12" s="194"/>
      <c r="R12" s="194"/>
      <c r="S12" s="194"/>
      <c r="T12" s="194"/>
      <c r="U12" s="194"/>
      <c r="V12" s="194"/>
      <c r="W12" s="194"/>
      <c r="Y12" s="194"/>
      <c r="Z12" s="194"/>
      <c r="AA12" s="194"/>
      <c r="AB12" s="194"/>
      <c r="AC12" s="194"/>
      <c r="AD12" s="194"/>
      <c r="AI12" s="2"/>
      <c r="AJ12"/>
      <c r="BE12"/>
      <c r="BF12"/>
      <c r="BG12"/>
      <c r="BH12"/>
      <c r="CC12" s="79" t="s">
        <v>190</v>
      </c>
      <c r="CD12" s="78" t="s">
        <v>90</v>
      </c>
      <c r="CE12" s="77" t="s">
        <v>89</v>
      </c>
      <c r="CF12" s="76"/>
    </row>
    <row r="13" spans="2:88" ht="15" x14ac:dyDescent="0.25">
      <c r="B13" s="5" t="s">
        <v>139</v>
      </c>
      <c r="C13" s="4"/>
      <c r="D13" s="93">
        <v>86.92</v>
      </c>
      <c r="L13" s="195"/>
      <c r="Q13" s="194"/>
      <c r="R13" s="194"/>
      <c r="S13" s="194"/>
      <c r="T13" s="194"/>
      <c r="U13" s="194"/>
      <c r="V13" s="194"/>
      <c r="W13" s="194"/>
      <c r="Y13" s="194"/>
      <c r="Z13" s="194"/>
      <c r="AA13" s="194"/>
      <c r="AB13" s="194"/>
      <c r="AC13" s="194"/>
      <c r="AD13" s="194"/>
      <c r="AI13" s="2"/>
      <c r="AJ13"/>
      <c r="AS13" s="72"/>
      <c r="BE13"/>
      <c r="BF13"/>
      <c r="BG13"/>
      <c r="BH13"/>
      <c r="BQ13" s="72"/>
      <c r="CC13" s="75" t="s">
        <v>88</v>
      </c>
      <c r="CD13" s="146" t="e">
        <f>AVERAGE(#REF!)</f>
        <v>#REF!</v>
      </c>
      <c r="CE13" s="146" t="e">
        <f>AVERAGE(BC51:BC60,BD64:BD83,BC86:BC88,BD91:BD117)</f>
        <v>#DIV/0!</v>
      </c>
      <c r="CF13" s="1"/>
      <c r="CJ13" s="72"/>
    </row>
    <row r="14" spans="2:88" ht="15" x14ac:dyDescent="0.25">
      <c r="L14" s="195"/>
      <c r="Q14" s="194"/>
      <c r="R14" s="194"/>
      <c r="S14" s="194"/>
      <c r="T14" s="194"/>
      <c r="U14" s="194"/>
      <c r="V14" s="194"/>
      <c r="W14" s="194"/>
      <c r="Y14" s="194"/>
      <c r="Z14" s="194"/>
      <c r="AA14" s="194"/>
      <c r="AB14" s="194"/>
      <c r="AC14" s="194"/>
      <c r="AD14" s="194"/>
      <c r="AI14" s="2"/>
      <c r="AJ14"/>
      <c r="BE14"/>
      <c r="BF14"/>
      <c r="BG14"/>
      <c r="BH14"/>
      <c r="CC14" s="75" t="s">
        <v>87</v>
      </c>
      <c r="CD14" s="146" t="e">
        <f>MEDIAN(#REF!)</f>
        <v>#REF!</v>
      </c>
      <c r="CE14" s="146" t="e">
        <f>MEDIAN(BC51:BC60,BD64:BD83,BC86:BC88,BD91:BD117)</f>
        <v>#NUM!</v>
      </c>
      <c r="CF14" s="1"/>
    </row>
    <row r="15" spans="2:88" ht="15" x14ac:dyDescent="0.25">
      <c r="L15" s="195"/>
      <c r="Q15" s="193"/>
      <c r="R15" s="193"/>
      <c r="S15" s="193"/>
      <c r="T15" s="193"/>
      <c r="U15" s="193"/>
      <c r="V15" s="193"/>
      <c r="W15" s="193"/>
      <c r="Y15" s="193"/>
      <c r="Z15" s="193"/>
      <c r="AA15" s="193"/>
      <c r="AB15" s="193"/>
      <c r="AC15" s="193"/>
      <c r="AD15" s="193"/>
      <c r="AI15" s="2"/>
      <c r="AJ15"/>
      <c r="BE15"/>
      <c r="BF15"/>
      <c r="BG15"/>
      <c r="BH15"/>
      <c r="CC15" s="75" t="s">
        <v>86</v>
      </c>
      <c r="CD15" s="146" t="e">
        <f>MIN(#REF!)</f>
        <v>#REF!</v>
      </c>
      <c r="CE15" s="146">
        <f>MIN(BC51:BC60,BD64:BD83,BC86:BC88,BD91:BD117)</f>
        <v>0</v>
      </c>
      <c r="CF15" s="1"/>
    </row>
    <row r="16" spans="2:88" ht="15" x14ac:dyDescent="0.25">
      <c r="L16" s="195"/>
      <c r="Q16" s="194"/>
      <c r="R16" s="194"/>
      <c r="S16" s="194"/>
      <c r="T16" s="194"/>
      <c r="U16" s="194"/>
      <c r="V16" s="194"/>
      <c r="W16" s="194"/>
      <c r="Y16" s="194"/>
      <c r="Z16" s="194"/>
      <c r="AA16" s="194"/>
      <c r="AB16" s="194"/>
      <c r="AC16" s="194"/>
      <c r="AD16" s="194"/>
      <c r="AI16" s="2"/>
      <c r="AJ16"/>
      <c r="BE16"/>
      <c r="BF16"/>
      <c r="BG16"/>
      <c r="BH16"/>
      <c r="CC16" s="73" t="s">
        <v>85</v>
      </c>
      <c r="CD16" s="146" t="e">
        <f>MAX(#REF!)</f>
        <v>#REF!</v>
      </c>
      <c r="CE16" s="146">
        <f>MAX(BC51:BC60,BD64:BD83,BC86:BC88,BD91:BD117)</f>
        <v>0</v>
      </c>
      <c r="CF16" s="1"/>
    </row>
    <row r="17" spans="2:84" ht="15" x14ac:dyDescent="0.25">
      <c r="B17" s="1"/>
      <c r="C17" s="1"/>
      <c r="D17" s="1"/>
      <c r="E17" s="1"/>
      <c r="F17" s="1"/>
      <c r="H17" s="20"/>
      <c r="I17" s="1"/>
      <c r="J17" s="192"/>
      <c r="K17" s="20"/>
      <c r="L17" s="195"/>
      <c r="Q17" s="194"/>
      <c r="R17" s="194"/>
      <c r="S17" s="194"/>
      <c r="T17" s="194"/>
      <c r="U17" s="194"/>
      <c r="V17" s="194"/>
      <c r="W17" s="194"/>
      <c r="Y17" s="194"/>
      <c r="Z17" s="194"/>
      <c r="AA17" s="194"/>
      <c r="AB17" s="194"/>
      <c r="AC17" s="194"/>
      <c r="AD17" s="194"/>
      <c r="AI17" s="2"/>
      <c r="AJ17"/>
      <c r="AM17" s="146"/>
      <c r="AN17" s="146"/>
      <c r="AO17" s="1"/>
      <c r="BE17"/>
      <c r="BF17"/>
      <c r="BG17"/>
      <c r="BH17"/>
      <c r="BJ17" s="146"/>
      <c r="BK17" s="146"/>
      <c r="BL17" s="146"/>
      <c r="BM17" s="1"/>
      <c r="CC17" s="47"/>
      <c r="CD17" s="146"/>
      <c r="CE17" s="146"/>
      <c r="CF17" s="1"/>
    </row>
    <row r="18" spans="2:84" ht="15" x14ac:dyDescent="0.25">
      <c r="B18" s="1"/>
      <c r="C18" s="1"/>
      <c r="D18" s="1"/>
      <c r="E18" s="1"/>
      <c r="F18" s="1"/>
      <c r="H18" s="20"/>
      <c r="I18" s="1"/>
      <c r="J18" s="192"/>
      <c r="K18" s="20"/>
      <c r="L18" s="195"/>
      <c r="Q18" s="194"/>
      <c r="R18" s="194"/>
      <c r="S18" s="194"/>
      <c r="T18" s="194"/>
      <c r="U18" s="194"/>
      <c r="V18" s="194"/>
      <c r="W18" s="194"/>
      <c r="Y18" s="194"/>
      <c r="Z18" s="194"/>
      <c r="AA18" s="194"/>
      <c r="AB18" s="194"/>
      <c r="AC18" s="194"/>
      <c r="AD18" s="194"/>
      <c r="AI18" s="2"/>
      <c r="AJ18"/>
      <c r="AM18" s="146"/>
      <c r="AN18" s="146"/>
      <c r="AO18" s="1"/>
      <c r="BE18"/>
      <c r="BF18"/>
      <c r="BG18"/>
      <c r="BH18"/>
      <c r="BJ18" s="146"/>
      <c r="BK18" s="146"/>
      <c r="BL18" s="146"/>
      <c r="BM18" s="1"/>
      <c r="CC18" s="47"/>
      <c r="CD18" s="146"/>
      <c r="CE18" s="146"/>
      <c r="CF18" s="1"/>
    </row>
    <row r="19" spans="2:84" ht="15" x14ac:dyDescent="0.25">
      <c r="B19" s="1"/>
      <c r="C19" s="1"/>
      <c r="D19" s="1"/>
      <c r="E19" s="1"/>
      <c r="F19" s="1"/>
      <c r="H19" s="20"/>
      <c r="I19" s="1"/>
      <c r="J19" s="192"/>
      <c r="K19" s="20"/>
      <c r="L19" s="195"/>
      <c r="Q19" s="194"/>
      <c r="R19" s="194"/>
      <c r="S19" s="194"/>
      <c r="T19" s="194"/>
      <c r="U19" s="194"/>
      <c r="V19" s="194"/>
      <c r="W19" s="194"/>
      <c r="Y19" s="194"/>
      <c r="Z19" s="194"/>
      <c r="AA19" s="194"/>
      <c r="AB19" s="194"/>
      <c r="AC19" s="194"/>
      <c r="AD19" s="194"/>
      <c r="AI19" s="2"/>
      <c r="AJ19"/>
      <c r="AM19" s="146"/>
      <c r="AN19" s="146"/>
      <c r="AO19" s="1"/>
      <c r="BE19"/>
      <c r="BF19"/>
      <c r="BG19"/>
      <c r="BH19"/>
      <c r="BJ19" s="146"/>
      <c r="BK19" s="146"/>
      <c r="BL19" s="146"/>
      <c r="BM19" s="1"/>
      <c r="CC19" s="47"/>
      <c r="CD19" s="146"/>
      <c r="CE19" s="146"/>
      <c r="CF19" s="1"/>
    </row>
    <row r="20" spans="2:84" ht="15" x14ac:dyDescent="0.25">
      <c r="B20" s="1"/>
      <c r="C20" s="1"/>
      <c r="D20" s="1"/>
      <c r="E20" s="1"/>
      <c r="F20" s="1"/>
      <c r="H20" s="20"/>
      <c r="I20" s="1"/>
      <c r="J20" s="192"/>
      <c r="K20" s="20"/>
      <c r="L20" s="195"/>
      <c r="Q20" s="194"/>
      <c r="R20" s="194"/>
      <c r="S20" s="194"/>
      <c r="T20" s="194"/>
      <c r="U20" s="194"/>
      <c r="V20" s="194"/>
      <c r="W20" s="194"/>
      <c r="Y20" s="194"/>
      <c r="Z20" s="194"/>
      <c r="AA20" s="194"/>
      <c r="AB20" s="194"/>
      <c r="AC20" s="194"/>
      <c r="AD20" s="194"/>
      <c r="AI20" s="2"/>
      <c r="AJ20"/>
      <c r="AM20" s="146"/>
      <c r="AN20" s="146"/>
      <c r="AO20" s="1"/>
      <c r="BE20"/>
      <c r="BF20"/>
      <c r="BG20"/>
      <c r="BH20"/>
      <c r="BJ20" s="146"/>
      <c r="BK20" s="146"/>
      <c r="BL20" s="146"/>
      <c r="BM20" s="1"/>
      <c r="CC20" s="47"/>
      <c r="CD20" s="146"/>
      <c r="CE20" s="146"/>
      <c r="CF20" s="1"/>
    </row>
    <row r="21" spans="2:84" ht="15" x14ac:dyDescent="0.25">
      <c r="B21" s="1"/>
      <c r="C21" s="1"/>
      <c r="D21" s="1"/>
      <c r="E21" s="1"/>
      <c r="F21" s="1"/>
      <c r="H21" s="20"/>
      <c r="I21" s="1"/>
      <c r="J21" s="192"/>
      <c r="K21" s="20"/>
      <c r="L21" s="195"/>
      <c r="Q21" s="194"/>
      <c r="R21" s="194"/>
      <c r="S21" s="194"/>
      <c r="T21" s="194"/>
      <c r="U21" s="194"/>
      <c r="V21" s="194"/>
      <c r="W21" s="194"/>
      <c r="Y21" s="194"/>
      <c r="Z21" s="194"/>
      <c r="AA21" s="194"/>
      <c r="AB21" s="194"/>
      <c r="AC21" s="194"/>
      <c r="AD21" s="194"/>
      <c r="AI21" s="2"/>
      <c r="AJ21"/>
      <c r="AM21" s="146"/>
      <c r="AN21" s="146"/>
      <c r="AO21" s="1"/>
      <c r="BE21"/>
      <c r="BF21"/>
      <c r="BG21"/>
      <c r="BH21"/>
      <c r="BJ21" s="146"/>
      <c r="BK21" s="146"/>
      <c r="BL21" s="146"/>
      <c r="BM21" s="1"/>
      <c r="CC21" s="47"/>
      <c r="CD21" s="146"/>
      <c r="CE21" s="146"/>
      <c r="CF21" s="1"/>
    </row>
    <row r="22" spans="2:84" ht="15" x14ac:dyDescent="0.25">
      <c r="B22" s="1"/>
      <c r="C22" s="1"/>
      <c r="D22" s="1"/>
      <c r="E22" s="1"/>
      <c r="F22" s="1"/>
      <c r="H22" s="20"/>
      <c r="I22" s="1"/>
      <c r="J22" s="192"/>
      <c r="K22" s="20"/>
      <c r="L22" s="195"/>
      <c r="Q22" s="194"/>
      <c r="R22" s="194"/>
      <c r="S22" s="194"/>
      <c r="T22" s="194"/>
      <c r="U22" s="194"/>
      <c r="V22" s="194"/>
      <c r="W22" s="194"/>
      <c r="Y22" s="194"/>
      <c r="Z22" s="194"/>
      <c r="AA22" s="194"/>
      <c r="AB22" s="194"/>
      <c r="AC22" s="194"/>
      <c r="AD22" s="194"/>
      <c r="AI22" s="2"/>
      <c r="AJ22"/>
      <c r="AM22" s="146"/>
      <c r="AN22" s="146"/>
      <c r="AO22" s="1"/>
      <c r="BE22"/>
      <c r="BF22"/>
      <c r="BG22"/>
      <c r="BH22"/>
      <c r="BJ22" s="146"/>
      <c r="BK22" s="146"/>
      <c r="BL22" s="146"/>
      <c r="BM22" s="1"/>
      <c r="CC22" s="47"/>
      <c r="CD22" s="146"/>
      <c r="CE22" s="146"/>
      <c r="CF22" s="1"/>
    </row>
    <row r="23" spans="2:84" ht="15" x14ac:dyDescent="0.25">
      <c r="B23" s="1"/>
      <c r="C23" s="1"/>
      <c r="D23" s="1"/>
      <c r="E23" s="1"/>
      <c r="F23" s="1"/>
      <c r="H23" s="20"/>
      <c r="I23" s="1"/>
      <c r="J23" s="192"/>
      <c r="K23" s="20"/>
      <c r="L23" s="195"/>
      <c r="Q23" s="194"/>
      <c r="R23" s="194"/>
      <c r="S23" s="194"/>
      <c r="T23" s="194"/>
      <c r="U23" s="194"/>
      <c r="V23" s="194"/>
      <c r="W23" s="194"/>
      <c r="Y23" s="194"/>
      <c r="Z23" s="194"/>
      <c r="AA23" s="194"/>
      <c r="AB23" s="194"/>
      <c r="AC23" s="194"/>
      <c r="AD23" s="194"/>
      <c r="AI23" s="2"/>
      <c r="AJ23"/>
      <c r="AM23" s="146"/>
      <c r="AN23" s="146"/>
      <c r="AO23" s="1"/>
      <c r="BE23"/>
      <c r="BF23"/>
      <c r="BG23"/>
      <c r="BH23"/>
      <c r="BJ23" s="146"/>
      <c r="BK23" s="146"/>
      <c r="BL23" s="146"/>
      <c r="BM23" s="1"/>
      <c r="CC23" s="47"/>
      <c r="CD23" s="146"/>
      <c r="CE23" s="146"/>
      <c r="CF23" s="1"/>
    </row>
    <row r="24" spans="2:84" ht="15" x14ac:dyDescent="0.25">
      <c r="B24" s="1"/>
      <c r="C24" s="1"/>
      <c r="D24" s="1"/>
      <c r="E24" s="1"/>
      <c r="F24" s="1"/>
      <c r="H24" s="20"/>
      <c r="I24" s="1"/>
      <c r="J24" s="192"/>
      <c r="K24" s="20"/>
      <c r="L24" s="195"/>
      <c r="Q24" s="194"/>
      <c r="R24" s="194"/>
      <c r="S24" s="194"/>
      <c r="T24" s="194"/>
      <c r="U24" s="194"/>
      <c r="V24" s="194"/>
      <c r="W24" s="194"/>
      <c r="Y24" s="194"/>
      <c r="Z24" s="194"/>
      <c r="AA24" s="194"/>
      <c r="AB24" s="194"/>
      <c r="AC24" s="194"/>
      <c r="AD24" s="194"/>
      <c r="AI24" s="2"/>
      <c r="AJ24"/>
      <c r="AL24" s="58" t="s">
        <v>103</v>
      </c>
      <c r="AO24" s="1"/>
      <c r="BE24"/>
      <c r="BF24"/>
      <c r="BG24"/>
      <c r="BH24"/>
      <c r="BJ24" s="58" t="s">
        <v>103</v>
      </c>
      <c r="BM24" s="1"/>
      <c r="CC24" s="47"/>
      <c r="CD24" s="146"/>
      <c r="CE24" s="146"/>
      <c r="CF24" s="1"/>
    </row>
    <row r="25" spans="2:84" ht="15" x14ac:dyDescent="0.25">
      <c r="B25" s="1"/>
      <c r="C25" s="1"/>
      <c r="D25" s="1"/>
      <c r="E25" s="1"/>
      <c r="F25" s="1"/>
      <c r="H25" s="20"/>
      <c r="I25" s="1"/>
      <c r="J25" s="192"/>
      <c r="K25" s="20"/>
      <c r="L25" s="195"/>
      <c r="Q25" s="194"/>
      <c r="R25" s="194"/>
      <c r="S25" s="194"/>
      <c r="T25" s="194"/>
      <c r="U25" s="194"/>
      <c r="V25" s="194"/>
      <c r="W25" s="194"/>
      <c r="Y25" s="194"/>
      <c r="Z25" s="194"/>
      <c r="AA25" s="194"/>
      <c r="AB25" s="194"/>
      <c r="AC25" s="194"/>
      <c r="AD25" s="194"/>
      <c r="AI25" s="2"/>
      <c r="AJ25"/>
      <c r="AL25" s="136" t="s">
        <v>161</v>
      </c>
      <c r="AM25" s="130" t="s">
        <v>93</v>
      </c>
      <c r="AN25" s="130"/>
      <c r="AO25" s="130" t="s">
        <v>162</v>
      </c>
      <c r="AP25" s="131"/>
      <c r="BE25"/>
      <c r="BF25"/>
      <c r="BG25"/>
      <c r="BH25"/>
      <c r="BJ25" s="136" t="s">
        <v>161</v>
      </c>
      <c r="BK25" s="130" t="s">
        <v>93</v>
      </c>
      <c r="BL25" s="130"/>
      <c r="BM25" s="130" t="s">
        <v>162</v>
      </c>
      <c r="BN25" s="131"/>
      <c r="CC25" s="47"/>
      <c r="CD25" s="146"/>
      <c r="CE25" s="146"/>
      <c r="CF25" s="1"/>
    </row>
    <row r="26" spans="2:84" ht="15" x14ac:dyDescent="0.25">
      <c r="B26" s="1"/>
      <c r="C26" s="1"/>
      <c r="D26" s="1"/>
      <c r="E26" s="1"/>
      <c r="F26" s="1"/>
      <c r="H26" s="20"/>
      <c r="I26" s="1"/>
      <c r="J26" s="192"/>
      <c r="K26" s="20"/>
      <c r="L26" s="195"/>
      <c r="Q26" s="194"/>
      <c r="R26" s="194"/>
      <c r="S26" s="194"/>
      <c r="T26" s="194"/>
      <c r="U26" s="194"/>
      <c r="V26" s="194"/>
      <c r="W26" s="194"/>
      <c r="Y26" s="194"/>
      <c r="Z26" s="194"/>
      <c r="AA26" s="194"/>
      <c r="AB26" s="194"/>
      <c r="AC26" s="194"/>
      <c r="AD26" s="194"/>
      <c r="AI26" s="2"/>
      <c r="AJ26"/>
      <c r="AL26" s="137" t="s">
        <v>160</v>
      </c>
      <c r="AM26" s="132" t="s">
        <v>93</v>
      </c>
      <c r="AN26" s="132" t="s">
        <v>92</v>
      </c>
      <c r="AO26" s="132" t="s">
        <v>93</v>
      </c>
      <c r="AP26" s="133" t="s">
        <v>92</v>
      </c>
      <c r="BE26"/>
      <c r="BF26"/>
      <c r="BG26"/>
      <c r="BH26"/>
      <c r="BJ26" s="137" t="s">
        <v>160</v>
      </c>
      <c r="BK26" s="132" t="s">
        <v>93</v>
      </c>
      <c r="BL26" s="132" t="s">
        <v>92</v>
      </c>
      <c r="BM26" s="132" t="s">
        <v>93</v>
      </c>
      <c r="BN26" s="133" t="s">
        <v>92</v>
      </c>
      <c r="CC26" s="47"/>
      <c r="CD26" s="146"/>
      <c r="CE26" s="146"/>
      <c r="CF26" s="1"/>
    </row>
    <row r="27" spans="2:84" ht="25.5" x14ac:dyDescent="0.25">
      <c r="B27" s="1"/>
      <c r="C27" s="1"/>
      <c r="D27" s="1"/>
      <c r="E27" s="1"/>
      <c r="F27" s="1"/>
      <c r="H27" s="20"/>
      <c r="I27" s="1"/>
      <c r="J27" s="192"/>
      <c r="K27" s="20"/>
      <c r="L27" s="195"/>
      <c r="Q27" s="194"/>
      <c r="R27" s="194"/>
      <c r="S27" s="194"/>
      <c r="T27" s="194"/>
      <c r="U27" s="194"/>
      <c r="V27" s="194"/>
      <c r="W27" s="194"/>
      <c r="Y27" s="194"/>
      <c r="Z27" s="194"/>
      <c r="AA27" s="194"/>
      <c r="AB27" s="194"/>
      <c r="AC27" s="194"/>
      <c r="AD27" s="194"/>
      <c r="AI27" s="2"/>
      <c r="AJ27"/>
      <c r="AL27" s="138" t="s">
        <v>163</v>
      </c>
      <c r="AM27" s="139" t="s">
        <v>102</v>
      </c>
      <c r="AN27" s="139" t="s">
        <v>101</v>
      </c>
      <c r="AO27" s="139" t="s">
        <v>98</v>
      </c>
      <c r="AP27" s="140" t="s">
        <v>97</v>
      </c>
      <c r="BE27"/>
      <c r="BF27"/>
      <c r="BG27"/>
      <c r="BH27"/>
      <c r="BJ27" s="138" t="s">
        <v>163</v>
      </c>
      <c r="BK27" s="139" t="s">
        <v>102</v>
      </c>
      <c r="BL27" s="139" t="s">
        <v>101</v>
      </c>
      <c r="BM27" s="139" t="s">
        <v>98</v>
      </c>
      <c r="BN27" s="140" t="s">
        <v>97</v>
      </c>
      <c r="CC27" s="47"/>
      <c r="CD27" s="146"/>
      <c r="CE27" s="146"/>
      <c r="CF27" s="1"/>
    </row>
    <row r="28" spans="2:84" ht="15" x14ac:dyDescent="0.25">
      <c r="B28" s="1"/>
      <c r="C28" s="1"/>
      <c r="D28" s="1"/>
      <c r="E28" s="1"/>
      <c r="F28" s="1"/>
      <c r="H28" s="20"/>
      <c r="I28" s="1"/>
      <c r="J28" s="192"/>
      <c r="K28" s="20"/>
      <c r="L28" s="195"/>
      <c r="Q28" s="194"/>
      <c r="R28" s="194"/>
      <c r="S28" s="194"/>
      <c r="T28" s="194"/>
      <c r="U28" s="194"/>
      <c r="V28" s="194"/>
      <c r="W28" s="194"/>
      <c r="Y28" s="194"/>
      <c r="Z28" s="194"/>
      <c r="AA28" s="194"/>
      <c r="AB28" s="194"/>
      <c r="AC28" s="194"/>
      <c r="AD28" s="194"/>
      <c r="AI28" s="2"/>
      <c r="AJ28"/>
      <c r="AL28" s="129" t="s">
        <v>166</v>
      </c>
      <c r="AM28" s="16">
        <f>COUNTIF($AT$51:$AT$117,0)</f>
        <v>13</v>
      </c>
      <c r="AN28" s="16">
        <f>COUNTIF($AT$51:$AT$117,2)</f>
        <v>0</v>
      </c>
      <c r="AO28" s="16">
        <f>COUNTIF($AT$51:$AT$117,1)</f>
        <v>47</v>
      </c>
      <c r="AP28" s="16">
        <f>COUNTIF($AT$51:$AT$117,3)</f>
        <v>0</v>
      </c>
      <c r="BE28"/>
      <c r="BF28"/>
      <c r="BG28"/>
      <c r="BH28"/>
      <c r="BJ28" s="129" t="s">
        <v>166</v>
      </c>
      <c r="BK28" s="16">
        <f>COUNTIF(BR51:BR117,0)</f>
        <v>13</v>
      </c>
      <c r="BL28" s="16">
        <f>COUNTIF(BR51:BR117,2)</f>
        <v>0</v>
      </c>
      <c r="BM28" s="16">
        <f>COUNTIF(BR51:BR117,1)</f>
        <v>47</v>
      </c>
      <c r="BN28" s="16">
        <f>COUNTIF(BR51:BR117,3)</f>
        <v>0</v>
      </c>
      <c r="CC28" s="47"/>
      <c r="CD28" s="146"/>
      <c r="CE28" s="146"/>
      <c r="CF28" s="1"/>
    </row>
    <row r="29" spans="2:84" ht="15" x14ac:dyDescent="0.25">
      <c r="B29" s="1"/>
      <c r="C29" s="1"/>
      <c r="D29" s="1"/>
      <c r="E29" s="1"/>
      <c r="F29" s="1"/>
      <c r="H29" s="20"/>
      <c r="I29" s="1"/>
      <c r="J29" s="192"/>
      <c r="K29" s="20"/>
      <c r="L29" s="195"/>
      <c r="Q29" s="194"/>
      <c r="R29" s="194"/>
      <c r="S29" s="194"/>
      <c r="T29" s="194"/>
      <c r="U29" s="194"/>
      <c r="V29" s="194"/>
      <c r="W29" s="194"/>
      <c r="Y29" s="194"/>
      <c r="Z29" s="194"/>
      <c r="AA29" s="194"/>
      <c r="AB29" s="194"/>
      <c r="AC29" s="194"/>
      <c r="AD29" s="194"/>
      <c r="AI29" s="2"/>
      <c r="AJ29"/>
      <c r="AO29" s="1"/>
      <c r="BE29"/>
      <c r="BF29"/>
      <c r="BG29"/>
      <c r="BH29"/>
      <c r="BM29" s="1"/>
      <c r="CC29" s="47"/>
      <c r="CD29" s="146"/>
      <c r="CE29" s="146"/>
      <c r="CF29" s="1"/>
    </row>
    <row r="30" spans="2:84" ht="15" x14ac:dyDescent="0.25">
      <c r="B30" s="7"/>
      <c r="C30" s="7"/>
      <c r="D30" s="7"/>
      <c r="E30" s="7"/>
      <c r="F30" s="7"/>
      <c r="H30" s="20"/>
      <c r="I30" s="1"/>
      <c r="J30" s="192"/>
      <c r="K30" s="20"/>
      <c r="L30" s="195"/>
      <c r="N30"/>
      <c r="O30"/>
      <c r="S30" s="194"/>
      <c r="T30" s="194"/>
      <c r="U30" s="194"/>
      <c r="V30" s="194"/>
      <c r="W30" s="194"/>
      <c r="Y30" s="194"/>
      <c r="Z30" s="194"/>
      <c r="AA30" s="194"/>
      <c r="AB30" s="194"/>
      <c r="AC30" s="194"/>
      <c r="AD30" s="194"/>
      <c r="AI30" s="2"/>
      <c r="AJ30"/>
      <c r="AL30" s="58" t="s">
        <v>190</v>
      </c>
      <c r="BE30"/>
      <c r="BF30"/>
      <c r="BG30"/>
      <c r="BH30"/>
      <c r="BM30" s="1"/>
      <c r="CC30" s="47"/>
      <c r="CD30" s="146"/>
      <c r="CE30" s="146"/>
      <c r="CF30" s="1"/>
    </row>
    <row r="31" spans="2:84" ht="15" x14ac:dyDescent="0.25">
      <c r="B31" s="212" t="s">
        <v>255</v>
      </c>
      <c r="C31" s="216"/>
      <c r="D31" s="214"/>
      <c r="E31" s="216"/>
      <c r="F31" s="217"/>
      <c r="H31" s="20"/>
      <c r="I31" s="1"/>
      <c r="J31" s="192"/>
      <c r="K31" s="20"/>
      <c r="N31"/>
      <c r="O31"/>
      <c r="AI31" s="2"/>
      <c r="AJ31"/>
      <c r="AL31" s="233"/>
      <c r="AM31" s="78" t="s">
        <v>90</v>
      </c>
      <c r="AN31" s="77" t="s">
        <v>89</v>
      </c>
      <c r="AO31" s="76"/>
      <c r="BE31"/>
      <c r="BF31"/>
      <c r="BG31"/>
      <c r="BH31"/>
      <c r="BJ31" s="58" t="s">
        <v>190</v>
      </c>
      <c r="BM31" s="1"/>
      <c r="CC31" s="47"/>
      <c r="CD31" s="146"/>
      <c r="CE31" s="146"/>
      <c r="CF31" s="1"/>
    </row>
    <row r="32" spans="2:84" ht="15" x14ac:dyDescent="0.25">
      <c r="B32" s="201" t="s">
        <v>91</v>
      </c>
      <c r="C32" s="202" t="s">
        <v>240</v>
      </c>
      <c r="D32" s="91"/>
      <c r="E32" s="203">
        <f>2.7/1000</f>
        <v>2.7000000000000001E-3</v>
      </c>
      <c r="F32" s="204" t="s">
        <v>94</v>
      </c>
      <c r="G32" s="198"/>
      <c r="I32" s="1"/>
      <c r="J32" s="192"/>
      <c r="K32" s="20"/>
      <c r="N32"/>
      <c r="O32"/>
      <c r="AI32" s="2"/>
      <c r="AJ32"/>
      <c r="AL32" s="234" t="s">
        <v>88</v>
      </c>
      <c r="AM32" s="146">
        <f>AVERAGE(AJ51:AJ117)</f>
        <v>996.0134054106536</v>
      </c>
      <c r="AN32" s="146">
        <f>AVERAGE($AH51:$AH60,$AI64:$AI83,$AH86:$AH88,$AI91:$AI117)</f>
        <v>1.5575297619047606</v>
      </c>
      <c r="AO32" s="1"/>
      <c r="BE32"/>
      <c r="BF32"/>
      <c r="BG32"/>
      <c r="BH32"/>
      <c r="BJ32" s="233"/>
      <c r="BK32" s="78" t="s">
        <v>90</v>
      </c>
      <c r="BL32" s="77" t="s">
        <v>89</v>
      </c>
      <c r="BM32" s="76"/>
      <c r="CC32" s="47"/>
      <c r="CD32" s="146"/>
      <c r="CE32" s="146"/>
      <c r="CF32" s="1"/>
    </row>
    <row r="33" spans="1:110" ht="15" x14ac:dyDescent="0.25">
      <c r="B33" s="205" t="s">
        <v>241</v>
      </c>
      <c r="C33" s="193" t="s">
        <v>242</v>
      </c>
      <c r="E33" s="357">
        <f>(0.025-2*E32)/2</f>
        <v>9.7999999999999997E-3</v>
      </c>
      <c r="F33" s="9" t="s">
        <v>94</v>
      </c>
      <c r="G33" s="198"/>
      <c r="I33" s="1"/>
      <c r="J33" s="192"/>
      <c r="K33" s="20"/>
      <c r="N33"/>
      <c r="O33"/>
      <c r="AI33" s="2"/>
      <c r="AJ33"/>
      <c r="AL33" s="75" t="s">
        <v>85</v>
      </c>
      <c r="AM33" s="146">
        <f>MAX(AJ51:AJ117)</f>
        <v>14620.095286672622</v>
      </c>
      <c r="AN33" s="146">
        <f>MAX($AH51:$AH60,$AI64:$AI83,$AH86:$AH88,$AI91:$AI117)</f>
        <v>47</v>
      </c>
      <c r="AO33" s="1"/>
      <c r="BE33"/>
      <c r="BF33"/>
      <c r="BG33"/>
      <c r="BH33"/>
      <c r="BJ33" s="234" t="s">
        <v>88</v>
      </c>
      <c r="BK33" s="146">
        <f>AVERAGE(BE51:BE117)</f>
        <v>104.36970119395414</v>
      </c>
      <c r="BL33" s="146">
        <f>AVERAGE($AH52:$AH61,$AI65:$AI84,$AH87:$AH89,$AI92:$AI118)</f>
        <v>0.81255739795918536</v>
      </c>
      <c r="BM33" s="1"/>
      <c r="CC33" s="47"/>
      <c r="CD33" s="146"/>
      <c r="CE33" s="146"/>
      <c r="CF33" s="1"/>
    </row>
    <row r="34" spans="1:110" ht="15" x14ac:dyDescent="0.25">
      <c r="B34" s="205" t="s">
        <v>243</v>
      </c>
      <c r="C34" s="193" t="s">
        <v>244</v>
      </c>
      <c r="E34" s="199" t="s">
        <v>254</v>
      </c>
      <c r="I34" s="1"/>
      <c r="J34" s="192"/>
      <c r="K34" s="20"/>
      <c r="N34"/>
      <c r="O34"/>
      <c r="W34" s="238"/>
      <c r="AD34" s="238"/>
      <c r="AI34" s="2"/>
      <c r="AJ34"/>
      <c r="AL34" s="75" t="s">
        <v>87</v>
      </c>
      <c r="AM34" s="146">
        <f>MEDIAN(AJ51:AJ117)</f>
        <v>155.65660328904679</v>
      </c>
      <c r="AN34" s="146">
        <f>MEDIAN($AH51:$AH60,$AI64:$AI83,$AH86:$AH88,$AI91:$AI117)</f>
        <v>0.05</v>
      </c>
      <c r="BE34"/>
      <c r="BF34"/>
      <c r="BG34"/>
      <c r="BH34"/>
      <c r="BJ34" s="75" t="s">
        <v>85</v>
      </c>
      <c r="BK34" s="146">
        <f>MAX(BE51:BE117)</f>
        <v>1222.6315915436001</v>
      </c>
      <c r="BL34" s="146">
        <f>MAX($AH52:$AH61,$AI65:$AI84,$AH87:$AH89,$AI92:$AI118)</f>
        <v>18</v>
      </c>
      <c r="BM34" s="1"/>
      <c r="CC34" s="47"/>
      <c r="CD34" s="146"/>
      <c r="CE34" s="146"/>
      <c r="CF34" s="1"/>
    </row>
    <row r="35" spans="1:110" ht="15" x14ac:dyDescent="0.25">
      <c r="B35" s="205" t="s">
        <v>245</v>
      </c>
      <c r="C35" s="193" t="s">
        <v>246</v>
      </c>
      <c r="E35" s="199" t="s">
        <v>254</v>
      </c>
      <c r="F35" s="9"/>
      <c r="I35" s="1"/>
      <c r="J35" s="192"/>
      <c r="K35" s="20"/>
      <c r="N35"/>
      <c r="O35"/>
      <c r="AI35" s="2"/>
      <c r="AJ35"/>
      <c r="AL35" s="73" t="s">
        <v>86</v>
      </c>
      <c r="AM35" s="146">
        <f>MIN(AJ51:AJ117)</f>
        <v>0.35680859673967191</v>
      </c>
      <c r="AN35" s="146">
        <f>MIN($AH51:$AH60,$AI64:$AI83,$AH86:$AH88,$AI91:$AI117)</f>
        <v>0.02</v>
      </c>
      <c r="AO35" s="1"/>
      <c r="BE35"/>
      <c r="BF35"/>
      <c r="BG35"/>
      <c r="BH35"/>
      <c r="BJ35" s="75" t="s">
        <v>87</v>
      </c>
      <c r="BK35" s="146">
        <f>MEDIAN(BE51:BE117)</f>
        <v>34.424289132239061</v>
      </c>
      <c r="BL35" s="146">
        <f>MEDIAN($AH52:$AH61,$AI65:$AI84,$AH87:$AH89,$AI92:$AI118)</f>
        <v>0.05</v>
      </c>
      <c r="BM35" s="1"/>
      <c r="CC35" s="47"/>
      <c r="CD35" s="146"/>
      <c r="CE35" s="146"/>
      <c r="CF35" s="1"/>
    </row>
    <row r="36" spans="1:110" ht="15" x14ac:dyDescent="0.25">
      <c r="B36" s="205" t="s">
        <v>247</v>
      </c>
      <c r="C36" s="193" t="s">
        <v>248</v>
      </c>
      <c r="E36" s="200">
        <v>25</v>
      </c>
      <c r="F36" s="9" t="s">
        <v>94</v>
      </c>
      <c r="I36" s="1"/>
      <c r="J36" s="192"/>
      <c r="K36" s="20"/>
      <c r="N36"/>
      <c r="O36"/>
      <c r="AI36" s="2"/>
      <c r="AJ36"/>
      <c r="AL36" s="58"/>
      <c r="AO36" s="1"/>
      <c r="BE36"/>
      <c r="BF36"/>
      <c r="BG36"/>
      <c r="BH36"/>
      <c r="BJ36" s="73" t="s">
        <v>86</v>
      </c>
      <c r="BK36" s="146">
        <f>MIN(BE51:BE117)</f>
        <v>0.11926563342747339</v>
      </c>
      <c r="BL36" s="146">
        <f>MIN($AH52:$AH61,$AI65:$AI84,$AH87:$AH89,$AI92:$AI118)</f>
        <v>0.02</v>
      </c>
      <c r="BM36" s="1"/>
      <c r="CC36" s="47"/>
      <c r="CD36" s="146"/>
      <c r="CE36" s="146"/>
      <c r="CF36" s="1"/>
    </row>
    <row r="37" spans="1:110" ht="15" x14ac:dyDescent="0.25">
      <c r="B37" s="205" t="s">
        <v>249</v>
      </c>
      <c r="C37" s="193" t="s">
        <v>250</v>
      </c>
      <c r="E37" s="200">
        <v>0.5</v>
      </c>
      <c r="F37" s="9" t="s">
        <v>251</v>
      </c>
      <c r="I37" s="1"/>
      <c r="J37" s="192"/>
      <c r="K37" s="20"/>
      <c r="N37"/>
      <c r="O37"/>
      <c r="AI37" s="2"/>
      <c r="AJ37"/>
      <c r="BE37"/>
      <c r="BF37"/>
      <c r="BG37"/>
      <c r="BH37"/>
      <c r="BM37" s="1"/>
      <c r="CC37" s="47"/>
      <c r="CD37" s="146"/>
      <c r="CE37" s="146"/>
      <c r="CF37" s="1"/>
    </row>
    <row r="38" spans="1:110" x14ac:dyDescent="0.2">
      <c r="B38" s="206" t="s">
        <v>252</v>
      </c>
      <c r="C38" s="4" t="s">
        <v>253</v>
      </c>
      <c r="D38" s="4"/>
      <c r="E38" s="222">
        <f>8/24</f>
        <v>0.33333333333333331</v>
      </c>
      <c r="F38" s="93" t="s">
        <v>91</v>
      </c>
      <c r="I38" s="1"/>
      <c r="J38" s="192"/>
      <c r="K38" s="20"/>
      <c r="N38"/>
      <c r="O38"/>
      <c r="AI38" s="2"/>
      <c r="AJ38"/>
      <c r="AL38" s="235" t="s">
        <v>283</v>
      </c>
      <c r="BE38"/>
      <c r="BF38"/>
      <c r="BG38"/>
      <c r="BH38"/>
      <c r="BJ38" s="235" t="s">
        <v>283</v>
      </c>
      <c r="BM38" s="1"/>
      <c r="CC38" s="47"/>
      <c r="CD38" s="146"/>
      <c r="CE38" s="146"/>
      <c r="CF38" s="1"/>
    </row>
    <row r="39" spans="1:110" x14ac:dyDescent="0.2">
      <c r="C39" s="1"/>
      <c r="E39" s="1"/>
      <c r="F39" s="1"/>
      <c r="H39" s="20"/>
      <c r="I39" s="1"/>
      <c r="J39" s="192"/>
      <c r="K39" s="20"/>
      <c r="N39"/>
      <c r="O39"/>
      <c r="AI39" s="2"/>
      <c r="AJ39"/>
      <c r="AL39" s="79"/>
      <c r="AM39" s="129" t="s">
        <v>284</v>
      </c>
      <c r="AN39" s="129" t="s">
        <v>307</v>
      </c>
      <c r="AO39" s="1"/>
      <c r="BE39"/>
      <c r="BF39"/>
      <c r="BG39"/>
      <c r="BH39"/>
      <c r="BJ39" s="79"/>
      <c r="BK39" s="129" t="s">
        <v>284</v>
      </c>
      <c r="BL39" s="129" t="s">
        <v>307</v>
      </c>
      <c r="BM39" s="1"/>
      <c r="CC39" s="47"/>
      <c r="CD39" s="146"/>
      <c r="CE39" s="146"/>
      <c r="CF39" s="1"/>
    </row>
    <row r="40" spans="1:110" x14ac:dyDescent="0.2">
      <c r="B40" s="218" t="s">
        <v>100</v>
      </c>
      <c r="C40" s="207"/>
      <c r="D40" s="82"/>
      <c r="E40" s="219">
        <f>PI()*(E33)^2</f>
        <v>3.0171855845076374E-4</v>
      </c>
      <c r="F40" s="81" t="s">
        <v>99</v>
      </c>
      <c r="H40" s="20"/>
      <c r="I40" s="1"/>
      <c r="J40" s="192"/>
      <c r="K40" s="20"/>
      <c r="N40"/>
      <c r="O40"/>
      <c r="AI40" s="2"/>
      <c r="AJ40"/>
      <c r="AL40" s="236" t="s">
        <v>274</v>
      </c>
      <c r="AM40" s="146">
        <f>PERCENTILE((AM51:AM60,AM86:AM88),0.5)</f>
        <v>133.18697506573906</v>
      </c>
      <c r="AN40" s="146">
        <f>PERCENTILE((AM51:AM117),0.5)</f>
        <v>2291.1063488809305</v>
      </c>
      <c r="AO40" s="1"/>
      <c r="BE40"/>
      <c r="BF40"/>
      <c r="BG40"/>
      <c r="BH40"/>
      <c r="BJ40" s="236" t="s">
        <v>274</v>
      </c>
      <c r="BK40" s="146">
        <f>PERCENTILE((BK51:BK60,BK86:BK88),0.5)</f>
        <v>14.630166343617436</v>
      </c>
      <c r="BL40" s="146">
        <f>PERCENTILE((BK51:BK117),0.5)</f>
        <v>469.54691700912514</v>
      </c>
      <c r="BM40" s="1"/>
      <c r="CC40" s="47"/>
      <c r="CD40" s="146"/>
      <c r="CE40" s="146"/>
      <c r="CF40" s="1"/>
    </row>
    <row r="41" spans="1:110" x14ac:dyDescent="0.2">
      <c r="B41" s="80" t="s">
        <v>96</v>
      </c>
      <c r="C41" s="196"/>
      <c r="D41" s="7"/>
      <c r="E41" s="220">
        <f>PI()*E33*2</f>
        <v>6.1575216010359944E-2</v>
      </c>
      <c r="F41" s="221" t="s">
        <v>95</v>
      </c>
      <c r="H41" s="20"/>
      <c r="I41" s="1"/>
      <c r="J41" s="192"/>
      <c r="K41" s="20"/>
      <c r="AI41" s="2"/>
      <c r="AJ41"/>
      <c r="AL41" s="237" t="s">
        <v>275</v>
      </c>
      <c r="AM41" s="146">
        <f>PERCENTILE((AM51:AM60,AM86:AM88),0.1)</f>
        <v>19.027814786037936</v>
      </c>
      <c r="AN41" s="146">
        <f>PERCENTILE((AM51:AM117),0.1)</f>
        <v>25.395959062242937</v>
      </c>
      <c r="BE41"/>
      <c r="BF41"/>
      <c r="BG41"/>
      <c r="BH41"/>
      <c r="BJ41" s="237" t="s">
        <v>275</v>
      </c>
      <c r="BK41" s="146">
        <f>PERCENTILE((BK51:BK60,BK86:BK88),0.1)</f>
        <v>3.5774535440721569</v>
      </c>
      <c r="BL41" s="146">
        <f>PERCENTILE((BK51:BK117),0.1)</f>
        <v>5.3373467897016429</v>
      </c>
      <c r="BM41" s="1"/>
      <c r="CC41" s="47"/>
      <c r="CD41" s="146"/>
      <c r="CE41" s="146"/>
      <c r="CF41" s="1"/>
    </row>
    <row r="42" spans="1:110" x14ac:dyDescent="0.2">
      <c r="E42" s="1"/>
      <c r="J42" s="71"/>
      <c r="AO42" s="1"/>
      <c r="BJ42" t="s">
        <v>308</v>
      </c>
      <c r="BK42" s="267">
        <f>PERCENTILE((BK51:BK60,BK86:BK88),0.9)</f>
        <v>249.83910265229872</v>
      </c>
      <c r="BM42" s="1"/>
      <c r="CF42" s="1"/>
    </row>
    <row r="43" spans="1:110" s="58" customFormat="1" x14ac:dyDescent="0.2">
      <c r="A43" s="64" t="s">
        <v>84</v>
      </c>
      <c r="B43" s="60"/>
      <c r="C43" s="60"/>
      <c r="D43" s="60"/>
      <c r="E43" s="60"/>
      <c r="F43" s="69"/>
      <c r="G43" s="66" t="s">
        <v>83</v>
      </c>
      <c r="H43" s="68"/>
      <c r="I43" s="67" t="s">
        <v>82</v>
      </c>
      <c r="J43" s="66"/>
      <c r="K43" s="148"/>
      <c r="L43" s="66" t="s">
        <v>168</v>
      </c>
      <c r="M43" s="66"/>
      <c r="N43" s="65" t="s">
        <v>81</v>
      </c>
      <c r="O43" s="61"/>
      <c r="P43" s="60"/>
      <c r="Q43" s="60"/>
      <c r="R43" s="64" t="s">
        <v>258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2" t="s">
        <v>80</v>
      </c>
      <c r="AH43" s="63"/>
      <c r="AI43" s="61"/>
      <c r="AJ43" s="163" t="s">
        <v>201</v>
      </c>
      <c r="AK43" s="164"/>
      <c r="AL43" s="65"/>
      <c r="AM43" s="61"/>
      <c r="AN43" s="61"/>
      <c r="AO43" s="66"/>
      <c r="AP43" s="66"/>
      <c r="AQ43" s="60"/>
      <c r="AR43" s="60"/>
      <c r="AS43" s="60"/>
      <c r="AT43" s="59"/>
      <c r="AU43" s="158"/>
      <c r="AV43" s="66"/>
      <c r="AW43" s="60"/>
      <c r="AX43" s="60"/>
      <c r="AY43" s="59"/>
      <c r="AZ43" s="173"/>
      <c r="BA43" s="173"/>
      <c r="BB43" s="173"/>
      <c r="BC43" s="173"/>
      <c r="BD43" s="173"/>
      <c r="BE43" s="163" t="s">
        <v>202</v>
      </c>
      <c r="BF43" s="184"/>
      <c r="BG43" s="184"/>
      <c r="BH43" s="184"/>
      <c r="BI43" s="164"/>
      <c r="BJ43" s="65"/>
      <c r="BK43" s="61"/>
      <c r="BL43" s="61"/>
      <c r="BM43" s="66"/>
      <c r="BN43" s="66"/>
      <c r="BO43" s="60"/>
      <c r="BP43" s="60"/>
      <c r="BQ43" s="60"/>
      <c r="BR43" s="59"/>
      <c r="BS43" s="158"/>
      <c r="BT43" s="66"/>
      <c r="BU43" s="60"/>
      <c r="BV43" s="60"/>
      <c r="BW43" s="59"/>
      <c r="BX43" s="173"/>
      <c r="BY43" s="173"/>
      <c r="BZ43" s="173"/>
      <c r="CA43" s="173"/>
      <c r="CB43" s="173"/>
      <c r="CC43" s="65" t="s">
        <v>196</v>
      </c>
      <c r="CD43" s="61"/>
      <c r="CE43" s="61"/>
      <c r="CF43" s="66"/>
      <c r="CG43" s="66"/>
      <c r="CH43" s="60"/>
      <c r="CI43" s="60"/>
      <c r="CJ43" s="60"/>
      <c r="CK43" s="59"/>
      <c r="CL43" s="158"/>
      <c r="CM43" s="68"/>
      <c r="CN43" s="68"/>
      <c r="CO43" s="68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180"/>
    </row>
    <row r="44" spans="1:110" ht="38.25" x14ac:dyDescent="0.2">
      <c r="A44" s="113" t="s">
        <v>79</v>
      </c>
      <c r="B44" s="114" t="s">
        <v>144</v>
      </c>
      <c r="C44" s="110" t="s">
        <v>78</v>
      </c>
      <c r="D44" s="110" t="s">
        <v>77</v>
      </c>
      <c r="E44" s="110" t="s">
        <v>76</v>
      </c>
      <c r="F44" s="115" t="s">
        <v>75</v>
      </c>
      <c r="G44" s="110" t="s">
        <v>74</v>
      </c>
      <c r="H44" s="116" t="s">
        <v>73</v>
      </c>
      <c r="I44" s="113" t="s">
        <v>72</v>
      </c>
      <c r="J44" s="110" t="s">
        <v>71</v>
      </c>
      <c r="K44" s="147" t="s">
        <v>70</v>
      </c>
      <c r="L44" s="114" t="s">
        <v>169</v>
      </c>
      <c r="M44" s="147" t="s">
        <v>170</v>
      </c>
      <c r="N44" s="114" t="s">
        <v>69</v>
      </c>
      <c r="O44" s="117" t="s">
        <v>156</v>
      </c>
      <c r="P44" s="112" t="s">
        <v>68</v>
      </c>
      <c r="Q44" s="112"/>
      <c r="R44" s="111" t="s">
        <v>237</v>
      </c>
      <c r="S44" s="112"/>
      <c r="T44" s="112"/>
      <c r="U44" s="112"/>
      <c r="V44" s="112"/>
      <c r="W44" s="112"/>
      <c r="X44" s="115"/>
      <c r="Y44" s="112" t="s">
        <v>67</v>
      </c>
      <c r="Z44" s="112"/>
      <c r="AA44" s="112"/>
      <c r="AB44" s="112"/>
      <c r="AC44" s="112"/>
      <c r="AD44" s="112"/>
      <c r="AE44" s="112"/>
      <c r="AF44" s="111" t="s">
        <v>155</v>
      </c>
      <c r="AG44" s="141" t="s">
        <v>66</v>
      </c>
      <c r="AH44" s="179" t="s">
        <v>197</v>
      </c>
      <c r="AI44" s="161" t="s">
        <v>64</v>
      </c>
      <c r="AJ44" s="165" t="s">
        <v>165</v>
      </c>
      <c r="AK44" s="166" t="s">
        <v>65</v>
      </c>
      <c r="AL44" s="179" t="s">
        <v>192</v>
      </c>
      <c r="AM44" s="174" t="s">
        <v>63</v>
      </c>
      <c r="AN44" s="116"/>
      <c r="AO44" s="116" t="s">
        <v>62</v>
      </c>
      <c r="AP44" s="114" t="s">
        <v>158</v>
      </c>
      <c r="AQ44" s="128"/>
      <c r="AR44" s="114" t="s">
        <v>159</v>
      </c>
      <c r="AS44" s="52"/>
      <c r="AT44" s="116" t="s">
        <v>60</v>
      </c>
      <c r="AU44" s="159" t="s">
        <v>176</v>
      </c>
      <c r="AV44" s="160" t="s">
        <v>185</v>
      </c>
      <c r="AW44" s="57" t="s">
        <v>108</v>
      </c>
      <c r="AX44" s="57" t="s">
        <v>107</v>
      </c>
      <c r="AY44" s="56" t="s">
        <v>106</v>
      </c>
      <c r="AZ44" s="142"/>
      <c r="BA44" s="142"/>
      <c r="BB44" s="142"/>
      <c r="BC44" s="142"/>
      <c r="BD44" s="142"/>
      <c r="BE44" s="165" t="s">
        <v>165</v>
      </c>
      <c r="BF44" s="185" t="s">
        <v>259</v>
      </c>
      <c r="BG44" s="185"/>
      <c r="BH44" s="185"/>
      <c r="BI44" s="166" t="s">
        <v>65</v>
      </c>
      <c r="BJ44" s="179" t="s">
        <v>192</v>
      </c>
      <c r="BK44" s="174" t="s">
        <v>63</v>
      </c>
      <c r="BL44" s="116"/>
      <c r="BM44" s="116" t="s">
        <v>62</v>
      </c>
      <c r="BN44" s="114" t="s">
        <v>158</v>
      </c>
      <c r="BO44" s="128"/>
      <c r="BP44" s="114" t="s">
        <v>159</v>
      </c>
      <c r="BQ44" s="52"/>
      <c r="BR44" s="116" t="s">
        <v>60</v>
      </c>
      <c r="BS44" s="159" t="s">
        <v>176</v>
      </c>
      <c r="BT44" s="160" t="s">
        <v>185</v>
      </c>
      <c r="BU44" s="57" t="s">
        <v>108</v>
      </c>
      <c r="BV44" s="57" t="s">
        <v>107</v>
      </c>
      <c r="BW44" s="56" t="s">
        <v>106</v>
      </c>
      <c r="BX44" s="142"/>
      <c r="BY44" s="142"/>
      <c r="BZ44" s="142"/>
      <c r="CA44" s="142"/>
      <c r="CB44" s="142"/>
      <c r="CC44" s="179" t="s">
        <v>192</v>
      </c>
      <c r="CD44" s="181" t="s">
        <v>207</v>
      </c>
      <c r="CE44" s="116"/>
      <c r="CF44" s="116" t="s">
        <v>62</v>
      </c>
      <c r="CG44" s="114" t="s">
        <v>158</v>
      </c>
      <c r="CH44" s="128"/>
      <c r="CI44" s="114" t="s">
        <v>159</v>
      </c>
      <c r="CJ44" s="52"/>
      <c r="CK44" s="116" t="s">
        <v>60</v>
      </c>
      <c r="CL44" s="126" t="s">
        <v>82</v>
      </c>
      <c r="CM44" s="156"/>
      <c r="CN44" s="156"/>
      <c r="CO44" s="157"/>
      <c r="CP44" s="156" t="s">
        <v>194</v>
      </c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6"/>
      <c r="DE44" s="156"/>
      <c r="DF44" s="157"/>
    </row>
    <row r="45" spans="1:110" x14ac:dyDescent="0.2">
      <c r="A45" s="55"/>
      <c r="B45" s="46"/>
      <c r="C45" s="47"/>
      <c r="D45" s="52"/>
      <c r="E45" s="52"/>
      <c r="F45" s="54"/>
      <c r="G45" s="52"/>
      <c r="H45" s="52"/>
      <c r="I45" s="53"/>
      <c r="J45" s="46"/>
      <c r="K45" s="51"/>
      <c r="L45" s="52"/>
      <c r="M45" s="54"/>
      <c r="N45" s="49" t="s">
        <v>56</v>
      </c>
      <c r="O45" s="49" t="s">
        <v>59</v>
      </c>
      <c r="P45" s="47" t="s">
        <v>58</v>
      </c>
      <c r="Q45" s="47"/>
      <c r="R45" s="46" t="s">
        <v>238</v>
      </c>
      <c r="S45" s="46" t="s">
        <v>139</v>
      </c>
      <c r="T45" s="46" t="s">
        <v>233</v>
      </c>
      <c r="U45" s="46" t="s">
        <v>234</v>
      </c>
      <c r="V45" s="46" t="s">
        <v>235</v>
      </c>
      <c r="W45" s="46" t="s">
        <v>239</v>
      </c>
      <c r="X45" s="51" t="s">
        <v>146</v>
      </c>
      <c r="Y45" s="46" t="s">
        <v>230</v>
      </c>
      <c r="Z45" s="46" t="s">
        <v>232</v>
      </c>
      <c r="AA45" s="46" t="s">
        <v>233</v>
      </c>
      <c r="AB45" s="46" t="s">
        <v>234</v>
      </c>
      <c r="AC45" s="46" t="s">
        <v>235</v>
      </c>
      <c r="AD45" s="46" t="s">
        <v>236</v>
      </c>
      <c r="AE45" s="46" t="s">
        <v>141</v>
      </c>
      <c r="AF45" s="46" t="s">
        <v>145</v>
      </c>
      <c r="AG45" s="101" t="s">
        <v>57</v>
      </c>
      <c r="AH45" s="48" t="s">
        <v>54</v>
      </c>
      <c r="AI45" s="47" t="s">
        <v>53</v>
      </c>
      <c r="AJ45" s="48" t="s">
        <v>55</v>
      </c>
      <c r="AK45" s="45" t="s">
        <v>56</v>
      </c>
      <c r="AL45" s="179" t="s">
        <v>90</v>
      </c>
      <c r="AM45" s="52" t="s">
        <v>186</v>
      </c>
      <c r="AN45" s="46" t="s">
        <v>188</v>
      </c>
      <c r="AO45" s="47" t="s">
        <v>52</v>
      </c>
      <c r="AP45" s="127" t="s">
        <v>61</v>
      </c>
      <c r="AQ45" s="125" t="s">
        <v>157</v>
      </c>
      <c r="AR45" s="127" t="s">
        <v>61</v>
      </c>
      <c r="AS45" s="125" t="s">
        <v>157</v>
      </c>
      <c r="AT45" s="49"/>
      <c r="AU45" s="55"/>
      <c r="AV45" s="46"/>
      <c r="AW45" s="46"/>
      <c r="AX45" s="46"/>
      <c r="AY45" s="51"/>
      <c r="AZ45" s="142"/>
      <c r="BA45" s="142"/>
      <c r="BB45" s="142"/>
      <c r="BC45" s="142"/>
      <c r="BD45" s="142"/>
      <c r="BE45" s="48" t="s">
        <v>55</v>
      </c>
      <c r="BF45" s="52"/>
      <c r="BG45" s="49"/>
      <c r="BH45" s="49"/>
      <c r="BI45" s="45" t="s">
        <v>56</v>
      </c>
      <c r="BJ45" s="179" t="s">
        <v>90</v>
      </c>
      <c r="BK45" s="52" t="s">
        <v>186</v>
      </c>
      <c r="BL45" s="46" t="s">
        <v>188</v>
      </c>
      <c r="BM45" s="47" t="s">
        <v>52</v>
      </c>
      <c r="BN45" s="127" t="s">
        <v>61</v>
      </c>
      <c r="BO45" s="125" t="s">
        <v>157</v>
      </c>
      <c r="BP45" s="127" t="s">
        <v>61</v>
      </c>
      <c r="BQ45" s="125" t="s">
        <v>157</v>
      </c>
      <c r="BR45" s="49"/>
      <c r="BS45" s="55"/>
      <c r="BT45" s="46"/>
      <c r="BU45" s="46"/>
      <c r="BV45" s="46"/>
      <c r="BW45" s="51"/>
      <c r="BX45" s="142"/>
      <c r="BY45" s="142"/>
      <c r="BZ45" s="142"/>
      <c r="CA45" s="142"/>
      <c r="CB45" s="142"/>
      <c r="CC45" s="179" t="s">
        <v>90</v>
      </c>
      <c r="CD45" s="52"/>
      <c r="CE45" s="46" t="s">
        <v>188</v>
      </c>
      <c r="CF45" s="47" t="s">
        <v>52</v>
      </c>
      <c r="CG45" s="127" t="s">
        <v>61</v>
      </c>
      <c r="CH45" s="125" t="s">
        <v>157</v>
      </c>
      <c r="CI45" s="127" t="s">
        <v>61</v>
      </c>
      <c r="CJ45" s="125" t="s">
        <v>157</v>
      </c>
      <c r="CK45" s="49"/>
      <c r="CL45" s="55"/>
      <c r="CM45" s="46"/>
      <c r="CN45" s="46"/>
      <c r="CO45" s="51"/>
      <c r="CP45" s="46" t="s">
        <v>167</v>
      </c>
      <c r="CQ45" s="46"/>
      <c r="CR45" s="46"/>
      <c r="CS45" s="46"/>
      <c r="CT45" s="46"/>
      <c r="CU45" s="46" t="s">
        <v>175</v>
      </c>
      <c r="CV45" s="46"/>
      <c r="CW45" s="46"/>
      <c r="CX45" s="46"/>
      <c r="CY45" s="46"/>
      <c r="CZ45" s="46" t="s">
        <v>178</v>
      </c>
      <c r="DA45" s="46"/>
      <c r="DB45" s="46"/>
      <c r="DC45" s="46"/>
      <c r="DD45" s="46"/>
      <c r="DE45" s="46" t="s">
        <v>167</v>
      </c>
      <c r="DF45" s="51"/>
    </row>
    <row r="46" spans="1:110" x14ac:dyDescent="0.2">
      <c r="A46" s="44"/>
      <c r="B46" s="35"/>
      <c r="C46" s="43"/>
      <c r="D46" s="39"/>
      <c r="E46" s="39"/>
      <c r="F46" s="42"/>
      <c r="G46" s="41"/>
      <c r="H46" s="41" t="s">
        <v>51</v>
      </c>
      <c r="I46" s="40"/>
      <c r="J46" s="35"/>
      <c r="K46" s="37"/>
      <c r="L46" s="39" t="s">
        <v>49</v>
      </c>
      <c r="M46" s="42" t="s">
        <v>49</v>
      </c>
      <c r="N46" s="35" t="s">
        <v>50</v>
      </c>
      <c r="O46" s="38" t="s">
        <v>49</v>
      </c>
      <c r="P46" s="35" t="s">
        <v>48</v>
      </c>
      <c r="Q46" s="35"/>
      <c r="R46" s="35"/>
      <c r="S46" s="35" t="s">
        <v>231</v>
      </c>
      <c r="T46" s="35"/>
      <c r="U46" s="35"/>
      <c r="V46" s="35"/>
      <c r="W46" s="35"/>
      <c r="X46" s="37" t="s">
        <v>47</v>
      </c>
      <c r="Y46" s="35"/>
      <c r="Z46" s="35" t="s">
        <v>231</v>
      </c>
      <c r="AA46" s="35"/>
      <c r="AB46" s="35"/>
      <c r="AC46" s="35"/>
      <c r="AD46" s="35"/>
      <c r="AE46" s="35"/>
      <c r="AF46" s="35" t="s">
        <v>47</v>
      </c>
      <c r="AG46" s="102" t="s">
        <v>147</v>
      </c>
      <c r="AH46" s="36" t="s">
        <v>46</v>
      </c>
      <c r="AI46" s="41" t="s">
        <v>46</v>
      </c>
      <c r="AJ46" s="102" t="s">
        <v>164</v>
      </c>
      <c r="AK46" s="42" t="s">
        <v>148</v>
      </c>
      <c r="AL46" s="36"/>
      <c r="AM46" s="39" t="s">
        <v>187</v>
      </c>
      <c r="AN46" s="35" t="s">
        <v>189</v>
      </c>
      <c r="AO46" s="35"/>
      <c r="AP46" s="35"/>
      <c r="AQ46" s="35"/>
      <c r="AR46" s="35"/>
      <c r="AS46" s="35"/>
      <c r="AT46" s="41"/>
      <c r="AU46" s="44"/>
      <c r="AV46" s="35"/>
      <c r="AW46" s="35"/>
      <c r="AX46" s="35"/>
      <c r="AY46" s="37"/>
      <c r="AZ46" s="49"/>
      <c r="BA46" s="49"/>
      <c r="BB46" s="49"/>
      <c r="BC46" s="49"/>
      <c r="BD46" s="49"/>
      <c r="BE46" s="102" t="s">
        <v>164</v>
      </c>
      <c r="BF46" s="186"/>
      <c r="BG46" s="186"/>
      <c r="BH46" s="186"/>
      <c r="BI46" s="42" t="s">
        <v>148</v>
      </c>
      <c r="BJ46" s="36"/>
      <c r="BK46" s="39" t="s">
        <v>187</v>
      </c>
      <c r="BL46" s="35" t="s">
        <v>189</v>
      </c>
      <c r="BM46" s="35"/>
      <c r="BN46" s="35"/>
      <c r="BO46" s="35"/>
      <c r="BP46" s="35"/>
      <c r="BQ46" s="35"/>
      <c r="BR46" s="41"/>
      <c r="BS46" s="44"/>
      <c r="BT46" s="35"/>
      <c r="BU46" s="35"/>
      <c r="BV46" s="35"/>
      <c r="BW46" s="37"/>
      <c r="BX46" s="49"/>
      <c r="BY46" s="49"/>
      <c r="BZ46" s="49"/>
      <c r="CA46" s="49"/>
      <c r="CB46" s="49"/>
      <c r="CC46" s="36"/>
      <c r="CD46" s="39" t="s">
        <v>208</v>
      </c>
      <c r="CE46" s="35" t="s">
        <v>189</v>
      </c>
      <c r="CF46" s="35"/>
      <c r="CG46" s="35"/>
      <c r="CH46" s="35"/>
      <c r="CI46" s="35"/>
      <c r="CJ46" s="35"/>
      <c r="CK46" s="41"/>
      <c r="CL46" s="44" t="s">
        <v>195</v>
      </c>
      <c r="CM46" s="35" t="s">
        <v>177</v>
      </c>
      <c r="CN46" s="35" t="s">
        <v>56</v>
      </c>
      <c r="CO46" s="37" t="s">
        <v>179</v>
      </c>
      <c r="CP46" s="35" t="s">
        <v>171</v>
      </c>
      <c r="CQ46" s="35" t="s">
        <v>86</v>
      </c>
      <c r="CR46" s="35" t="s">
        <v>174</v>
      </c>
      <c r="CS46" s="35" t="s">
        <v>172</v>
      </c>
      <c r="CT46" s="35" t="s">
        <v>193</v>
      </c>
      <c r="CU46" s="35" t="s">
        <v>171</v>
      </c>
      <c r="CV46" s="35" t="s">
        <v>86</v>
      </c>
      <c r="CW46" s="35" t="s">
        <v>174</v>
      </c>
      <c r="CX46" s="35" t="s">
        <v>172</v>
      </c>
      <c r="CY46" s="35" t="s">
        <v>193</v>
      </c>
      <c r="CZ46" s="35" t="s">
        <v>171</v>
      </c>
      <c r="DA46" s="35" t="s">
        <v>86</v>
      </c>
      <c r="DB46" s="35" t="s">
        <v>174</v>
      </c>
      <c r="DC46" s="35" t="s">
        <v>172</v>
      </c>
      <c r="DD46" s="35" t="s">
        <v>193</v>
      </c>
      <c r="DE46" s="35" t="s">
        <v>171</v>
      </c>
      <c r="DF46" s="37" t="s">
        <v>180</v>
      </c>
    </row>
    <row r="47" spans="1:110" outlineLevel="1" x14ac:dyDescent="0.2">
      <c r="A47" s="8"/>
      <c r="C47" s="13"/>
      <c r="D47" s="1"/>
      <c r="E47" s="1"/>
      <c r="F47" s="6"/>
      <c r="G47" s="1"/>
      <c r="I47" s="11"/>
      <c r="K47" s="9"/>
      <c r="L47" s="13"/>
      <c r="M47" s="19"/>
      <c r="N47"/>
      <c r="O47" s="20"/>
      <c r="P47" s="13"/>
      <c r="Q47" s="13"/>
      <c r="R47" s="13"/>
      <c r="S47" s="13"/>
      <c r="T47" s="13"/>
      <c r="U47" s="13"/>
      <c r="V47" s="13"/>
      <c r="W47" s="13"/>
      <c r="X47" s="19"/>
      <c r="Y47" s="13"/>
      <c r="Z47" s="13"/>
      <c r="AA47" s="13"/>
      <c r="AB47" s="13"/>
      <c r="AC47" s="13"/>
      <c r="AD47" s="13"/>
      <c r="AF47" s="13"/>
      <c r="AG47" s="121"/>
      <c r="AH47" s="11"/>
      <c r="AI47" s="13"/>
      <c r="AJ47" s="103"/>
      <c r="AK47" s="33"/>
      <c r="AL47" s="8"/>
      <c r="AM47" s="89"/>
      <c r="AP47"/>
      <c r="AQ47"/>
      <c r="AR47"/>
      <c r="AT47" s="14"/>
      <c r="BE47" s="103"/>
      <c r="BF47" s="187"/>
      <c r="BG47" s="187"/>
      <c r="BH47" s="187"/>
      <c r="BI47" s="33"/>
      <c r="BJ47" s="8"/>
      <c r="BK47" s="89"/>
      <c r="BN47"/>
      <c r="BO47"/>
      <c r="BP47"/>
      <c r="BR47" s="14"/>
      <c r="CC47" s="8"/>
      <c r="CD47" s="89"/>
      <c r="CG47"/>
      <c r="CH47"/>
      <c r="CI47"/>
      <c r="CK47" s="14"/>
      <c r="CL47" s="16"/>
    </row>
    <row r="48" spans="1:110" x14ac:dyDescent="0.2">
      <c r="A48" s="8"/>
      <c r="F48" s="9"/>
      <c r="I48" s="8"/>
      <c r="K48" s="9"/>
      <c r="L48" s="13"/>
      <c r="M48" s="19"/>
      <c r="N48"/>
      <c r="O48" s="13"/>
      <c r="P48" s="13"/>
      <c r="Q48" s="13"/>
      <c r="R48" s="13"/>
      <c r="S48" s="13"/>
      <c r="T48" s="13"/>
      <c r="U48" s="13"/>
      <c r="V48" s="13"/>
      <c r="W48" s="13"/>
      <c r="X48" s="19"/>
      <c r="Y48" s="13"/>
      <c r="Z48" s="13"/>
      <c r="AA48" s="13"/>
      <c r="AB48" s="13"/>
      <c r="AC48" s="13"/>
      <c r="AD48" s="13"/>
      <c r="AF48" s="13"/>
      <c r="AG48" s="34"/>
      <c r="AH48" s="17"/>
      <c r="AJ48" s="103"/>
      <c r="AK48" s="14"/>
      <c r="AL48" s="8"/>
      <c r="AM48" s="92"/>
      <c r="AN48" s="135"/>
      <c r="AO48" s="1"/>
      <c r="AP48"/>
      <c r="AQ48"/>
      <c r="AR48"/>
      <c r="AT48" s="6"/>
      <c r="BE48" s="190"/>
      <c r="BF48" s="97"/>
      <c r="BG48" s="189"/>
      <c r="BH48" s="189"/>
      <c r="BI48" s="14"/>
      <c r="BJ48" s="8"/>
      <c r="BK48" s="92"/>
      <c r="BL48" s="135"/>
      <c r="BM48" s="1"/>
      <c r="BN48"/>
      <c r="BO48"/>
      <c r="BP48"/>
      <c r="BR48" s="6"/>
      <c r="CC48" s="8"/>
      <c r="CD48" s="92"/>
      <c r="CE48" s="135"/>
      <c r="CF48" s="1"/>
      <c r="CG48"/>
      <c r="CH48"/>
      <c r="CI48"/>
      <c r="CK48" s="6"/>
    </row>
    <row r="49" spans="1:110" x14ac:dyDescent="0.2">
      <c r="B49" s="58"/>
      <c r="F49" s="9"/>
      <c r="I49" s="8"/>
      <c r="K49" s="9"/>
      <c r="L49" s="13"/>
      <c r="M49" s="19"/>
      <c r="N49"/>
      <c r="O49" s="13"/>
      <c r="P49" s="13"/>
      <c r="Q49" s="13"/>
      <c r="R49" s="13"/>
      <c r="S49" s="13"/>
      <c r="T49" s="13"/>
      <c r="U49" s="13"/>
      <c r="V49" s="13"/>
      <c r="W49" s="13"/>
      <c r="X49" s="118"/>
      <c r="Y49" s="13"/>
      <c r="Z49" s="13"/>
      <c r="AA49" s="13"/>
      <c r="AB49" s="13"/>
      <c r="AC49" s="13"/>
      <c r="AD49" s="13"/>
      <c r="AE49" s="96"/>
      <c r="AF49" s="98"/>
      <c r="AG49" s="34"/>
      <c r="AH49" s="17"/>
      <c r="AI49" s="13"/>
      <c r="AJ49" s="103"/>
      <c r="AK49" s="14"/>
      <c r="AL49" s="8"/>
      <c r="AM49" s="92"/>
      <c r="AN49" s="135"/>
      <c r="AO49" s="1"/>
      <c r="AP49"/>
      <c r="AQ49"/>
      <c r="AR49"/>
      <c r="AT49" s="6"/>
      <c r="BE49" s="103"/>
      <c r="BF49" s="187"/>
      <c r="BG49" s="189"/>
      <c r="BH49" s="187"/>
      <c r="BI49" s="14"/>
      <c r="BJ49" s="8"/>
      <c r="BK49" s="92"/>
      <c r="BL49" s="135"/>
      <c r="BM49" s="1"/>
      <c r="BN49"/>
      <c r="BO49"/>
      <c r="BP49"/>
      <c r="BR49" s="6"/>
      <c r="CC49" s="8"/>
      <c r="CD49" s="92"/>
      <c r="CE49" s="135"/>
      <c r="CF49" s="1"/>
      <c r="CG49"/>
      <c r="CH49"/>
      <c r="CI49"/>
      <c r="CK49" s="6"/>
    </row>
    <row r="50" spans="1:110" x14ac:dyDescent="0.2">
      <c r="A50" s="12" t="s">
        <v>45</v>
      </c>
      <c r="B50" s="58"/>
      <c r="F50" s="9"/>
      <c r="I50" s="8"/>
      <c r="K50" s="9"/>
      <c r="L50" s="13"/>
      <c r="M50" s="19"/>
      <c r="N50"/>
      <c r="O50" s="13"/>
      <c r="P50" s="13"/>
      <c r="Q50" s="13"/>
      <c r="R50" s="13"/>
      <c r="S50" s="13"/>
      <c r="T50" s="13"/>
      <c r="U50" s="13"/>
      <c r="V50" s="13"/>
      <c r="W50" s="13"/>
      <c r="X50" s="118"/>
      <c r="Y50" s="13"/>
      <c r="Z50" s="13"/>
      <c r="AA50" s="13"/>
      <c r="AB50" s="13"/>
      <c r="AC50" s="13"/>
      <c r="AD50" s="13"/>
      <c r="AE50" s="96"/>
      <c r="AF50" s="98"/>
      <c r="AG50" s="34"/>
      <c r="AH50" s="17"/>
      <c r="AI50" s="13"/>
      <c r="AJ50" s="103"/>
      <c r="AK50" s="14"/>
      <c r="AL50" s="8"/>
      <c r="AM50" s="92"/>
      <c r="AN50" s="134"/>
      <c r="AO50" s="1"/>
      <c r="AP50"/>
      <c r="AQ50"/>
      <c r="AR50"/>
      <c r="AT50" s="6"/>
      <c r="BE50" s="8" t="e">
        <f>BI50*$E$38/$E$40</f>
        <v>#DIV/0!</v>
      </c>
      <c r="BF50" s="16"/>
      <c r="BG50" s="16"/>
      <c r="BH50" s="189"/>
      <c r="BI50" s="6" t="e">
        <f t="shared" ref="BI50:BI60" si="0">(1/BF50)*AF50*AG50*E$41/E$32</f>
        <v>#DIV/0!</v>
      </c>
      <c r="BJ50" s="8"/>
      <c r="BK50" s="92"/>
      <c r="BL50" s="134"/>
      <c r="BM50" s="1"/>
      <c r="BN50"/>
      <c r="BO50"/>
      <c r="BP50"/>
      <c r="BR50" s="6"/>
      <c r="CC50" s="8"/>
      <c r="CD50" s="92"/>
      <c r="CE50" s="134"/>
      <c r="CF50" s="1"/>
      <c r="CG50"/>
      <c r="CH50"/>
      <c r="CI50"/>
      <c r="CK50" s="6"/>
    </row>
    <row r="51" spans="1:110" x14ac:dyDescent="0.2">
      <c r="A51" s="21" t="s">
        <v>43</v>
      </c>
      <c r="B51" t="s">
        <v>143</v>
      </c>
      <c r="C51">
        <v>3</v>
      </c>
      <c r="D51" t="s">
        <v>17</v>
      </c>
      <c r="E51" t="s">
        <v>16</v>
      </c>
      <c r="F51" s="9">
        <v>14</v>
      </c>
      <c r="G51" s="26" t="s">
        <v>15</v>
      </c>
      <c r="H51" s="1">
        <v>18</v>
      </c>
      <c r="I51" s="11">
        <v>410</v>
      </c>
      <c r="J51" t="s">
        <v>21</v>
      </c>
      <c r="K51" s="6" t="s">
        <v>181</v>
      </c>
      <c r="L51" s="1">
        <v>1</v>
      </c>
      <c r="M51" s="6">
        <v>20</v>
      </c>
      <c r="N51" s="1">
        <v>96.95</v>
      </c>
      <c r="O51" s="18">
        <v>775600.00000000012</v>
      </c>
      <c r="P51" s="30">
        <v>1.906666666666667</v>
      </c>
      <c r="Q51" s="1"/>
      <c r="R51" s="1"/>
      <c r="S51" s="1"/>
      <c r="T51" s="1"/>
      <c r="U51" s="1"/>
      <c r="V51" s="197"/>
      <c r="W51" s="238">
        <f t="shared" ref="W51:W60" si="1">D$11*N51+D$12+D$13/(0.008314*LN(10))*(1/298-1/(H51+273))</f>
        <v>-11.704722440511436</v>
      </c>
      <c r="X51" s="118">
        <f>24*60*60*10^W51</f>
        <v>1.7052627366335784E-7</v>
      </c>
      <c r="Y51" s="1"/>
      <c r="Z51" s="1"/>
      <c r="AA51" s="1"/>
      <c r="AB51" s="1"/>
      <c r="AC51" s="197"/>
      <c r="AD51" s="238">
        <f>D$5*P51+D$6+D$7/(0.008314*LN(10))*(1/298-1/(H51+273))</f>
        <v>1.5646036075622856</v>
      </c>
      <c r="AE51" s="96">
        <f>10^AD51</f>
        <v>36.694722484859277</v>
      </c>
      <c r="AF51" s="98">
        <f>AE51*X51</f>
        <v>6.2574142884540831E-6</v>
      </c>
      <c r="AG51" s="24">
        <v>302</v>
      </c>
      <c r="AH51" s="32">
        <f>AVERAGE(AH149:AH155)</f>
        <v>0.87857142857142867</v>
      </c>
      <c r="AI51" s="162">
        <v>0.05</v>
      </c>
      <c r="AJ51" s="167">
        <f t="shared" ref="AJ51:AJ60" si="2">$E$38*AK51/$E$40</f>
        <v>47.612474555634492</v>
      </c>
      <c r="AK51" s="168">
        <f t="shared" ref="AK51:AK60" si="3">AF51*AG51*E$41/E$32</f>
        <v>4.3096701561599123E-2</v>
      </c>
      <c r="AL51" s="151">
        <f>$AG51/AJ51</f>
        <v>6.3428755345853185</v>
      </c>
      <c r="AM51" s="175">
        <f>AJ51/$AH51</f>
        <v>54.19306046982787</v>
      </c>
      <c r="AN51" s="134">
        <f t="shared" ref="AN51:AN60" si="4">LOG(AM51)</f>
        <v>1.7339436778185702</v>
      </c>
      <c r="AO51" s="119">
        <f t="shared" ref="AO51:AO60" si="5">$AG51/$O51</f>
        <v>3.8937596699329546E-4</v>
      </c>
      <c r="AP51">
        <f t="shared" ref="AP51:AP60" si="6">_xlfn.RANK.AVG(AM51,AM$51:AM$117,1)</f>
        <v>11</v>
      </c>
      <c r="AQ51" s="124">
        <f t="shared" ref="AQ51:AS60" si="7">(AP51-0.5)/MAX(AP$51:AP$117)</f>
        <v>0.17499999999999999</v>
      </c>
      <c r="AR51">
        <f>_xlfn.RANK.AVG(AM51,(AM$51:AM$60,AM$86:AM$88),1)</f>
        <v>5</v>
      </c>
      <c r="AS51" s="124">
        <f t="shared" si="7"/>
        <v>0.34615384615384615</v>
      </c>
      <c r="AT51" s="14">
        <f t="shared" ref="AT51:AT60" si="8">IF(AND(AJ51&gt;$AI51,$AH51&gt;$AI51),0,IF(AND(AJ51&gt;$AI51,$AH51&lt;$AI51),1,IF(AND(AJ51&lt;$AI51,$AH51&gt;$AI51),2,3)))</f>
        <v>0</v>
      </c>
      <c r="AU51" s="149" t="s">
        <v>41</v>
      </c>
      <c r="AV51" s="143">
        <f>COUNT(AM64:AM65,AM87,AM91:AM93)</f>
        <v>6</v>
      </c>
      <c r="AW51" s="143">
        <f>MIN(AM64:AM65,AM87,AM91:AM93)</f>
        <v>7.1361719347934383</v>
      </c>
      <c r="AX51" s="143">
        <f>AVERAGE(AM64:AM65,AM87,AM91:AM93)</f>
        <v>4641.0703695359825</v>
      </c>
      <c r="AY51" s="143">
        <f>MAX(AM64:AM65,AM87,AM91:AM93)</f>
        <v>24466.875205006076</v>
      </c>
      <c r="AZ51" s="83"/>
      <c r="BA51" s="83"/>
      <c r="BB51" s="83"/>
      <c r="BC51" s="83"/>
      <c r="BD51" s="83"/>
      <c r="BE51" s="8">
        <f t="shared" ref="BE51:BE60" si="9">BI51*$E$38/$E$40</f>
        <v>18.579520856067095</v>
      </c>
      <c r="BF51" s="16">
        <f>10^(MAX(0,((W51+12.5)/2+AD51)*0.73611+-1.03574))</f>
        <v>2.5626319927452137</v>
      </c>
      <c r="BG51" s="16"/>
      <c r="BH51" s="189"/>
      <c r="BI51" s="6">
        <f t="shared" si="0"/>
        <v>1.6817358748195392E-2</v>
      </c>
      <c r="BJ51" s="151">
        <f t="shared" ref="BJ51:BJ60" si="10">$AG51/BE51</f>
        <v>16.254455770929241</v>
      </c>
      <c r="BK51" s="175">
        <f t="shared" ref="BK51:BK60" si="11">BE51/$AH51</f>
        <v>21.14742211259669</v>
      </c>
      <c r="BL51" s="134">
        <f t="shared" ref="BL51:BL60" si="12">LOG(BK51)</f>
        <v>1.3252574340983323</v>
      </c>
      <c r="BM51" s="119">
        <f t="shared" ref="BM51:BM60" si="13">$AG51/$O51</f>
        <v>3.8937596699329546E-4</v>
      </c>
      <c r="BN51">
        <f t="shared" ref="BN51:BN60" si="14">_xlfn.RANK.AVG(BK51,BK$51:BK$117,1)</f>
        <v>15</v>
      </c>
      <c r="BO51" s="124">
        <f t="shared" ref="BO51:BO60" si="15">(BN51-0.5)/MAX(BN$51:BN$117)</f>
        <v>0.24166666666666667</v>
      </c>
      <c r="BP51">
        <f>_xlfn.RANK.AVG(BK51,(BK$51:BK$60,BK$86:BK$88),1)</f>
        <v>9</v>
      </c>
      <c r="BQ51" s="124">
        <f>(BP51-0.5)/MAX(BP$51:BP$117)</f>
        <v>0.65384615384615385</v>
      </c>
      <c r="BR51" s="14">
        <f t="shared" ref="BR51:BR60" si="16">IF(AND(BE51&gt;$AI51,$AH51&gt;$AI51),0,IF(AND(BE51&gt;$AI51,$AH51&lt;$AI51),1,IF(AND(BE51&lt;$AI51,$AH51&gt;$AI51),2,3)))</f>
        <v>0</v>
      </c>
      <c r="BS51" s="149" t="s">
        <v>41</v>
      </c>
      <c r="BT51" s="143">
        <f>COUNT(BK64:BK65,BK87,BK91:BK93)</f>
        <v>6</v>
      </c>
      <c r="BU51" s="143">
        <f>MIN(BK64:BK65,BK87,BK91:BK93)</f>
        <v>2.3853126685494677</v>
      </c>
      <c r="BV51" s="143">
        <f>AVERAGE(BK64:BK65,BK87,BK91:BK93)</f>
        <v>1551.4867954374279</v>
      </c>
      <c r="BW51" s="143">
        <f>MAX(BK64:BK65,BK87,BK91:BK93)</f>
        <v>8178.2148635981766</v>
      </c>
      <c r="BX51" s="83"/>
      <c r="BY51" s="83"/>
      <c r="BZ51" s="83"/>
      <c r="CA51" s="83"/>
      <c r="CB51" s="83"/>
      <c r="CC51" s="151"/>
      <c r="CD51" s="175">
        <f t="shared" ref="CD51:CD60" si="17">AG51/AH51</f>
        <v>343.73983739837394</v>
      </c>
      <c r="CE51" s="134">
        <f t="shared" ref="CE51:CE60" si="18">LOG(CD51)</f>
        <v>2.5362298671959906</v>
      </c>
      <c r="CF51" s="119">
        <f t="shared" ref="CF51:CF60" si="19">$AG51/$O51</f>
        <v>3.8937596699329546E-4</v>
      </c>
      <c r="CG51">
        <f t="shared" ref="CG51:CG60" si="20">_xlfn.RANK.AVG(CD51,CD$51:CD$117,1)</f>
        <v>10</v>
      </c>
      <c r="CH51" s="124">
        <f t="shared" ref="CH51:CJ60" si="21">(CG51-0.5)/MAX(CG$51:CG$117)</f>
        <v>0.15833333333333333</v>
      </c>
      <c r="CI51">
        <f>_xlfn.RANK.AVG(CD51,(CD$51:CD$60,CD$86:CD$88),1)</f>
        <v>5</v>
      </c>
      <c r="CJ51" s="124">
        <f t="shared" si="21"/>
        <v>0.34615384615384615</v>
      </c>
      <c r="CK51" s="14">
        <f t="shared" ref="CK51:CK60" si="22">IF(AND(BC51&gt;$AI51,$AH51&gt;$AI51),0,IF(AND(BC51&gt;$AI51,$AH51&lt;$AI51),1,IF(AND(BC51&lt;$AI51,$AH51&gt;$AI51),2,3)))</f>
        <v>2</v>
      </c>
      <c r="CL51" s="149" t="s">
        <v>41</v>
      </c>
      <c r="CM51" s="150">
        <f>AVERAGE($P64:$P65,$P$87,$P91:$P93)</f>
        <v>2.1299999999999994</v>
      </c>
      <c r="CN51" s="150">
        <f>AVERAGE($N64:$N65,$N$87,$N91:$N93)</f>
        <v>78.106666524406947</v>
      </c>
      <c r="CO51" s="153">
        <f>AVERAGE($AF64:$AF65,$AF$87,$AF91:$AF93)</f>
        <v>8.991742775343303E-6</v>
      </c>
      <c r="CP51" s="143">
        <f>COUNT($CD64:$CD65,$CD$87,$CD91:$CD93)</f>
        <v>6</v>
      </c>
      <c r="CQ51" s="88">
        <f>PERCENTILE(($CD64:$CD65,$CD$87,$CD91:$CD93),0)</f>
        <v>35</v>
      </c>
      <c r="CR51" s="88">
        <f>PERCENTILE(($CD64:$CD65,$CD$87,$CD91:$CD93),0.1)</f>
        <v>35</v>
      </c>
      <c r="CS51" s="88">
        <f>PERCENTILE(($CD64:$CD65,$CD$87,$CD91:$CD93),0.5)</f>
        <v>2537.4500000000003</v>
      </c>
      <c r="CT51" s="88">
        <f>PERCENTILE(($CD64:$CD65,$CD$87,$CD91:$CD93),0.9)</f>
        <v>65750</v>
      </c>
      <c r="CU51" s="143">
        <f>COUNT($CD64:$CD65,$CD91:$CD93)</f>
        <v>5</v>
      </c>
      <c r="CV51" s="88">
        <f>PERCENTILE(($CD64:$CD65,$CD91:$CD93),0)</f>
        <v>35</v>
      </c>
      <c r="CW51" s="88">
        <f>PERCENTILE(($CD64:$CD65,$CD91:$CD93),0.1)</f>
        <v>90.95999999999998</v>
      </c>
      <c r="CX51" s="88">
        <f>PERCENTILE(($CD64:$CD65,$CD91:$CD93),0.5)</f>
        <v>4900</v>
      </c>
      <c r="CY51" s="87">
        <f>PERCENTILE(($CD64:$CD65,$CD91:$CD93),0.9)</f>
        <v>76599.999999999971</v>
      </c>
      <c r="CZ51" s="149">
        <f>COUNT($CD87)</f>
        <v>1</v>
      </c>
      <c r="DA51" s="88">
        <f>PERCENTILE($CD87,0)</f>
        <v>35</v>
      </c>
      <c r="DB51" s="88">
        <f>PERCENTILE($CD87,0.1)</f>
        <v>35</v>
      </c>
      <c r="DC51" s="88">
        <f>PERCENTILE($CD87,0.5)</f>
        <v>35</v>
      </c>
      <c r="DD51" s="87">
        <f>PERCENTILE($CD87,0.9)</f>
        <v>35</v>
      </c>
      <c r="DE51" s="143">
        <f>CU51+CZ51</f>
        <v>6</v>
      </c>
      <c r="DF51" s="87">
        <f>MIN(DA51,CY51)</f>
        <v>35</v>
      </c>
    </row>
    <row r="52" spans="1:110" x14ac:dyDescent="0.2">
      <c r="A52" s="21" t="s">
        <v>43</v>
      </c>
      <c r="B52" t="s">
        <v>143</v>
      </c>
      <c r="C52">
        <v>3</v>
      </c>
      <c r="D52" t="s">
        <v>17</v>
      </c>
      <c r="E52" t="s">
        <v>16</v>
      </c>
      <c r="F52" s="9">
        <v>16</v>
      </c>
      <c r="G52" s="26" t="s">
        <v>15</v>
      </c>
      <c r="H52" s="1">
        <v>18</v>
      </c>
      <c r="I52" s="11">
        <v>403</v>
      </c>
      <c r="J52" t="s">
        <v>14</v>
      </c>
      <c r="K52" s="6" t="s">
        <v>153</v>
      </c>
      <c r="L52" s="1">
        <v>10</v>
      </c>
      <c r="M52" s="6">
        <v>40</v>
      </c>
      <c r="N52" s="1">
        <v>165.80749949115744</v>
      </c>
      <c r="O52" s="18">
        <v>118882.50367033854</v>
      </c>
      <c r="P52" s="30">
        <v>3.4</v>
      </c>
      <c r="Q52" s="1"/>
      <c r="R52" s="1"/>
      <c r="S52" s="1"/>
      <c r="T52" s="1"/>
      <c r="U52" s="1"/>
      <c r="V52" s="197"/>
      <c r="W52" s="238">
        <f t="shared" si="1"/>
        <v>-12.648070183540293</v>
      </c>
      <c r="X52" s="118">
        <f t="shared" ref="X52:X60" si="23">24*60*60*10^W52</f>
        <v>1.942869179468495E-8</v>
      </c>
      <c r="Y52" s="1"/>
      <c r="Z52" s="1"/>
      <c r="AA52" s="1"/>
      <c r="AB52" s="1"/>
      <c r="AC52" s="197"/>
      <c r="AD52" s="238">
        <f t="shared" ref="AD52:AD60" si="24">D$5*P52+D$6+D$7/(0.008314*LN(10))*(1/298-1/(H52+273))</f>
        <v>3.0430036075622855</v>
      </c>
      <c r="AE52" s="96">
        <f t="shared" ref="AE52:AE60" si="25">10^AD52</f>
        <v>1104.0877912111705</v>
      </c>
      <c r="AF52" s="98">
        <f t="shared" ref="AF52:AF60" si="26">AE52*X52</f>
        <v>2.1450981409716298E-5</v>
      </c>
      <c r="AG52" s="24">
        <v>132</v>
      </c>
      <c r="AH52" s="32">
        <f>AVERAGE(AH157:AH163)</f>
        <v>0.2442857142857143</v>
      </c>
      <c r="AI52" s="162">
        <v>0.05</v>
      </c>
      <c r="AJ52" s="167">
        <f t="shared" si="2"/>
        <v>71.341132428383744</v>
      </c>
      <c r="AK52" s="168">
        <f t="shared" si="3"/>
        <v>6.4574830903610936E-2</v>
      </c>
      <c r="AL52" s="151">
        <f t="shared" ref="AL52:AL60" si="27">$AG52/AJ52</f>
        <v>1.850264994496815</v>
      </c>
      <c r="AM52" s="175">
        <f t="shared" ref="AM52:AM60" si="28">AJ52/$AH52</f>
        <v>292.03972339104456</v>
      </c>
      <c r="AN52" s="134">
        <f t="shared" si="4"/>
        <v>2.4654419284216749</v>
      </c>
      <c r="AO52" s="119">
        <f t="shared" si="5"/>
        <v>1.1103400073574855E-3</v>
      </c>
      <c r="AP52">
        <f t="shared" si="6"/>
        <v>16</v>
      </c>
      <c r="AQ52" s="124">
        <f t="shared" si="7"/>
        <v>0.25833333333333336</v>
      </c>
      <c r="AR52">
        <f>_xlfn.RANK.AVG(AM52,(AM$51:AM$60,AM$86:AM$88),1)</f>
        <v>9</v>
      </c>
      <c r="AS52" s="124">
        <f t="shared" si="7"/>
        <v>0.65384615384615385</v>
      </c>
      <c r="AT52" s="14">
        <f t="shared" si="8"/>
        <v>0</v>
      </c>
      <c r="AU52" s="21" t="s">
        <v>8</v>
      </c>
      <c r="AV52" s="144">
        <f>COUNT(AM51:AM51,AM66:AM72)</f>
        <v>8</v>
      </c>
      <c r="AW52" s="144">
        <f>MIN(AM51:AM51,AM66:AM72)</f>
        <v>54.19306046982787</v>
      </c>
      <c r="AX52" s="144">
        <f>AVERAGE(AM51:AM51,AM66:AM72)</f>
        <v>1796.879549285936</v>
      </c>
      <c r="AY52" s="144">
        <f>MAX(AM51:AM51,AM66:AM72)</f>
        <v>3113.1320657809356</v>
      </c>
      <c r="AZ52" s="83"/>
      <c r="BA52" s="83"/>
      <c r="BB52" s="83"/>
      <c r="BC52" s="83"/>
      <c r="BD52" s="83"/>
      <c r="BE52" s="8">
        <f t="shared" si="9"/>
        <v>5.0535036607578459</v>
      </c>
      <c r="BF52" s="16">
        <f>10^(MAX(0,((W52+12.5)/2+AD52)*0.73611+-1.03574))</f>
        <v>14.11716251090736</v>
      </c>
      <c r="BG52" s="16"/>
      <c r="BH52" s="189"/>
      <c r="BI52" s="6">
        <f t="shared" si="0"/>
        <v>4.5742075189485441E-3</v>
      </c>
      <c r="BJ52" s="151">
        <f t="shared" si="10"/>
        <v>26.120491615554641</v>
      </c>
      <c r="BK52" s="175">
        <f t="shared" si="11"/>
        <v>20.68685709082159</v>
      </c>
      <c r="BL52" s="134">
        <f t="shared" si="12"/>
        <v>1.3156945142619234</v>
      </c>
      <c r="BM52" s="119">
        <f t="shared" si="13"/>
        <v>1.1103400073574855E-3</v>
      </c>
      <c r="BN52">
        <f t="shared" si="14"/>
        <v>14</v>
      </c>
      <c r="BO52" s="124">
        <f t="shared" si="15"/>
        <v>0.22500000000000001</v>
      </c>
      <c r="BP52">
        <f>_xlfn.RANK.AVG(BK52,(BK$51:BK$60,BK$86:BK$88),1)</f>
        <v>8</v>
      </c>
      <c r="BQ52" s="124">
        <f t="shared" ref="BQ52:BQ60" si="29">(BP52-0.5)/MAX(BP$51:BP$117)</f>
        <v>0.57692307692307687</v>
      </c>
      <c r="BR52" s="14">
        <f t="shared" si="16"/>
        <v>0</v>
      </c>
      <c r="BS52" s="21" t="s">
        <v>8</v>
      </c>
      <c r="BT52" s="144">
        <f>COUNT(BK51:BK51,BK66:BK72)</f>
        <v>8</v>
      </c>
      <c r="BU52" s="144">
        <f>MIN(BK51:BK51,BK66:BK72)</f>
        <v>21.14742211259669</v>
      </c>
      <c r="BV52" s="144">
        <f>AVERAGE(BK51:BK51,BK66:BK72)</f>
        <v>1792.7488444912822</v>
      </c>
      <c r="BW52" s="144">
        <f>MAX(BK51:BK51,BK66:BK72)</f>
        <v>3113.1320657809356</v>
      </c>
      <c r="BX52" s="83"/>
      <c r="BY52" s="83"/>
      <c r="BZ52" s="83"/>
      <c r="CA52" s="83"/>
      <c r="CB52" s="83"/>
      <c r="CC52" s="151"/>
      <c r="CD52" s="175">
        <f t="shared" si="17"/>
        <v>540.35087719298247</v>
      </c>
      <c r="CE52" s="134">
        <f t="shared" si="18"/>
        <v>2.7326758608279529</v>
      </c>
      <c r="CF52" s="119">
        <f t="shared" si="19"/>
        <v>1.1103400073574855E-3</v>
      </c>
      <c r="CG52">
        <f t="shared" si="20"/>
        <v>13</v>
      </c>
      <c r="CH52" s="124">
        <f t="shared" si="21"/>
        <v>0.20833333333333334</v>
      </c>
      <c r="CI52">
        <f>_xlfn.RANK.AVG(CD52,(CD$51:CD$60,CD$86:CD$88),1)</f>
        <v>8</v>
      </c>
      <c r="CJ52" s="124">
        <f t="shared" si="21"/>
        <v>0.57692307692307687</v>
      </c>
      <c r="CK52" s="14">
        <f t="shared" si="22"/>
        <v>2</v>
      </c>
      <c r="CL52" s="21" t="s">
        <v>8</v>
      </c>
      <c r="CM52" s="151">
        <f>AVERAGE($P51:$P51,$P66:$P72)</f>
        <v>1.9066666666666667</v>
      </c>
      <c r="CN52" s="151">
        <f>AVERAGE($N51:$N51,$N66:$N72)</f>
        <v>96.950000000000017</v>
      </c>
      <c r="CO52" s="154">
        <f>AVERAGE($AF51:$AF51,$AF66:$AF72)</f>
        <v>1.5705035395758978E-6</v>
      </c>
      <c r="CP52" s="144">
        <f>COUNT($CD51:$CD51,$CD66:$CD72)</f>
        <v>8</v>
      </c>
      <c r="CQ52" s="83">
        <f>PERCENTILE(($CD51:$CD51,$CD66:$CD72),0)</f>
        <v>343.73983739837394</v>
      </c>
      <c r="CR52" s="83">
        <f>PERCENTILE(($CD51:$CD51,$CD66:$CD72),0.1)</f>
        <v>38507.121951219524</v>
      </c>
      <c r="CS52" s="83">
        <f>PERCENTILE(($CD51:$CD51,$CD66:$CD72),0.5)</f>
        <v>54862.857142857145</v>
      </c>
      <c r="CT52" s="83">
        <f>PERCENTILE(($CD51:$CD51,$CD66:$CD72),0.9)</f>
        <v>137145.14285714287</v>
      </c>
      <c r="CU52" s="144">
        <f>COUNT($CD66:$CD72)</f>
        <v>7</v>
      </c>
      <c r="CV52" s="83">
        <f>PERCENTILE(($CD66:$CD72),0)</f>
        <v>54862.857142857145</v>
      </c>
      <c r="CW52" s="83">
        <f>PERCENTILE(($CD66:$CD72),0.1)</f>
        <v>54862.857142857145</v>
      </c>
      <c r="CX52" s="83">
        <f>PERCENTILE(($CD66:$CD72),0.5)</f>
        <v>54862.857142857145</v>
      </c>
      <c r="CY52" s="86">
        <f>PERCENTILE(($CD66:$CD72),0.9)</f>
        <v>137145.14285714287</v>
      </c>
      <c r="CZ52" s="8">
        <f>COUNT($CD51)</f>
        <v>1</v>
      </c>
      <c r="DA52" s="83">
        <f>PERCENTILE($CD51,0)</f>
        <v>343.73983739837394</v>
      </c>
      <c r="DB52" s="83">
        <f>PERCENTILE($CD51,0.1)</f>
        <v>343.73983739837394</v>
      </c>
      <c r="DC52" s="83">
        <f>PERCENTILE($CD51,0.5)</f>
        <v>343.73983739837394</v>
      </c>
      <c r="DD52" s="86">
        <f>PERCENTILE($CD51,0.9)</f>
        <v>343.73983739837394</v>
      </c>
      <c r="DE52" s="144">
        <f t="shared" ref="DE52:DE62" si="30">CU52+CZ52</f>
        <v>8</v>
      </c>
      <c r="DF52" s="86">
        <f>MIN(DA52,CY52)</f>
        <v>343.73983739837394</v>
      </c>
    </row>
    <row r="53" spans="1:110" x14ac:dyDescent="0.2">
      <c r="A53" s="8">
        <v>65</v>
      </c>
      <c r="B53" t="s">
        <v>143</v>
      </c>
      <c r="C53">
        <v>6</v>
      </c>
      <c r="D53" t="s">
        <v>6</v>
      </c>
      <c r="E53" t="s">
        <v>5</v>
      </c>
      <c r="F53" s="9">
        <v>2</v>
      </c>
      <c r="G53" s="26" t="s">
        <v>31</v>
      </c>
      <c r="H53" s="1">
        <v>9</v>
      </c>
      <c r="I53" s="11">
        <v>403</v>
      </c>
      <c r="J53" t="s">
        <v>44</v>
      </c>
      <c r="K53" s="6" t="s">
        <v>153</v>
      </c>
      <c r="L53" s="1">
        <v>10</v>
      </c>
      <c r="M53" s="6">
        <v>40</v>
      </c>
      <c r="N53" s="1">
        <v>165.80749949115744</v>
      </c>
      <c r="O53" s="18">
        <v>118882.50367033854</v>
      </c>
      <c r="P53" s="30">
        <v>3.4</v>
      </c>
      <c r="Q53" s="1"/>
      <c r="R53" s="1"/>
      <c r="S53" s="1"/>
      <c r="T53" s="1"/>
      <c r="U53" s="1"/>
      <c r="V53" s="197"/>
      <c r="W53" s="238">
        <f t="shared" si="1"/>
        <v>-13.146030140709327</v>
      </c>
      <c r="X53" s="118">
        <f t="shared" si="23"/>
        <v>6.1728198391738715E-9</v>
      </c>
      <c r="Y53" s="1"/>
      <c r="Z53" s="1"/>
      <c r="AA53" s="1"/>
      <c r="AB53" s="1"/>
      <c r="AC53" s="197"/>
      <c r="AD53" s="238">
        <f t="shared" si="24"/>
        <v>2.6992668676849045</v>
      </c>
      <c r="AE53" s="96">
        <f t="shared" si="25"/>
        <v>500.34189339873814</v>
      </c>
      <c r="AF53" s="98">
        <f t="shared" si="26"/>
        <v>3.0885203659415489E-6</v>
      </c>
      <c r="AG53" s="22">
        <v>570</v>
      </c>
      <c r="AH53" s="15">
        <v>1.5</v>
      </c>
      <c r="AI53" s="162">
        <v>0.05</v>
      </c>
      <c r="AJ53" s="167">
        <f t="shared" si="2"/>
        <v>44.355167764844616</v>
      </c>
      <c r="AK53" s="168">
        <f t="shared" si="3"/>
        <v>4.0148331833552105E-2</v>
      </c>
      <c r="AL53" s="151">
        <f t="shared" si="27"/>
        <v>12.850813754598743</v>
      </c>
      <c r="AM53" s="175">
        <f t="shared" si="28"/>
        <v>29.570111843229743</v>
      </c>
      <c r="AN53" s="134">
        <f t="shared" si="4"/>
        <v>1.4708529671641175</v>
      </c>
      <c r="AO53" s="119">
        <f t="shared" si="5"/>
        <v>4.7946500317709601E-3</v>
      </c>
      <c r="AP53">
        <f t="shared" si="6"/>
        <v>9</v>
      </c>
      <c r="AQ53" s="124">
        <f t="shared" si="7"/>
        <v>0.14166666666666666</v>
      </c>
      <c r="AR53">
        <f>_xlfn.RANK.AVG(AM53,(AM$51:AM$60,AM$86:AM$88),1)</f>
        <v>4</v>
      </c>
      <c r="AS53" s="124">
        <f t="shared" si="7"/>
        <v>0.26923076923076922</v>
      </c>
      <c r="AT53" s="14">
        <f t="shared" si="8"/>
        <v>0</v>
      </c>
      <c r="AU53" s="8" t="s">
        <v>12</v>
      </c>
      <c r="AV53" s="144">
        <f>COUNT(AM52:AM59,AM78,AM86,AM107:AM108)</f>
        <v>12</v>
      </c>
      <c r="AW53" s="144">
        <f>MIN(AM52:AM59,AM78,AM86,AM107:AM108)</f>
        <v>16.273540712272808</v>
      </c>
      <c r="AX53" s="144">
        <f>AVERAGE(AM52:AM59,AM78,AM86,AM107:AM108)</f>
        <v>2543.0193905425235</v>
      </c>
      <c r="AY53" s="144">
        <f>MAX(AM52:AM59,AM78,AM86,AM107:AM108)</f>
        <v>11119.340312393557</v>
      </c>
      <c r="AZ53" s="83"/>
      <c r="BA53" s="83"/>
      <c r="BB53" s="83"/>
      <c r="BC53" s="83"/>
      <c r="BD53" s="83"/>
      <c r="BE53" s="8">
        <f t="shared" si="9"/>
        <v>8.580281092340817</v>
      </c>
      <c r="BF53" s="16">
        <f t="shared" ref="BF53:BF60" si="31">10^(MAX(0,((W53+12.5)/2+AD53)*0.73611+-1.03574))</f>
        <v>5.1694306150923444</v>
      </c>
      <c r="BG53" s="16"/>
      <c r="BH53" s="189"/>
      <c r="BI53" s="6">
        <f t="shared" si="0"/>
        <v>7.7664901268502482E-3</v>
      </c>
      <c r="BJ53" s="151">
        <f t="shared" si="10"/>
        <v>66.431390051872569</v>
      </c>
      <c r="BK53" s="175">
        <f t="shared" si="11"/>
        <v>5.7201873948938777</v>
      </c>
      <c r="BL53" s="134">
        <f t="shared" si="12"/>
        <v>0.75741025663135342</v>
      </c>
      <c r="BM53" s="119">
        <f t="shared" si="13"/>
        <v>4.7946500317709601E-3</v>
      </c>
      <c r="BN53">
        <f t="shared" si="14"/>
        <v>8</v>
      </c>
      <c r="BO53" s="124">
        <f t="shared" si="15"/>
        <v>0.125</v>
      </c>
      <c r="BP53">
        <f>_xlfn.RANK.AVG(BK53,(BK$51:BK$60,BK$86:BK$88),1)</f>
        <v>5</v>
      </c>
      <c r="BQ53" s="124">
        <f t="shared" si="29"/>
        <v>0.34615384615384615</v>
      </c>
      <c r="BR53" s="14">
        <f t="shared" si="16"/>
        <v>0</v>
      </c>
      <c r="BS53" s="8" t="s">
        <v>12</v>
      </c>
      <c r="BT53" s="144">
        <f>COUNT(BK52:BK59,BK78,BK86,BK107:BK108)</f>
        <v>12</v>
      </c>
      <c r="BU53" s="144">
        <f>MIN(BK52:BK59,BK78,BK86,BK107:BK108)</f>
        <v>3.1480334922692652</v>
      </c>
      <c r="BV53" s="144">
        <f>AVERAGE(BK52:BK59,BK78,BK86,BK107:BK108)</f>
        <v>392.72897684674939</v>
      </c>
      <c r="BW53" s="144">
        <f>MAX(BK52:BK59,BK78,BK86,BK107:BK108)</f>
        <v>2150.9796997623357</v>
      </c>
      <c r="BX53" s="83"/>
      <c r="BY53" s="83"/>
      <c r="BZ53" s="83"/>
      <c r="CA53" s="83"/>
      <c r="CB53" s="83"/>
      <c r="CC53" s="151"/>
      <c r="CD53" s="175">
        <f t="shared" si="17"/>
        <v>380</v>
      </c>
      <c r="CE53" s="134">
        <f t="shared" si="18"/>
        <v>2.5797835966168101</v>
      </c>
      <c r="CF53" s="119">
        <f t="shared" si="19"/>
        <v>4.7946500317709601E-3</v>
      </c>
      <c r="CG53">
        <f t="shared" si="20"/>
        <v>12</v>
      </c>
      <c r="CH53" s="124">
        <f t="shared" si="21"/>
        <v>0.19166666666666668</v>
      </c>
      <c r="CI53">
        <f>_xlfn.RANK.AVG(CD53,(CD$51:CD$60,CD$86:CD$88),1)</f>
        <v>7</v>
      </c>
      <c r="CJ53" s="124">
        <f t="shared" si="21"/>
        <v>0.5</v>
      </c>
      <c r="CK53" s="14">
        <f t="shared" si="22"/>
        <v>2</v>
      </c>
      <c r="CL53" s="8" t="s">
        <v>12</v>
      </c>
      <c r="CM53" s="151">
        <f>AVERAGE($P52:$P59,$P78,$P86,$P107:$P108)</f>
        <v>3.399999999999999</v>
      </c>
      <c r="CN53" s="151">
        <f>AVERAGE($N52:$N59,$N78,$N86,$N107:$N108)</f>
        <v>165.80749949115742</v>
      </c>
      <c r="CO53" s="154">
        <f>AVERAGE($AF52:$AF59,$AF78,$AF86,$AF107:$AF108)</f>
        <v>6.1470673882603676E-6</v>
      </c>
      <c r="CP53" s="144">
        <f>COUNT($CD52:$CD59,$CD78,$CD86,$CD107:$CD108)</f>
        <v>12</v>
      </c>
      <c r="CQ53" s="83">
        <f>PERCENTILE(($CD52:$CD59,$CD78,$CD86,$CD107:$CD108),0)</f>
        <v>209.12824082129808</v>
      </c>
      <c r="CR53" s="83">
        <f>PERCENTILE(($CD52:$CD59,$CD78,$CD86,$CD107:$CD108),0.1)</f>
        <v>368.7466976516634</v>
      </c>
      <c r="CS53" s="83">
        <f>PERCENTILE(($CD52:$CD59,$CD78,$CD86,$CD107:$CD108),0.5)</f>
        <v>6130.3884854602884</v>
      </c>
      <c r="CT53" s="83">
        <f>PERCENTILE(($CD52:$CD59,$CD78,$CD86,$CD107:$CD108),0.9)</f>
        <v>44972.314285714288</v>
      </c>
      <c r="CU53" s="144">
        <f>COUNT($CD78,CD107:$CD108)</f>
        <v>3</v>
      </c>
      <c r="CV53" s="83">
        <f>PERCENTILE(($CD78,CD107:$CD108),0)</f>
        <v>13000</v>
      </c>
      <c r="CW53" s="83">
        <f>PERCENTILE(($CD78,CD107:$CD108),0.1)</f>
        <v>19600</v>
      </c>
      <c r="CX53" s="83">
        <f>PERCENTILE(($CD78,CD107:$CD108),0.5)</f>
        <v>46000</v>
      </c>
      <c r="CY53" s="86">
        <f>PERCENTILE(($CD78,CD107:$CD108),0.9)</f>
        <v>123514.05714285711</v>
      </c>
      <c r="CZ53" s="8">
        <f>COUNT($CD52:$CD59,$CD86)</f>
        <v>9</v>
      </c>
      <c r="DA53" s="83">
        <f>PERCENTILE(($CD52:$CD59,$CD86),0)</f>
        <v>209.12824082129808</v>
      </c>
      <c r="DB53" s="83">
        <f>PERCENTILE(($CD52:$CD59,$CD86),0.1)</f>
        <v>335.82271274351598</v>
      </c>
      <c r="DC53" s="83">
        <f>PERCENTILE(($CD52:$CD59,$CD86),0.5)</f>
        <v>574.468085106383</v>
      </c>
      <c r="DD53" s="86">
        <f>PERCENTILE(($CD52:$CD59,$CD86),0.9)</f>
        <v>22406.342857142845</v>
      </c>
      <c r="DE53" s="144">
        <f t="shared" si="30"/>
        <v>12</v>
      </c>
      <c r="DF53" s="86">
        <f>MIN(DA53,CY53)</f>
        <v>209.12824082129808</v>
      </c>
    </row>
    <row r="54" spans="1:110" x14ac:dyDescent="0.2">
      <c r="A54" s="8">
        <v>5</v>
      </c>
      <c r="B54" t="s">
        <v>143</v>
      </c>
      <c r="C54">
        <v>1</v>
      </c>
      <c r="D54" s="23" t="s">
        <v>11</v>
      </c>
      <c r="E54" t="s">
        <v>10</v>
      </c>
      <c r="F54" s="6">
        <v>48</v>
      </c>
      <c r="G54" s="28" t="s">
        <v>33</v>
      </c>
      <c r="H54" s="1">
        <v>9</v>
      </c>
      <c r="I54" s="11">
        <v>403</v>
      </c>
      <c r="J54" t="s">
        <v>12</v>
      </c>
      <c r="K54" s="6" t="s">
        <v>153</v>
      </c>
      <c r="L54" s="1">
        <v>10</v>
      </c>
      <c r="M54" s="6">
        <v>40</v>
      </c>
      <c r="N54" s="1">
        <v>165.80749949115744</v>
      </c>
      <c r="O54" s="18">
        <v>118882.50367033854</v>
      </c>
      <c r="P54" s="30">
        <v>3.4</v>
      </c>
      <c r="Q54" s="1"/>
      <c r="R54" s="1"/>
      <c r="S54" s="1"/>
      <c r="T54" s="1"/>
      <c r="U54" s="1"/>
      <c r="V54" s="197"/>
      <c r="W54" s="238">
        <f t="shared" si="1"/>
        <v>-13.146030140709327</v>
      </c>
      <c r="X54" s="118">
        <f t="shared" si="23"/>
        <v>6.1728198391738715E-9</v>
      </c>
      <c r="Y54" s="1"/>
      <c r="Z54" s="1"/>
      <c r="AA54" s="1"/>
      <c r="AB54" s="1"/>
      <c r="AC54" s="197"/>
      <c r="AD54" s="238">
        <f t="shared" si="24"/>
        <v>2.6992668676849045</v>
      </c>
      <c r="AE54" s="96">
        <f t="shared" si="25"/>
        <v>500.34189339873814</v>
      </c>
      <c r="AF54" s="98">
        <f t="shared" si="26"/>
        <v>3.0885203659415489E-6</v>
      </c>
      <c r="AG54" s="22">
        <v>7144.6285714285714</v>
      </c>
      <c r="AH54" s="32">
        <v>1.07</v>
      </c>
      <c r="AI54" s="162">
        <v>0.05</v>
      </c>
      <c r="AJ54" s="167">
        <f t="shared" si="2"/>
        <v>555.96701561967791</v>
      </c>
      <c r="AK54" s="168">
        <f t="shared" si="3"/>
        <v>0.50323669949682737</v>
      </c>
      <c r="AL54" s="151">
        <f t="shared" si="27"/>
        <v>12.850813754598743</v>
      </c>
      <c r="AM54" s="175">
        <f t="shared" si="28"/>
        <v>519.59534170063353</v>
      </c>
      <c r="AN54" s="134">
        <f t="shared" si="4"/>
        <v>2.7156652488621553</v>
      </c>
      <c r="AO54" s="119">
        <f t="shared" si="5"/>
        <v>6.0098234398231073E-2</v>
      </c>
      <c r="AP54">
        <f t="shared" si="6"/>
        <v>19</v>
      </c>
      <c r="AQ54" s="124">
        <f t="shared" si="7"/>
        <v>0.30833333333333335</v>
      </c>
      <c r="AR54">
        <f>_xlfn.RANK.AVG(AM54,(AM$51:AM$60,AM$86:AM$88),1)</f>
        <v>11</v>
      </c>
      <c r="AS54" s="124">
        <f t="shared" si="7"/>
        <v>0.80769230769230771</v>
      </c>
      <c r="AT54" s="14">
        <f t="shared" si="8"/>
        <v>0</v>
      </c>
      <c r="AU54" t="s">
        <v>173</v>
      </c>
      <c r="AV54" s="144">
        <f>COUNT(AM77)</f>
        <v>1</v>
      </c>
      <c r="AW54" s="144">
        <f>MIN(AM77)</f>
        <v>10.800623543373151</v>
      </c>
      <c r="AX54" s="144">
        <f>AVERAGE(AM77)</f>
        <v>10.800623543373151</v>
      </c>
      <c r="AY54" s="144">
        <f>MAX(AM77)</f>
        <v>10.800623543373151</v>
      </c>
      <c r="AZ54" s="83"/>
      <c r="BA54" s="83"/>
      <c r="BB54" s="83"/>
      <c r="BC54" s="83"/>
      <c r="BD54" s="83"/>
      <c r="BE54" s="8">
        <f t="shared" si="9"/>
        <v>107.54898498811679</v>
      </c>
      <c r="BF54" s="16">
        <f t="shared" si="31"/>
        <v>5.1694306150923444</v>
      </c>
      <c r="BG54" s="16"/>
      <c r="BH54" s="189"/>
      <c r="BI54" s="6">
        <f t="shared" si="0"/>
        <v>9.7348574140372277E-2</v>
      </c>
      <c r="BJ54" s="151">
        <f t="shared" si="10"/>
        <v>66.43139005187254</v>
      </c>
      <c r="BK54" s="175">
        <f t="shared" si="11"/>
        <v>100.51307008235213</v>
      </c>
      <c r="BL54" s="134">
        <f t="shared" si="12"/>
        <v>2.0022225383293915</v>
      </c>
      <c r="BM54" s="119">
        <f t="shared" si="13"/>
        <v>6.0098234398231073E-2</v>
      </c>
      <c r="BN54">
        <f t="shared" si="14"/>
        <v>20</v>
      </c>
      <c r="BO54" s="124">
        <f t="shared" si="15"/>
        <v>0.32500000000000001</v>
      </c>
      <c r="BP54">
        <f>_xlfn.RANK.AVG(BK54,(BK$51:BK$60,BK$86:BK$88),1)</f>
        <v>11</v>
      </c>
      <c r="BQ54" s="124">
        <f t="shared" si="29"/>
        <v>0.80769230769230771</v>
      </c>
      <c r="BR54" s="14">
        <f t="shared" si="16"/>
        <v>0</v>
      </c>
      <c r="BS54" t="s">
        <v>173</v>
      </c>
      <c r="BT54" s="144">
        <f>COUNT(BK77)</f>
        <v>1</v>
      </c>
      <c r="BU54" s="144">
        <f>MIN(BK77)</f>
        <v>10.800623543373151</v>
      </c>
      <c r="BV54" s="144">
        <f>AVERAGE(BK77)</f>
        <v>10.800623543373151</v>
      </c>
      <c r="BW54" s="144">
        <f>MAX(BK77)</f>
        <v>10.800623543373151</v>
      </c>
      <c r="BX54" s="83"/>
      <c r="BY54" s="83"/>
      <c r="BZ54" s="83"/>
      <c r="CA54" s="83"/>
      <c r="CB54" s="83"/>
      <c r="CC54" s="151"/>
      <c r="CD54" s="175">
        <f t="shared" si="17"/>
        <v>6677.2229639519355</v>
      </c>
      <c r="CE54" s="134">
        <f t="shared" si="18"/>
        <v>3.8245958783148479</v>
      </c>
      <c r="CF54" s="119">
        <f t="shared" si="19"/>
        <v>6.0098234398231073E-2</v>
      </c>
      <c r="CG54">
        <f t="shared" si="20"/>
        <v>28</v>
      </c>
      <c r="CH54" s="124">
        <f t="shared" si="21"/>
        <v>0.45833333333333331</v>
      </c>
      <c r="CI54">
        <f>_xlfn.RANK.AVG(CD54,(CD$51:CD$60,CD$86:CD$88),1)</f>
        <v>11</v>
      </c>
      <c r="CJ54" s="124">
        <f t="shared" si="21"/>
        <v>0.80769230769230771</v>
      </c>
      <c r="CK54" s="14">
        <f t="shared" si="22"/>
        <v>2</v>
      </c>
      <c r="CL54" t="s">
        <v>173</v>
      </c>
      <c r="CM54" s="151">
        <f>AVERAGE($P77)</f>
        <v>2.39</v>
      </c>
      <c r="CN54" s="151">
        <f>AVERAGE($N77)</f>
        <v>167.85</v>
      </c>
      <c r="CO54" s="154">
        <f>AVERAGE($AF77)</f>
        <v>2.8964645164627057E-7</v>
      </c>
      <c r="CP54" s="144">
        <f>COUNT($CD77)</f>
        <v>1</v>
      </c>
      <c r="CQ54" s="83">
        <f>PERCENTILE(($CD77),0)</f>
        <v>1480</v>
      </c>
      <c r="CR54" s="83">
        <f>PERCENTILE(($CD77),0.1)</f>
        <v>1480</v>
      </c>
      <c r="CS54" s="83">
        <f>PERCENTILE(($CD77),0.5)</f>
        <v>1480</v>
      </c>
      <c r="CT54" s="83">
        <f>PERCENTILE(($CD77),0.9)</f>
        <v>1480</v>
      </c>
      <c r="CU54" s="144">
        <f>COUNT($CD77)</f>
        <v>1</v>
      </c>
      <c r="CV54" s="83">
        <f>PERCENTILE(($CD77),0)</f>
        <v>1480</v>
      </c>
      <c r="CW54" s="83">
        <f>PERCENTILE(($CD77),0.1)</f>
        <v>1480</v>
      </c>
      <c r="CX54" s="83">
        <f>PERCENTILE(($CD77),0.5)</f>
        <v>1480</v>
      </c>
      <c r="CY54" s="86">
        <f>PERCENTILE(($CD77),0.9)</f>
        <v>1480</v>
      </c>
      <c r="CZ54" s="8"/>
      <c r="DA54" s="83"/>
      <c r="DB54" s="83"/>
      <c r="DC54" s="83"/>
      <c r="DD54" s="86"/>
      <c r="DE54" s="144">
        <f t="shared" si="30"/>
        <v>1</v>
      </c>
      <c r="DF54" s="9"/>
    </row>
    <row r="55" spans="1:110" x14ac:dyDescent="0.2">
      <c r="A55" s="8">
        <v>4</v>
      </c>
      <c r="B55" t="s">
        <v>143</v>
      </c>
      <c r="C55">
        <v>1</v>
      </c>
      <c r="D55" s="23" t="s">
        <v>11</v>
      </c>
      <c r="E55" t="s">
        <v>10</v>
      </c>
      <c r="F55" s="6">
        <v>46</v>
      </c>
      <c r="G55" s="28" t="s">
        <v>33</v>
      </c>
      <c r="H55" s="1">
        <v>9</v>
      </c>
      <c r="I55" s="11">
        <v>403</v>
      </c>
      <c r="J55" t="s">
        <v>12</v>
      </c>
      <c r="K55" s="6" t="s">
        <v>153</v>
      </c>
      <c r="L55" s="1">
        <v>10</v>
      </c>
      <c r="M55" s="6">
        <v>40</v>
      </c>
      <c r="N55" s="1">
        <v>165.80749949115744</v>
      </c>
      <c r="O55" s="18">
        <v>118882.50367033854</v>
      </c>
      <c r="P55" s="30">
        <v>3.4</v>
      </c>
      <c r="Q55" s="1"/>
      <c r="R55" s="1"/>
      <c r="S55" s="1"/>
      <c r="T55" s="1"/>
      <c r="U55" s="1"/>
      <c r="V55" s="197"/>
      <c r="W55" s="238">
        <f t="shared" si="1"/>
        <v>-13.146030140709327</v>
      </c>
      <c r="X55" s="118">
        <f t="shared" si="23"/>
        <v>6.1728198391738715E-9</v>
      </c>
      <c r="Y55" s="1"/>
      <c r="Z55" s="1"/>
      <c r="AA55" s="1"/>
      <c r="AB55" s="1"/>
      <c r="AC55" s="197"/>
      <c r="AD55" s="238">
        <f t="shared" si="24"/>
        <v>2.6992668676849045</v>
      </c>
      <c r="AE55" s="96">
        <f t="shared" si="25"/>
        <v>500.34189339873814</v>
      </c>
      <c r="AF55" s="98">
        <f t="shared" si="26"/>
        <v>3.0885203659415489E-6</v>
      </c>
      <c r="AG55" s="22">
        <v>7144.6285714285714</v>
      </c>
      <c r="AH55" s="32">
        <v>0.2</v>
      </c>
      <c r="AI55" s="162">
        <v>0.05</v>
      </c>
      <c r="AJ55" s="167">
        <f t="shared" si="2"/>
        <v>555.96701561967791</v>
      </c>
      <c r="AK55" s="168">
        <f t="shared" si="3"/>
        <v>0.50323669949682737</v>
      </c>
      <c r="AL55" s="151">
        <f t="shared" si="27"/>
        <v>12.850813754598743</v>
      </c>
      <c r="AM55" s="175">
        <f t="shared" si="28"/>
        <v>2779.8350780983892</v>
      </c>
      <c r="AN55" s="134">
        <f t="shared" si="4"/>
        <v>3.4440190308833838</v>
      </c>
      <c r="AO55" s="119">
        <f t="shared" si="5"/>
        <v>6.0098234398231073E-2</v>
      </c>
      <c r="AP55">
        <f t="shared" si="6"/>
        <v>33</v>
      </c>
      <c r="AQ55" s="124">
        <f t="shared" si="7"/>
        <v>0.54166666666666663</v>
      </c>
      <c r="AR55">
        <f>_xlfn.RANK.AVG(AM55,(AM$51:AM$60,AM$86:AM$88),1)</f>
        <v>13</v>
      </c>
      <c r="AS55" s="124">
        <f t="shared" si="7"/>
        <v>0.96153846153846156</v>
      </c>
      <c r="AT55" s="14">
        <f t="shared" si="8"/>
        <v>0</v>
      </c>
      <c r="AU55" s="8" t="s">
        <v>19</v>
      </c>
      <c r="AV55" s="144">
        <f>COUNT(AM60)</f>
        <v>1</v>
      </c>
      <c r="AW55" s="144">
        <f>MIN(AM60)</f>
        <v>58.527720696718525</v>
      </c>
      <c r="AX55" s="144">
        <f>AVERAGE(AM60)</f>
        <v>58.527720696718525</v>
      </c>
      <c r="AY55" s="144">
        <f>MAX(AM60)</f>
        <v>58.527720696718525</v>
      </c>
      <c r="AZ55" s="83"/>
      <c r="BA55" s="83"/>
      <c r="BB55" s="83"/>
      <c r="BC55" s="83"/>
      <c r="BD55" s="83"/>
      <c r="BE55" s="8">
        <f t="shared" si="9"/>
        <v>107.54898498811679</v>
      </c>
      <c r="BF55" s="16">
        <f t="shared" si="31"/>
        <v>5.1694306150923444</v>
      </c>
      <c r="BG55" s="16"/>
      <c r="BH55" s="189"/>
      <c r="BI55" s="6">
        <f t="shared" si="0"/>
        <v>9.7348574140372277E-2</v>
      </c>
      <c r="BJ55" s="151">
        <f t="shared" si="10"/>
        <v>66.43139005187254</v>
      </c>
      <c r="BK55" s="175">
        <f t="shared" si="11"/>
        <v>537.74492494058393</v>
      </c>
      <c r="BL55" s="134">
        <f t="shared" si="12"/>
        <v>2.7305763203506199</v>
      </c>
      <c r="BM55" s="119">
        <f t="shared" si="13"/>
        <v>6.0098234398231073E-2</v>
      </c>
      <c r="BN55">
        <f t="shared" si="14"/>
        <v>33</v>
      </c>
      <c r="BO55" s="124">
        <f t="shared" si="15"/>
        <v>0.54166666666666663</v>
      </c>
      <c r="BP55">
        <f>_xlfn.RANK.AVG(BK55,(BK$51:BK$60,BK$86:BK$88),1)</f>
        <v>13</v>
      </c>
      <c r="BQ55" s="124">
        <f t="shared" si="29"/>
        <v>0.96153846153846156</v>
      </c>
      <c r="BR55" s="14">
        <f t="shared" si="16"/>
        <v>0</v>
      </c>
      <c r="BS55" s="8" t="s">
        <v>19</v>
      </c>
      <c r="BT55" s="144">
        <f>COUNT(BK60)</f>
        <v>1</v>
      </c>
      <c r="BU55" s="144">
        <f>MIN(BK60)</f>
        <v>10.467212778471625</v>
      </c>
      <c r="BV55" s="144">
        <f>AVERAGE(BK60)</f>
        <v>10.467212778471625</v>
      </c>
      <c r="BW55" s="144">
        <f>MAX(BK60)</f>
        <v>10.467212778471625</v>
      </c>
      <c r="BX55" s="83"/>
      <c r="BY55" s="83"/>
      <c r="BZ55" s="83"/>
      <c r="CA55" s="83"/>
      <c r="CB55" s="83"/>
      <c r="CC55" s="151"/>
      <c r="CD55" s="175">
        <f t="shared" si="17"/>
        <v>35723.142857142855</v>
      </c>
      <c r="CE55" s="134">
        <f t="shared" si="18"/>
        <v>4.5529496603360764</v>
      </c>
      <c r="CF55" s="119">
        <f t="shared" si="19"/>
        <v>6.0098234398231073E-2</v>
      </c>
      <c r="CG55">
        <f t="shared" si="20"/>
        <v>41</v>
      </c>
      <c r="CH55" s="124">
        <f t="shared" si="21"/>
        <v>0.67500000000000004</v>
      </c>
      <c r="CI55">
        <f>_xlfn.RANK.AVG(CD55,(CD$51:CD$60,CD$86:CD$88),1)</f>
        <v>13</v>
      </c>
      <c r="CJ55" s="124">
        <f t="shared" si="21"/>
        <v>0.96153846153846156</v>
      </c>
      <c r="CK55" s="14">
        <f t="shared" si="22"/>
        <v>2</v>
      </c>
      <c r="CL55" s="8" t="s">
        <v>19</v>
      </c>
      <c r="CM55" s="151">
        <f>AVERAGE($P60)</f>
        <v>2.61</v>
      </c>
      <c r="CN55" s="151">
        <f>AVERAGE($N60)</f>
        <v>131.4</v>
      </c>
      <c r="CO55" s="154">
        <f>AVERAGE($AF60)</f>
        <v>1.0488899145360672E-5</v>
      </c>
      <c r="CP55" s="144">
        <f>COUNT($CD60)</f>
        <v>1</v>
      </c>
      <c r="CQ55" s="83">
        <f>PERCENTILE(($CD60),0)</f>
        <v>221.46892655367228</v>
      </c>
      <c r="CR55" s="83">
        <f>PERCENTILE(($CD60),0.1)</f>
        <v>221.46892655367228</v>
      </c>
      <c r="CS55" s="83">
        <f>PERCENTILE(($CD60),0.5)</f>
        <v>221.46892655367228</v>
      </c>
      <c r="CT55" s="83">
        <f>PERCENTILE(($CD60),0.9)</f>
        <v>221.46892655367228</v>
      </c>
      <c r="CU55" s="144"/>
      <c r="CV55" s="83"/>
      <c r="CW55" s="83"/>
      <c r="CX55" s="83"/>
      <c r="CY55" s="86"/>
      <c r="CZ55" s="8">
        <f>COUNT($CD60)</f>
        <v>1</v>
      </c>
      <c r="DA55" s="83">
        <f>PERCENTILE($CD60,0.9)</f>
        <v>221.46892655367228</v>
      </c>
      <c r="DB55" s="83">
        <f>PERCENTILE($CD60,0.9)</f>
        <v>221.46892655367228</v>
      </c>
      <c r="DC55" s="83">
        <f>PERCENTILE($CD60,0.9)</f>
        <v>221.46892655367228</v>
      </c>
      <c r="DD55" s="86">
        <f>PERCENTILE($CD60,0.9)</f>
        <v>221.46892655367228</v>
      </c>
      <c r="DE55" s="144">
        <f t="shared" si="30"/>
        <v>1</v>
      </c>
      <c r="DF55" s="86">
        <f>MIN(DA55,CY55)</f>
        <v>221.46892655367228</v>
      </c>
    </row>
    <row r="56" spans="1:110" x14ac:dyDescent="0.2">
      <c r="A56" s="8">
        <v>6</v>
      </c>
      <c r="B56" t="s">
        <v>143</v>
      </c>
      <c r="C56">
        <v>1</v>
      </c>
      <c r="D56" s="23" t="s">
        <v>11</v>
      </c>
      <c r="E56" t="s">
        <v>10</v>
      </c>
      <c r="F56" s="6">
        <v>52</v>
      </c>
      <c r="G56" s="28" t="s">
        <v>33</v>
      </c>
      <c r="H56" s="1">
        <v>9</v>
      </c>
      <c r="I56" s="11">
        <v>403</v>
      </c>
      <c r="J56" t="s">
        <v>12</v>
      </c>
      <c r="K56" s="6" t="s">
        <v>153</v>
      </c>
      <c r="L56" s="1">
        <v>10</v>
      </c>
      <c r="M56" s="6">
        <v>40</v>
      </c>
      <c r="N56" s="1">
        <v>165.80749949115744</v>
      </c>
      <c r="O56" s="18">
        <v>118882.50367033854</v>
      </c>
      <c r="P56" s="30">
        <v>3.4</v>
      </c>
      <c r="Q56" s="1"/>
      <c r="R56" s="1"/>
      <c r="S56" s="1"/>
      <c r="T56" s="1"/>
      <c r="U56" s="1"/>
      <c r="V56" s="197"/>
      <c r="W56" s="238">
        <f t="shared" si="1"/>
        <v>-13.146030140709327</v>
      </c>
      <c r="X56" s="118">
        <f t="shared" si="23"/>
        <v>6.1728198391738715E-9</v>
      </c>
      <c r="Y56" s="1"/>
      <c r="Z56" s="1"/>
      <c r="AA56" s="1"/>
      <c r="AB56" s="1"/>
      <c r="AC56" s="197"/>
      <c r="AD56" s="238">
        <f t="shared" si="24"/>
        <v>2.6992668676849045</v>
      </c>
      <c r="AE56" s="96">
        <f t="shared" si="25"/>
        <v>500.34189339873814</v>
      </c>
      <c r="AF56" s="98">
        <f t="shared" si="26"/>
        <v>3.0885203659415489E-6</v>
      </c>
      <c r="AG56" s="22">
        <v>2861.5714285714284</v>
      </c>
      <c r="AH56" s="32">
        <v>13.683333333333332</v>
      </c>
      <c r="AI56" s="162">
        <v>0.05</v>
      </c>
      <c r="AJ56" s="167">
        <f t="shared" si="2"/>
        <v>222.67628207959959</v>
      </c>
      <c r="AK56" s="168">
        <f t="shared" si="3"/>
        <v>0.20155670049069729</v>
      </c>
      <c r="AL56" s="151">
        <f t="shared" si="27"/>
        <v>12.850813754598745</v>
      </c>
      <c r="AM56" s="175">
        <f t="shared" si="28"/>
        <v>16.273540712272808</v>
      </c>
      <c r="AN56" s="134">
        <f t="shared" si="4"/>
        <v>1.2114820547503984</v>
      </c>
      <c r="AO56" s="119">
        <f t="shared" si="5"/>
        <v>2.4070585159499776E-2</v>
      </c>
      <c r="AP56">
        <f t="shared" si="6"/>
        <v>5</v>
      </c>
      <c r="AQ56" s="124">
        <f t="shared" si="7"/>
        <v>7.4999999999999997E-2</v>
      </c>
      <c r="AR56">
        <f>_xlfn.RANK.AVG(AM56,(AM$51:AM$60,AM$86:AM$88),1)</f>
        <v>1</v>
      </c>
      <c r="AS56" s="124">
        <f t="shared" si="7"/>
        <v>3.8461538461538464E-2</v>
      </c>
      <c r="AT56" s="14">
        <f t="shared" si="8"/>
        <v>0</v>
      </c>
      <c r="AU56" s="21" t="s">
        <v>39</v>
      </c>
      <c r="AV56" s="144">
        <f>COUNT(AM73:AM74,AM94)</f>
        <v>3</v>
      </c>
      <c r="AW56" s="144">
        <f>MIN(AM73:AM74,AM94)</f>
        <v>3488.3612852052379</v>
      </c>
      <c r="AX56" s="144">
        <f>AVERAGE(AM73:AM74,AM94)</f>
        <v>246501.71025753114</v>
      </c>
      <c r="AY56" s="144">
        <f>MAX(AM73:AM74,AM94)</f>
        <v>731004.76433363103</v>
      </c>
      <c r="AZ56" s="83"/>
      <c r="BA56" s="83"/>
      <c r="BB56" s="83"/>
      <c r="BC56" s="83"/>
      <c r="BD56" s="83"/>
      <c r="BE56" s="8">
        <f t="shared" si="9"/>
        <v>43.075591619217775</v>
      </c>
      <c r="BF56" s="16">
        <f t="shared" si="31"/>
        <v>5.1694306150923444</v>
      </c>
      <c r="BG56" s="16"/>
      <c r="BH56" s="189"/>
      <c r="BI56" s="6">
        <f t="shared" si="0"/>
        <v>3.8990116223292563E-2</v>
      </c>
      <c r="BJ56" s="151">
        <f t="shared" si="10"/>
        <v>66.431390051872555</v>
      </c>
      <c r="BK56" s="175">
        <f t="shared" si="11"/>
        <v>3.1480334922692652</v>
      </c>
      <c r="BL56" s="134">
        <f t="shared" si="12"/>
        <v>0.49803934421763446</v>
      </c>
      <c r="BM56" s="119">
        <f t="shared" si="13"/>
        <v>2.4070585159499776E-2</v>
      </c>
      <c r="BN56">
        <f t="shared" si="14"/>
        <v>3</v>
      </c>
      <c r="BO56" s="124">
        <f t="shared" si="15"/>
        <v>4.1666666666666664E-2</v>
      </c>
      <c r="BP56">
        <f>_xlfn.RANK.AVG(BK56,(BK$51:BK$60,BK$86:BK$88),1)</f>
        <v>1</v>
      </c>
      <c r="BQ56" s="124">
        <f t="shared" si="29"/>
        <v>3.8461538461538464E-2</v>
      </c>
      <c r="BR56" s="14">
        <f t="shared" si="16"/>
        <v>0</v>
      </c>
      <c r="BS56" s="21" t="s">
        <v>39</v>
      </c>
      <c r="BT56" s="144">
        <f>COUNT(BK73:BK74,BK94)</f>
        <v>3</v>
      </c>
      <c r="BU56" s="144">
        <f>MIN(BK73:BK74,BK94)</f>
        <v>270.2850322968157</v>
      </c>
      <c r="BV56" s="144">
        <f>AVERAGE(BK73:BK74,BK94)</f>
        <v>20638.532215155072</v>
      </c>
      <c r="BW56" s="144">
        <f>MAX(BK73:BK74,BK94)</f>
        <v>61131.579577180004</v>
      </c>
      <c r="BX56" s="83"/>
      <c r="BY56" s="83"/>
      <c r="BZ56" s="83"/>
      <c r="CA56" s="83"/>
      <c r="CB56" s="83"/>
      <c r="CC56" s="151"/>
      <c r="CD56" s="175">
        <f t="shared" si="17"/>
        <v>209.12824082129808</v>
      </c>
      <c r="CE56" s="134">
        <f t="shared" si="18"/>
        <v>2.3204126842030912</v>
      </c>
      <c r="CF56" s="119">
        <f t="shared" si="19"/>
        <v>2.4070585159499776E-2</v>
      </c>
      <c r="CG56">
        <f t="shared" si="20"/>
        <v>7</v>
      </c>
      <c r="CH56" s="124">
        <f t="shared" si="21"/>
        <v>0.10833333333333334</v>
      </c>
      <c r="CI56">
        <f>_xlfn.RANK.AVG(CD56,(CD$51:CD$60,CD$86:CD$88),1)</f>
        <v>3</v>
      </c>
      <c r="CJ56" s="124">
        <f t="shared" si="21"/>
        <v>0.19230769230769232</v>
      </c>
      <c r="CK56" s="14">
        <f t="shared" si="22"/>
        <v>2</v>
      </c>
      <c r="CL56" s="21" t="s">
        <v>39</v>
      </c>
      <c r="CM56" s="151">
        <f>AVERAGE($P73:$P74,$P94)</f>
        <v>3.15</v>
      </c>
      <c r="CN56" s="151">
        <f>AVERAGE($N73:$N74,$N94)</f>
        <v>106.18666499232586</v>
      </c>
      <c r="CO56" s="154">
        <f>AVERAGE($AF73:$AF74,$AF94)</f>
        <v>4.1720273431059553E-5</v>
      </c>
      <c r="CP56" s="144">
        <f>COUNT($CD73:$CD74,$CD94)</f>
        <v>3</v>
      </c>
      <c r="CQ56" s="83">
        <f>PERCENTILE(($CD73:$CD74,$CD94),0)</f>
        <v>2500</v>
      </c>
      <c r="CR56" s="83">
        <f>PERCENTILE(($CD73:$CD74,$CD94),0.1)</f>
        <v>4417</v>
      </c>
      <c r="CS56" s="83">
        <f>PERCENTILE(($CD73:$CD74,$CD94),0.5)</f>
        <v>12085</v>
      </c>
      <c r="CT56" s="83">
        <f>PERCENTILE(($CD73:$CD74,$CD94),0.9)</f>
        <v>682416.99999999988</v>
      </c>
      <c r="CU56" s="144">
        <f>COUNT($CD73:$CD74,$CD94)</f>
        <v>3</v>
      </c>
      <c r="CV56" s="83">
        <f>PERCENTILE(($CD73:$CD74,$CD94),0)</f>
        <v>2500</v>
      </c>
      <c r="CW56" s="83">
        <f>PERCENTILE(($CD73:$CD74,$CD94),0.1)</f>
        <v>4417</v>
      </c>
      <c r="CX56" s="83">
        <f>PERCENTILE(($CD73:$CD74,$CD94),0.5)</f>
        <v>12085</v>
      </c>
      <c r="CY56" s="86">
        <f>PERCENTILE(($CD73:$CD74,$CD94),0.9)</f>
        <v>682416.99999999988</v>
      </c>
      <c r="CZ56" s="8"/>
      <c r="DA56" s="83"/>
      <c r="DB56" s="83"/>
      <c r="DC56" s="83"/>
      <c r="DD56" s="86"/>
      <c r="DE56" s="144">
        <f t="shared" si="30"/>
        <v>3</v>
      </c>
      <c r="DF56" s="9"/>
    </row>
    <row r="57" spans="1:110" x14ac:dyDescent="0.2">
      <c r="A57" s="8">
        <v>8</v>
      </c>
      <c r="B57" t="s">
        <v>143</v>
      </c>
      <c r="C57">
        <v>1</v>
      </c>
      <c r="D57" s="23" t="s">
        <v>11</v>
      </c>
      <c r="E57" t="s">
        <v>10</v>
      </c>
      <c r="F57" s="6">
        <v>56</v>
      </c>
      <c r="G57" s="28" t="s">
        <v>33</v>
      </c>
      <c r="H57" s="1">
        <v>9</v>
      </c>
      <c r="I57" s="11">
        <v>403</v>
      </c>
      <c r="J57" t="s">
        <v>12</v>
      </c>
      <c r="K57" s="6" t="s">
        <v>153</v>
      </c>
      <c r="L57" s="1">
        <v>10</v>
      </c>
      <c r="M57" s="6">
        <v>40</v>
      </c>
      <c r="N57" s="1">
        <v>165.80749949115744</v>
      </c>
      <c r="O57" s="18">
        <v>118882.50367033854</v>
      </c>
      <c r="P57" s="30">
        <v>3.4</v>
      </c>
      <c r="Q57" s="1"/>
      <c r="R57" s="1"/>
      <c r="S57" s="1"/>
      <c r="T57" s="1"/>
      <c r="U57" s="1"/>
      <c r="V57" s="197"/>
      <c r="W57" s="238">
        <f t="shared" si="1"/>
        <v>-13.146030140709327</v>
      </c>
      <c r="X57" s="118">
        <f t="shared" si="23"/>
        <v>6.1728198391738715E-9</v>
      </c>
      <c r="Y57" s="1"/>
      <c r="Z57" s="1"/>
      <c r="AA57" s="1"/>
      <c r="AB57" s="1"/>
      <c r="AC57" s="197"/>
      <c r="AD57" s="238">
        <f t="shared" si="24"/>
        <v>2.6992668676849045</v>
      </c>
      <c r="AE57" s="96">
        <f t="shared" si="25"/>
        <v>500.34189339873814</v>
      </c>
      <c r="AF57" s="98">
        <f t="shared" si="26"/>
        <v>3.0885203659415489E-6</v>
      </c>
      <c r="AG57" s="22">
        <v>2861.5714285714284</v>
      </c>
      <c r="AH57" s="32">
        <v>7.7866666666666662</v>
      </c>
      <c r="AI57" s="162">
        <v>0.05</v>
      </c>
      <c r="AJ57" s="167">
        <f t="shared" si="2"/>
        <v>222.67628207959959</v>
      </c>
      <c r="AK57" s="168">
        <f t="shared" si="3"/>
        <v>0.20155670049069729</v>
      </c>
      <c r="AL57" s="151">
        <f t="shared" si="27"/>
        <v>12.850813754598745</v>
      </c>
      <c r="AM57" s="175">
        <f t="shared" si="28"/>
        <v>28.597125267071867</v>
      </c>
      <c r="AN57" s="134">
        <f t="shared" si="4"/>
        <v>1.4563223777654961</v>
      </c>
      <c r="AO57" s="119">
        <f t="shared" si="5"/>
        <v>2.4070585159499776E-2</v>
      </c>
      <c r="AP57">
        <f t="shared" si="6"/>
        <v>8</v>
      </c>
      <c r="AQ57" s="124">
        <f t="shared" si="7"/>
        <v>0.125</v>
      </c>
      <c r="AR57">
        <f>_xlfn.RANK.AVG(AM57,(AM$51:AM$60,AM$86:AM$88),1)</f>
        <v>3</v>
      </c>
      <c r="AS57" s="124">
        <f t="shared" si="7"/>
        <v>0.19230769230769232</v>
      </c>
      <c r="AT57" s="14">
        <f t="shared" si="8"/>
        <v>0</v>
      </c>
      <c r="AU57" s="8" t="s">
        <v>37</v>
      </c>
      <c r="AV57" s="144">
        <f>COUNT(AM183:AM184)</f>
        <v>0</v>
      </c>
      <c r="AW57" s="144">
        <f>MIN(AM183:AM184)</f>
        <v>0</v>
      </c>
      <c r="AX57" s="144" t="e">
        <f>AVERAGE(AM183:AM184)</f>
        <v>#DIV/0!</v>
      </c>
      <c r="AY57" s="144">
        <f>MAX(AM183:AM184)</f>
        <v>0</v>
      </c>
      <c r="AZ57" s="83"/>
      <c r="BA57" s="83"/>
      <c r="BB57" s="83"/>
      <c r="BC57" s="83"/>
      <c r="BD57" s="83"/>
      <c r="BE57" s="8">
        <f t="shared" si="9"/>
        <v>43.075591619217775</v>
      </c>
      <c r="BF57" s="16">
        <f t="shared" si="31"/>
        <v>5.1694306150923444</v>
      </c>
      <c r="BG57" s="16"/>
      <c r="BH57" s="189"/>
      <c r="BI57" s="6">
        <f t="shared" si="0"/>
        <v>3.8990116223292563E-2</v>
      </c>
      <c r="BJ57" s="151">
        <f t="shared" si="10"/>
        <v>66.431390051872555</v>
      </c>
      <c r="BK57" s="175">
        <f t="shared" si="11"/>
        <v>5.5319681017831046</v>
      </c>
      <c r="BL57" s="134">
        <f t="shared" si="12"/>
        <v>0.74287966723273213</v>
      </c>
      <c r="BM57" s="119">
        <f t="shared" si="13"/>
        <v>2.4070585159499776E-2</v>
      </c>
      <c r="BN57">
        <f t="shared" si="14"/>
        <v>7</v>
      </c>
      <c r="BO57" s="124">
        <f t="shared" si="15"/>
        <v>0.10833333333333334</v>
      </c>
      <c r="BP57">
        <f>_xlfn.RANK.AVG(BK57,(BK$51:BK$60,BK$86:BK$88),1)</f>
        <v>4</v>
      </c>
      <c r="BQ57" s="124">
        <f t="shared" si="29"/>
        <v>0.26923076923076922</v>
      </c>
      <c r="BR57" s="14">
        <f t="shared" si="16"/>
        <v>0</v>
      </c>
      <c r="BS57" s="8" t="s">
        <v>37</v>
      </c>
      <c r="BT57" s="144">
        <f>COUNT(BK183:BK184)</f>
        <v>0</v>
      </c>
      <c r="BU57" s="144"/>
      <c r="BV57" s="144"/>
      <c r="BW57" s="144"/>
      <c r="BX57" s="83"/>
      <c r="BY57" s="83"/>
      <c r="BZ57" s="83"/>
      <c r="CA57" s="83"/>
      <c r="CB57" s="83"/>
      <c r="CC57" s="151"/>
      <c r="CD57" s="175">
        <f t="shared" si="17"/>
        <v>367.49633072407045</v>
      </c>
      <c r="CE57" s="134">
        <f t="shared" si="18"/>
        <v>2.5652530072181889</v>
      </c>
      <c r="CF57" s="119">
        <f t="shared" si="19"/>
        <v>2.4070585159499776E-2</v>
      </c>
      <c r="CG57">
        <f t="shared" si="20"/>
        <v>11</v>
      </c>
      <c r="CH57" s="124">
        <f t="shared" si="21"/>
        <v>0.17499999999999999</v>
      </c>
      <c r="CI57">
        <f>_xlfn.RANK.AVG(CD57,(CD$51:CD$60,CD$86:CD$88),1)</f>
        <v>6</v>
      </c>
      <c r="CJ57" s="124">
        <f t="shared" si="21"/>
        <v>0.42307692307692307</v>
      </c>
      <c r="CK57" s="14">
        <f t="shared" si="22"/>
        <v>2</v>
      </c>
      <c r="CL57" s="8" t="s">
        <v>37</v>
      </c>
      <c r="CM57" s="151">
        <f>AVERAGE($P183:$P184)</f>
        <v>5.8650000000000002</v>
      </c>
      <c r="CN57" s="151">
        <f>AVERAGE($N183:$N184)</f>
        <v>150</v>
      </c>
      <c r="CO57" s="154">
        <f>AVERAGE($AF74:$AF75,$AF95)</f>
        <v>3.720927625181285E-5</v>
      </c>
      <c r="CP57" s="144">
        <f>COUNT($CD183:$CD184)</f>
        <v>0</v>
      </c>
      <c r="CQ57" s="83"/>
      <c r="CR57" s="83"/>
      <c r="CS57" s="83"/>
      <c r="CT57" s="83"/>
      <c r="CU57" s="144">
        <f>COUNT($CD183:$CD184)</f>
        <v>0</v>
      </c>
      <c r="CV57" s="83"/>
      <c r="CW57" s="83"/>
      <c r="CX57" s="83"/>
      <c r="CY57" s="86"/>
      <c r="CZ57" s="8"/>
      <c r="DA57" s="83"/>
      <c r="DB57" s="83"/>
      <c r="DC57" s="83"/>
      <c r="DD57" s="86"/>
      <c r="DE57" s="144">
        <f t="shared" si="30"/>
        <v>0</v>
      </c>
      <c r="DF57" s="9"/>
    </row>
    <row r="58" spans="1:110" x14ac:dyDescent="0.2">
      <c r="A58" s="8">
        <v>7</v>
      </c>
      <c r="B58" t="s">
        <v>143</v>
      </c>
      <c r="C58">
        <v>1</v>
      </c>
      <c r="D58" s="23" t="s">
        <v>11</v>
      </c>
      <c r="E58" t="s">
        <v>10</v>
      </c>
      <c r="F58" s="6">
        <v>54</v>
      </c>
      <c r="G58" s="28" t="s">
        <v>33</v>
      </c>
      <c r="H58" s="1">
        <v>9</v>
      </c>
      <c r="I58" s="11">
        <v>403</v>
      </c>
      <c r="J58" t="s">
        <v>12</v>
      </c>
      <c r="K58" s="6" t="s">
        <v>153</v>
      </c>
      <c r="L58" s="1">
        <v>10</v>
      </c>
      <c r="M58" s="6">
        <v>40</v>
      </c>
      <c r="N58" s="1">
        <v>165.80749949115744</v>
      </c>
      <c r="O58" s="18">
        <v>118882.50367033854</v>
      </c>
      <c r="P58" s="30">
        <v>3.4</v>
      </c>
      <c r="Q58" s="1"/>
      <c r="R58" s="1"/>
      <c r="S58" s="1"/>
      <c r="T58" s="1"/>
      <c r="U58" s="1"/>
      <c r="V58" s="197"/>
      <c r="W58" s="238">
        <f t="shared" si="1"/>
        <v>-13.146030140709327</v>
      </c>
      <c r="X58" s="118">
        <f t="shared" si="23"/>
        <v>6.1728198391738715E-9</v>
      </c>
      <c r="Y58" s="1"/>
      <c r="Z58" s="1"/>
      <c r="AA58" s="1"/>
      <c r="AB58" s="1"/>
      <c r="AC58" s="197"/>
      <c r="AD58" s="238">
        <f t="shared" si="24"/>
        <v>2.6992668676849045</v>
      </c>
      <c r="AE58" s="96">
        <f t="shared" si="25"/>
        <v>500.34189339873814</v>
      </c>
      <c r="AF58" s="98">
        <f t="shared" si="26"/>
        <v>3.0885203659415489E-6</v>
      </c>
      <c r="AG58" s="22">
        <v>2861.5714285714284</v>
      </c>
      <c r="AH58" s="32">
        <v>0.51249999999999996</v>
      </c>
      <c r="AI58" s="162">
        <v>0.05</v>
      </c>
      <c r="AJ58" s="167">
        <f t="shared" si="2"/>
        <v>222.67628207959959</v>
      </c>
      <c r="AK58" s="168">
        <f t="shared" si="3"/>
        <v>0.20155670049069729</v>
      </c>
      <c r="AL58" s="151">
        <f t="shared" si="27"/>
        <v>12.850813754598745</v>
      </c>
      <c r="AM58" s="175">
        <f t="shared" si="28"/>
        <v>434.49030649677974</v>
      </c>
      <c r="AN58" s="134">
        <f t="shared" si="4"/>
        <v>2.6379800917584038</v>
      </c>
      <c r="AO58" s="119">
        <f t="shared" si="5"/>
        <v>2.4070585159499776E-2</v>
      </c>
      <c r="AP58">
        <f t="shared" si="6"/>
        <v>18</v>
      </c>
      <c r="AQ58" s="124">
        <f t="shared" si="7"/>
        <v>0.29166666666666669</v>
      </c>
      <c r="AR58">
        <f>_xlfn.RANK.AVG(AM58,(AM$51:AM$60,AM$86:AM$88),1)</f>
        <v>10</v>
      </c>
      <c r="AS58" s="124">
        <f t="shared" si="7"/>
        <v>0.73076923076923073</v>
      </c>
      <c r="AT58" s="14">
        <f t="shared" si="8"/>
        <v>0</v>
      </c>
      <c r="AU58" s="21" t="s">
        <v>35</v>
      </c>
      <c r="AV58" s="144">
        <f>COUNT(AM75:AM76,AM95:AM106)</f>
        <v>14</v>
      </c>
      <c r="AW58" s="144">
        <f>MIN(AM75:AM76,AM95:AM106)</f>
        <v>366.52124962961022</v>
      </c>
      <c r="AX58" s="144">
        <f>AVERAGE(AM75:AM76,AM95:AM106)</f>
        <v>49529.295991271116</v>
      </c>
      <c r="AY58" s="144">
        <f>MAX(AM75:AM76,AM95:AM106)</f>
        <v>332596.96482121473</v>
      </c>
      <c r="AZ58" s="83"/>
      <c r="BA58" s="83"/>
      <c r="BB58" s="83"/>
      <c r="BC58" s="83"/>
      <c r="BD58" s="83"/>
      <c r="BE58" s="8">
        <f t="shared" si="9"/>
        <v>43.075591619217775</v>
      </c>
      <c r="BF58" s="16">
        <f t="shared" si="31"/>
        <v>5.1694306150923444</v>
      </c>
      <c r="BG58" s="16"/>
      <c r="BH58" s="189"/>
      <c r="BI58" s="6">
        <f t="shared" si="0"/>
        <v>3.8990116223292563E-2</v>
      </c>
      <c r="BJ58" s="151">
        <f t="shared" si="10"/>
        <v>66.431390051872555</v>
      </c>
      <c r="BK58" s="175">
        <f t="shared" si="11"/>
        <v>84.049934866766392</v>
      </c>
      <c r="BL58" s="134">
        <f t="shared" si="12"/>
        <v>1.9245373812256397</v>
      </c>
      <c r="BM58" s="119">
        <f t="shared" si="13"/>
        <v>2.4070585159499776E-2</v>
      </c>
      <c r="BN58">
        <f t="shared" si="14"/>
        <v>18</v>
      </c>
      <c r="BO58" s="124">
        <f t="shared" si="15"/>
        <v>0.29166666666666669</v>
      </c>
      <c r="BP58">
        <f>_xlfn.RANK.AVG(BK58,(BK$51:BK$60,BK$86:BK$88),1)</f>
        <v>10</v>
      </c>
      <c r="BQ58" s="124">
        <f t="shared" si="29"/>
        <v>0.73076923076923073</v>
      </c>
      <c r="BR58" s="14">
        <f t="shared" si="16"/>
        <v>0</v>
      </c>
      <c r="BS58" s="21" t="s">
        <v>35</v>
      </c>
      <c r="BT58" s="144">
        <f>COUNT(BK75:BK76,BK95:BK106)</f>
        <v>14</v>
      </c>
      <c r="BU58" s="144">
        <f>MIN(BK75:BK76,BK95:BK106)</f>
        <v>19.840193533397834</v>
      </c>
      <c r="BV58" s="144">
        <f>AVERAGE(BK75:BK76,BK95:BK106)</f>
        <v>4159.5999706334878</v>
      </c>
      <c r="BW58" s="144">
        <f>MAX(BK75:BK76,BK95:BK106)</f>
        <v>27919.005876218245</v>
      </c>
      <c r="BX58" s="83"/>
      <c r="BY58" s="83"/>
      <c r="BZ58" s="83"/>
      <c r="CA58" s="83"/>
      <c r="CB58" s="83"/>
      <c r="CC58" s="151"/>
      <c r="CD58" s="175">
        <f t="shared" si="17"/>
        <v>5583.5540069686413</v>
      </c>
      <c r="CE58" s="134">
        <f t="shared" si="18"/>
        <v>3.7469107212110964</v>
      </c>
      <c r="CF58" s="119">
        <f t="shared" si="19"/>
        <v>2.4070585159499776E-2</v>
      </c>
      <c r="CG58">
        <f t="shared" si="20"/>
        <v>27</v>
      </c>
      <c r="CH58" s="124">
        <f t="shared" si="21"/>
        <v>0.44166666666666665</v>
      </c>
      <c r="CI58">
        <f>_xlfn.RANK.AVG(CD58,(CD$51:CD$60,CD$86:CD$88),1)</f>
        <v>10</v>
      </c>
      <c r="CJ58" s="124">
        <f t="shared" si="21"/>
        <v>0.73076923076923073</v>
      </c>
      <c r="CK58" s="14">
        <f t="shared" si="22"/>
        <v>2</v>
      </c>
      <c r="CL58" s="21" t="s">
        <v>35</v>
      </c>
      <c r="CM58" s="151">
        <f>AVERAGE($P75:$P76,$P95:$P106)</f>
        <v>3.2999999999999994</v>
      </c>
      <c r="CN58" s="151">
        <f>AVERAGE($N75:$N76,$N95:$N106)</f>
        <v>128.19000000000003</v>
      </c>
      <c r="CO58" s="154">
        <f>AVERAGE($AF75:$AF76,$AF95:$AF106)</f>
        <v>2.5144541718753197E-5</v>
      </c>
      <c r="CP58" s="144">
        <f>COUNT($CD75:$CD76,$CD95:$CD106)</f>
        <v>14</v>
      </c>
      <c r="CQ58" s="83">
        <f>PERCENTILE(($CD75:$CD76,$CD95:$CD106),0)</f>
        <v>260</v>
      </c>
      <c r="CR58" s="83">
        <f>PERCENTILE(($CD75:$CD76,$CD95:$CD106),0.1)</f>
        <v>2297.1499999999996</v>
      </c>
      <c r="CS58" s="83">
        <f>PERCENTILE(($CD75:$CD76,$CD95:$CD106),0.5)</f>
        <v>6825</v>
      </c>
      <c r="CT58" s="83">
        <f>PERCENTILE(($CD75:$CD76,$CD95:$CD106),0.9)</f>
        <v>286000.00000000023</v>
      </c>
      <c r="CU58" s="144">
        <f>COUNT($CD75:$CD76,$CD95:$CD106)</f>
        <v>14</v>
      </c>
      <c r="CV58" s="83">
        <f>PERCENTILE(($CD75:$CD76,$CD95:$CD106),0)</f>
        <v>260</v>
      </c>
      <c r="CW58" s="83">
        <f>PERCENTILE(($CD75:$CD76,$CD95:$CD106),0.1)</f>
        <v>2297.1499999999996</v>
      </c>
      <c r="CX58" s="83">
        <f>PERCENTILE(($CD75:$CD76,$CD95:$CD106),0.5)</f>
        <v>6825</v>
      </c>
      <c r="CY58" s="86">
        <f>PERCENTILE(($CD75:$CD76,$CD95:$CD106),0.9)</f>
        <v>286000.00000000023</v>
      </c>
      <c r="CZ58" s="8"/>
      <c r="DA58" s="83"/>
      <c r="DB58" s="83"/>
      <c r="DC58" s="83"/>
      <c r="DD58" s="86"/>
      <c r="DE58" s="144">
        <f t="shared" si="30"/>
        <v>14</v>
      </c>
      <c r="DF58" s="9"/>
    </row>
    <row r="59" spans="1:110" x14ac:dyDescent="0.2">
      <c r="A59" s="8">
        <v>9</v>
      </c>
      <c r="B59" t="s">
        <v>143</v>
      </c>
      <c r="C59">
        <v>1</v>
      </c>
      <c r="D59" s="23" t="s">
        <v>11</v>
      </c>
      <c r="E59" t="s">
        <v>10</v>
      </c>
      <c r="F59" s="6" t="s">
        <v>40</v>
      </c>
      <c r="G59" s="28" t="s">
        <v>33</v>
      </c>
      <c r="H59" s="1">
        <v>9</v>
      </c>
      <c r="I59" s="11">
        <v>403</v>
      </c>
      <c r="J59" t="s">
        <v>12</v>
      </c>
      <c r="K59" s="6" t="s">
        <v>153</v>
      </c>
      <c r="L59" s="1">
        <v>10</v>
      </c>
      <c r="M59" s="6">
        <v>40</v>
      </c>
      <c r="N59" s="1">
        <v>165.80749949115744</v>
      </c>
      <c r="O59" s="18">
        <v>118882.50367033854</v>
      </c>
      <c r="P59" s="30">
        <v>3.4</v>
      </c>
      <c r="Q59" s="1"/>
      <c r="R59" s="1"/>
      <c r="S59" s="1"/>
      <c r="T59" s="1"/>
      <c r="U59" s="1"/>
      <c r="V59" s="197"/>
      <c r="W59" s="238">
        <f t="shared" si="1"/>
        <v>-13.146030140709327</v>
      </c>
      <c r="X59" s="118">
        <f t="shared" si="23"/>
        <v>6.1728198391738715E-9</v>
      </c>
      <c r="Y59" s="1"/>
      <c r="Z59" s="1"/>
      <c r="AA59" s="1"/>
      <c r="AB59" s="1"/>
      <c r="AC59" s="197"/>
      <c r="AD59" s="238">
        <f t="shared" si="24"/>
        <v>2.6992668676849045</v>
      </c>
      <c r="AE59" s="96">
        <f t="shared" si="25"/>
        <v>500.34189339873814</v>
      </c>
      <c r="AF59" s="98">
        <f t="shared" si="26"/>
        <v>3.0885203659415489E-6</v>
      </c>
      <c r="AG59" s="22">
        <v>2861.5714285714284</v>
      </c>
      <c r="AH59" s="32">
        <v>0.15</v>
      </c>
      <c r="AI59" s="162">
        <v>0.05</v>
      </c>
      <c r="AJ59" s="167">
        <f t="shared" si="2"/>
        <v>222.67628207959959</v>
      </c>
      <c r="AK59" s="168">
        <f t="shared" si="3"/>
        <v>0.20155670049069729</v>
      </c>
      <c r="AL59" s="151">
        <f t="shared" si="27"/>
        <v>12.850813754598745</v>
      </c>
      <c r="AM59" s="175">
        <f t="shared" si="28"/>
        <v>1484.5085471973307</v>
      </c>
      <c r="AN59" s="134">
        <f t="shared" si="4"/>
        <v>3.1715827024305145</v>
      </c>
      <c r="AO59" s="119">
        <f t="shared" si="5"/>
        <v>2.4070585159499776E-2</v>
      </c>
      <c r="AP59">
        <f t="shared" si="6"/>
        <v>28</v>
      </c>
      <c r="AQ59" s="124">
        <f t="shared" si="7"/>
        <v>0.45833333333333331</v>
      </c>
      <c r="AR59">
        <f>_xlfn.RANK.AVG(AM59,(AM$51:AM$60,AM$86:AM$88),1)</f>
        <v>12</v>
      </c>
      <c r="AS59" s="124">
        <f t="shared" si="7"/>
        <v>0.88461538461538458</v>
      </c>
      <c r="AT59" s="14">
        <f t="shared" si="8"/>
        <v>0</v>
      </c>
      <c r="AU59" s="9" t="s">
        <v>135</v>
      </c>
      <c r="AV59" s="144">
        <f>COUNT(AM88)</f>
        <v>1</v>
      </c>
      <c r="AW59" s="144">
        <f>MIN(AM88)</f>
        <v>169.7297644236256</v>
      </c>
      <c r="AX59" s="144">
        <f>AVERAGE(AM88)</f>
        <v>169.7297644236256</v>
      </c>
      <c r="AY59" s="144">
        <f>MAX(AM88)</f>
        <v>169.7297644236256</v>
      </c>
      <c r="AZ59" s="83"/>
      <c r="BA59" s="83"/>
      <c r="BB59" s="83"/>
      <c r="BC59" s="83"/>
      <c r="BD59" s="83"/>
      <c r="BE59" s="8">
        <f t="shared" si="9"/>
        <v>43.075591619217775</v>
      </c>
      <c r="BF59" s="16">
        <f t="shared" si="31"/>
        <v>5.1694306150923444</v>
      </c>
      <c r="BG59" s="16"/>
      <c r="BH59" s="189"/>
      <c r="BI59" s="6">
        <f t="shared" si="0"/>
        <v>3.8990116223292563E-2</v>
      </c>
      <c r="BJ59" s="151">
        <f t="shared" si="10"/>
        <v>66.431390051872555</v>
      </c>
      <c r="BK59" s="175">
        <f t="shared" si="11"/>
        <v>287.1706107947852</v>
      </c>
      <c r="BL59" s="134">
        <f t="shared" si="12"/>
        <v>2.4581399918977502</v>
      </c>
      <c r="BM59" s="119">
        <f t="shared" si="13"/>
        <v>2.4070585159499776E-2</v>
      </c>
      <c r="BN59">
        <f t="shared" si="14"/>
        <v>27</v>
      </c>
      <c r="BO59" s="124">
        <f t="shared" si="15"/>
        <v>0.44166666666666665</v>
      </c>
      <c r="BP59">
        <f>_xlfn.RANK.AVG(BK59,(BK$51:BK$60,BK$86:BK$88),1)</f>
        <v>12</v>
      </c>
      <c r="BQ59" s="124">
        <f t="shared" si="29"/>
        <v>0.88461538461538458</v>
      </c>
      <c r="BR59" s="14">
        <f t="shared" si="16"/>
        <v>0</v>
      </c>
      <c r="BS59" s="9" t="s">
        <v>135</v>
      </c>
      <c r="BT59" s="144">
        <f>COUNT(BK88)</f>
        <v>1</v>
      </c>
      <c r="BU59" s="144">
        <f>MIN(BK88)</f>
        <v>3.5753781848480748</v>
      </c>
      <c r="BV59" s="144">
        <f>AVERAGE(BK88)</f>
        <v>3.5753781848480748</v>
      </c>
      <c r="BW59" s="144">
        <f>MAX(BK88)</f>
        <v>3.5753781848480748</v>
      </c>
      <c r="BX59" s="83"/>
      <c r="BY59" s="83"/>
      <c r="BZ59" s="83"/>
      <c r="CA59" s="83"/>
      <c r="CB59" s="83"/>
      <c r="CC59" s="151"/>
      <c r="CD59" s="175">
        <f t="shared" si="17"/>
        <v>19077.142857142859</v>
      </c>
      <c r="CE59" s="134">
        <f t="shared" si="18"/>
        <v>4.2805133318832072</v>
      </c>
      <c r="CF59" s="119">
        <f t="shared" si="19"/>
        <v>2.4070585159499776E-2</v>
      </c>
      <c r="CG59">
        <f t="shared" si="20"/>
        <v>37</v>
      </c>
      <c r="CH59" s="124">
        <f t="shared" si="21"/>
        <v>0.60833333333333328</v>
      </c>
      <c r="CI59">
        <f>_xlfn.RANK.AVG(CD59,(CD$51:CD$60,CD$86:CD$88),1)</f>
        <v>12</v>
      </c>
      <c r="CJ59" s="124">
        <f t="shared" si="21"/>
        <v>0.88461538461538458</v>
      </c>
      <c r="CK59" s="14">
        <f t="shared" si="22"/>
        <v>2</v>
      </c>
      <c r="CL59" s="9" t="s">
        <v>135</v>
      </c>
      <c r="CM59" s="151">
        <f>AVERAGE($P88)</f>
        <v>4.47</v>
      </c>
      <c r="CN59" s="151">
        <f>AVERAGE($N88)</f>
        <v>178.21</v>
      </c>
      <c r="CO59" s="154">
        <f>AVERAGE($AF88)</f>
        <v>7.1328434293839178E-5</v>
      </c>
      <c r="CP59" s="144">
        <f>COUNT($CD88)</f>
        <v>1</v>
      </c>
      <c r="CQ59" s="83">
        <f>PERCENTILE(($CD88),0)</f>
        <v>94.444444444444443</v>
      </c>
      <c r="CR59" s="83">
        <f>PERCENTILE(($CD88),0.1)</f>
        <v>94.444444444444443</v>
      </c>
      <c r="CS59" s="83">
        <f>PERCENTILE(($CD88),0.5)</f>
        <v>94.444444444444443</v>
      </c>
      <c r="CT59" s="83">
        <f>PERCENTILE(($CD88),0.9)</f>
        <v>94.444444444444443</v>
      </c>
      <c r="CU59" s="144"/>
      <c r="CV59" s="83"/>
      <c r="CW59" s="83"/>
      <c r="CX59" s="83"/>
      <c r="CY59" s="86"/>
      <c r="CZ59" s="8">
        <f>COUNT($CD88)</f>
        <v>1</v>
      </c>
      <c r="DA59" s="83">
        <f>PERCENTILE($CD88,0.9)</f>
        <v>94.444444444444443</v>
      </c>
      <c r="DB59" s="83">
        <f>PERCENTILE($CD88,0.9)</f>
        <v>94.444444444444443</v>
      </c>
      <c r="DC59" s="83">
        <f>PERCENTILE($CD88,0.9)</f>
        <v>94.444444444444443</v>
      </c>
      <c r="DD59" s="86">
        <f>PERCENTILE($CD88,0.9)</f>
        <v>94.444444444444443</v>
      </c>
      <c r="DE59" s="144">
        <f t="shared" si="30"/>
        <v>1</v>
      </c>
      <c r="DF59" s="86">
        <f>MIN(DA59,CY59)</f>
        <v>94.444444444444443</v>
      </c>
    </row>
    <row r="60" spans="1:110" x14ac:dyDescent="0.2">
      <c r="A60" s="21" t="s">
        <v>43</v>
      </c>
      <c r="B60" t="s">
        <v>143</v>
      </c>
      <c r="C60">
        <v>3</v>
      </c>
      <c r="D60" t="s">
        <v>17</v>
      </c>
      <c r="E60" t="s">
        <v>16</v>
      </c>
      <c r="F60" s="9">
        <v>11</v>
      </c>
      <c r="G60" s="26" t="s">
        <v>15</v>
      </c>
      <c r="H60" s="1">
        <v>18</v>
      </c>
      <c r="I60" s="11">
        <v>405</v>
      </c>
      <c r="J60" t="s">
        <v>19</v>
      </c>
      <c r="K60" s="6" t="s">
        <v>182</v>
      </c>
      <c r="L60" s="1">
        <v>1</v>
      </c>
      <c r="M60" s="6">
        <v>500</v>
      </c>
      <c r="N60" s="1">
        <v>131.4</v>
      </c>
      <c r="O60" s="18">
        <v>1164844.1611748487</v>
      </c>
      <c r="P60" s="30">
        <v>2.61</v>
      </c>
      <c r="Q60" s="1"/>
      <c r="R60" s="1"/>
      <c r="S60" s="1"/>
      <c r="T60" s="1"/>
      <c r="U60" s="1"/>
      <c r="V60" s="197"/>
      <c r="W60" s="238">
        <f t="shared" si="1"/>
        <v>-12.176687440511435</v>
      </c>
      <c r="X60" s="118">
        <f t="shared" si="23"/>
        <v>5.7520983356308744E-8</v>
      </c>
      <c r="Y60" s="1"/>
      <c r="Z60" s="1"/>
      <c r="AA60" s="1"/>
      <c r="AB60" s="1"/>
      <c r="AC60" s="197"/>
      <c r="AD60" s="238">
        <f t="shared" si="24"/>
        <v>2.2609036075622857</v>
      </c>
      <c r="AE60" s="96">
        <f t="shared" si="25"/>
        <v>182.34909303250424</v>
      </c>
      <c r="AF60" s="98">
        <f t="shared" si="26"/>
        <v>1.0488899145360672E-5</v>
      </c>
      <c r="AG60" s="24">
        <v>28</v>
      </c>
      <c r="AH60" s="32">
        <f>AVERAGE(AH165:AH171)</f>
        <v>0.12642857142857145</v>
      </c>
      <c r="AI60" s="162">
        <v>0.05</v>
      </c>
      <c r="AJ60" s="167">
        <f t="shared" si="2"/>
        <v>7.399576116656557</v>
      </c>
      <c r="AK60" s="168">
        <f t="shared" si="3"/>
        <v>6.6977683171929505E-3</v>
      </c>
      <c r="AL60" s="151">
        <f t="shared" si="27"/>
        <v>3.7840005371350367</v>
      </c>
      <c r="AM60" s="175">
        <f t="shared" si="28"/>
        <v>58.527720696718525</v>
      </c>
      <c r="AN60" s="134">
        <f t="shared" si="4"/>
        <v>1.76736161128123</v>
      </c>
      <c r="AO60" s="119">
        <f t="shared" si="5"/>
        <v>2.4037550200500225E-5</v>
      </c>
      <c r="AP60">
        <f t="shared" si="6"/>
        <v>12</v>
      </c>
      <c r="AQ60" s="124">
        <f t="shared" si="7"/>
        <v>0.19166666666666668</v>
      </c>
      <c r="AR60">
        <f>_xlfn.RANK.AVG(AM60,(AM$51:AM$60,AM$86:AM$88),1)</f>
        <v>6</v>
      </c>
      <c r="AS60" s="124">
        <f t="shared" si="7"/>
        <v>0.42307692307692307</v>
      </c>
      <c r="AT60" s="14">
        <f t="shared" si="8"/>
        <v>0</v>
      </c>
      <c r="AU60" s="21" t="s">
        <v>32</v>
      </c>
      <c r="AV60" s="144">
        <f>COUNT(AM79:AM80)</f>
        <v>2</v>
      </c>
      <c r="AW60" s="144">
        <f>MIN(AM79:AM80)</f>
        <v>26.369344828516653</v>
      </c>
      <c r="AX60" s="144">
        <f>AVERAGE(AM79:AM80)</f>
        <v>94.769894319019684</v>
      </c>
      <c r="AY60" s="144">
        <f>MAX(AM79:AM80)</f>
        <v>163.17044380952271</v>
      </c>
      <c r="AZ60" s="83"/>
      <c r="BA60" s="83"/>
      <c r="BB60" s="83"/>
      <c r="BC60" s="83"/>
      <c r="BD60" s="83"/>
      <c r="BE60" s="8">
        <f t="shared" si="9"/>
        <v>1.3233547584210557</v>
      </c>
      <c r="BF60" s="16">
        <f t="shared" si="31"/>
        <v>5.5915287035241183</v>
      </c>
      <c r="BG60" s="16"/>
      <c r="BH60" s="189"/>
      <c r="BI60" s="6">
        <f t="shared" si="0"/>
        <v>1.1978420700892787E-3</v>
      </c>
      <c r="BJ60" s="151">
        <f t="shared" si="10"/>
        <v>21.158347617541235</v>
      </c>
      <c r="BK60" s="175">
        <f t="shared" si="11"/>
        <v>10.467212778471625</v>
      </c>
      <c r="BL60" s="134">
        <f t="shared" si="12"/>
        <v>1.0198310526359919</v>
      </c>
      <c r="BM60" s="119">
        <f t="shared" si="13"/>
        <v>2.4037550200500225E-5</v>
      </c>
      <c r="BN60">
        <f t="shared" si="14"/>
        <v>10</v>
      </c>
      <c r="BO60" s="124">
        <f t="shared" si="15"/>
        <v>0.15833333333333333</v>
      </c>
      <c r="BP60">
        <f>_xlfn.RANK.AVG(BK60,(BK$51:BK$60,BK$86:BK$88),1)</f>
        <v>6</v>
      </c>
      <c r="BQ60" s="124">
        <f t="shared" si="29"/>
        <v>0.42307692307692307</v>
      </c>
      <c r="BR60" s="14">
        <f t="shared" si="16"/>
        <v>0</v>
      </c>
      <c r="BS60" s="21" t="s">
        <v>32</v>
      </c>
      <c r="BT60" s="144">
        <f>COUNT(BK79:BK80)</f>
        <v>2</v>
      </c>
      <c r="BU60" s="144">
        <f>MIN(BK79:BK80)</f>
        <v>2.4443797893186234</v>
      </c>
      <c r="BV60" s="144">
        <f>AVERAGE(BK79:BK80)</f>
        <v>21.875304144399692</v>
      </c>
      <c r="BW60" s="144">
        <f>MAX(BK79:BK80)</f>
        <v>41.30622849948076</v>
      </c>
      <c r="BX60" s="83"/>
      <c r="BY60" s="83"/>
      <c r="BZ60" s="83"/>
      <c r="CA60" s="83"/>
      <c r="CB60" s="83"/>
      <c r="CC60" s="151"/>
      <c r="CD60" s="175">
        <f t="shared" si="17"/>
        <v>221.46892655367228</v>
      </c>
      <c r="CE60" s="134">
        <f t="shared" si="18"/>
        <v>2.3453128006586503</v>
      </c>
      <c r="CF60" s="119">
        <f t="shared" si="19"/>
        <v>2.4037550200500225E-5</v>
      </c>
      <c r="CG60">
        <f t="shared" si="20"/>
        <v>8</v>
      </c>
      <c r="CH60" s="124">
        <f t="shared" si="21"/>
        <v>0.125</v>
      </c>
      <c r="CI60">
        <f>_xlfn.RANK.AVG(CD60,(CD$51:CD$60,CD$86:CD$88),1)</f>
        <v>4</v>
      </c>
      <c r="CJ60" s="124">
        <f t="shared" si="21"/>
        <v>0.26923076923076922</v>
      </c>
      <c r="CK60" s="14">
        <f t="shared" si="22"/>
        <v>2</v>
      </c>
      <c r="CL60" s="21" t="s">
        <v>32</v>
      </c>
      <c r="CM60" s="151">
        <f>AVERAGE($P79:$P80)</f>
        <v>2.73</v>
      </c>
      <c r="CN60" s="151">
        <f>AVERAGE($N79:$N80)</f>
        <v>92.14249284505685</v>
      </c>
      <c r="CO60" s="154">
        <f>AVERAGE($AF79:$AF80)</f>
        <v>2.7211114915728484E-5</v>
      </c>
      <c r="CP60" s="144">
        <f>COUNT($CD79:$CD80)</f>
        <v>2</v>
      </c>
      <c r="CQ60" s="83">
        <f>PERCENTILE(($CD79:$CD80),0)</f>
        <v>22</v>
      </c>
      <c r="CR60" s="83">
        <f>PERCENTILE(($CD79:$CD80),0.1)</f>
        <v>114.35000000000007</v>
      </c>
      <c r="CS60" s="83">
        <f>PERCENTILE(($CD79:$CD80),0.5)</f>
        <v>483.74999999999994</v>
      </c>
      <c r="CT60" s="83">
        <f>PERCENTILE(($CD79:$CD80),0.9)</f>
        <v>853.14999999999986</v>
      </c>
      <c r="CU60" s="144">
        <f>COUNT($CD79:$CD80)</f>
        <v>2</v>
      </c>
      <c r="CV60" s="83">
        <f>PERCENTILE(($CD79:$CD80),0)</f>
        <v>22</v>
      </c>
      <c r="CW60" s="83">
        <f>PERCENTILE(($CD79:$CD80),0.1)</f>
        <v>114.35000000000007</v>
      </c>
      <c r="CX60" s="83">
        <f>PERCENTILE(($CD79:$CD80),0.5)</f>
        <v>483.74999999999994</v>
      </c>
      <c r="CY60" s="86">
        <f>PERCENTILE(($CD79:$CD80),0.9)</f>
        <v>853.14999999999986</v>
      </c>
      <c r="CZ60" s="8"/>
      <c r="DD60" s="9"/>
      <c r="DE60" s="144">
        <f t="shared" si="30"/>
        <v>2</v>
      </c>
      <c r="DF60" s="9"/>
    </row>
    <row r="61" spans="1:110" x14ac:dyDescent="0.2">
      <c r="A61" s="8"/>
      <c r="D61" s="1"/>
      <c r="E61" s="1"/>
      <c r="F61" s="6"/>
      <c r="G61" s="1"/>
      <c r="I61" s="11"/>
      <c r="K61" s="6"/>
      <c r="M61" s="9"/>
      <c r="O61" s="31"/>
      <c r="X61" s="9"/>
      <c r="AG61" s="10"/>
      <c r="AH61" s="8"/>
      <c r="AJ61" s="167"/>
      <c r="AK61" s="168"/>
      <c r="AL61" s="8"/>
      <c r="AM61" s="176"/>
      <c r="AN61" s="97"/>
      <c r="AO61" s="97"/>
      <c r="AP61"/>
      <c r="AQ61"/>
      <c r="AR61"/>
      <c r="AT61" s="6"/>
      <c r="AU61" s="21" t="s">
        <v>30</v>
      </c>
      <c r="AV61" s="144">
        <f>COUNT(AM81,AM109:AM110)</f>
        <v>3</v>
      </c>
      <c r="AW61" s="144">
        <f>MIN(AM81,AM109:AM110)</f>
        <v>4.5674234957537099</v>
      </c>
      <c r="AX61" s="144">
        <f>AVERAGE(AM81,AM109:AM110)</f>
        <v>393.24523405942887</v>
      </c>
      <c r="AY61" s="144">
        <f>MAX(AM81,AM109:AM110)</f>
        <v>1121.0948580486381</v>
      </c>
      <c r="BE61" s="167"/>
      <c r="BF61" s="3"/>
      <c r="BG61" s="3"/>
      <c r="BH61" s="3"/>
      <c r="BI61" s="168"/>
      <c r="BJ61" s="8"/>
      <c r="BK61" s="176"/>
      <c r="BL61" s="97"/>
      <c r="BM61" s="97"/>
      <c r="BN61"/>
      <c r="BO61"/>
      <c r="BP61"/>
      <c r="BR61" s="6"/>
      <c r="BS61" s="21" t="s">
        <v>30</v>
      </c>
      <c r="BT61" s="144">
        <f>COUNT(BK81,BK109:BK110)</f>
        <v>3</v>
      </c>
      <c r="BU61" s="144">
        <f>MIN(BK81,BK109:BK110)</f>
        <v>3.54481676260745</v>
      </c>
      <c r="BV61" s="144">
        <f>AVERAGE(BK81,BK109:BK110)</f>
        <v>309.23654152732234</v>
      </c>
      <c r="BW61" s="144">
        <f>MAX(BK81,BK109:BK110)</f>
        <v>870.09138718546478</v>
      </c>
      <c r="CC61" s="8"/>
      <c r="CD61" s="176"/>
      <c r="CE61" s="97"/>
      <c r="CF61" s="97"/>
      <c r="CG61"/>
      <c r="CH61"/>
      <c r="CI61"/>
      <c r="CK61" s="6"/>
      <c r="CL61" s="21" t="s">
        <v>30</v>
      </c>
      <c r="CM61" s="151">
        <f>AVERAGE($P81,$P109:$P110)</f>
        <v>1.5200000000000002</v>
      </c>
      <c r="CN61" s="151">
        <f>AVERAGE($N81,$N109:$N110)</f>
        <v>62.5</v>
      </c>
      <c r="CO61" s="154">
        <f>AVERAGE($AF81,$AF109:$AF110)</f>
        <v>2.5661043521807068E-6</v>
      </c>
      <c r="CP61" s="144">
        <f>COUNT($CD81,$CD109:$CD110)</f>
        <v>3</v>
      </c>
      <c r="CQ61" s="83">
        <f>PERCENTILE(($CD81,$CD109:$CD110),0)</f>
        <v>55</v>
      </c>
      <c r="CR61" s="83">
        <f>PERCENTILE(($CD81,$CD109:$CD110),0.1)</f>
        <v>431.99999999999994</v>
      </c>
      <c r="CS61" s="83">
        <f>PERCENTILE(($CD81,$CD109:$CD110),0.5)</f>
        <v>1940</v>
      </c>
      <c r="CT61" s="83">
        <f>PERCENTILE(($CD81,$CD109:$CD110),0.9)</f>
        <v>11187.999999999998</v>
      </c>
      <c r="CU61" s="144">
        <f>COUNT($CD81,$CD109:$CD110)</f>
        <v>3</v>
      </c>
      <c r="CV61" s="83">
        <f>PERCENTILE(($CD81,$CD109:$CD110),0)</f>
        <v>55</v>
      </c>
      <c r="CW61" s="83">
        <f>PERCENTILE(($CD81,$CD109:$CD110),0.1)</f>
        <v>431.99999999999994</v>
      </c>
      <c r="CX61" s="83">
        <f>PERCENTILE(($CD81,$CD109:$CD110),0.5)</f>
        <v>1940</v>
      </c>
      <c r="CY61" s="86">
        <f>PERCENTILE(($CD81,$CD109:$CD110),0.9)</f>
        <v>11187.999999999998</v>
      </c>
      <c r="CZ61" s="8"/>
      <c r="DD61" s="9"/>
      <c r="DE61" s="144">
        <f t="shared" si="30"/>
        <v>3</v>
      </c>
      <c r="DF61" s="9"/>
    </row>
    <row r="62" spans="1:110" x14ac:dyDescent="0.2">
      <c r="A62" s="8"/>
      <c r="F62" s="9"/>
      <c r="I62" s="8"/>
      <c r="K62" s="6"/>
      <c r="M62" s="9"/>
      <c r="X62" s="9"/>
      <c r="AG62" s="10"/>
      <c r="AH62" s="8"/>
      <c r="AJ62" s="167"/>
      <c r="AK62" s="168"/>
      <c r="AL62" s="8"/>
      <c r="AN62" s="97"/>
      <c r="AO62" s="97"/>
      <c r="AP62"/>
      <c r="AQ62"/>
      <c r="AR62"/>
      <c r="AT62" s="6"/>
      <c r="AU62" s="5" t="s">
        <v>24</v>
      </c>
      <c r="AV62" s="145">
        <f>COUNT(AM82:AM83,AM111:AM117)</f>
        <v>9</v>
      </c>
      <c r="AW62" s="145">
        <f>MIN(AM82:AM83,AM111:AM117)</f>
        <v>9604.5880295133411</v>
      </c>
      <c r="AX62" s="145">
        <f>AVERAGE(AM82:AM83,AM111:AM117)</f>
        <v>90040.79295245836</v>
      </c>
      <c r="AY62" s="145">
        <f>MAX(AM82:AM83,AM111:AM117)</f>
        <v>436572.18315969728</v>
      </c>
      <c r="BE62" s="167"/>
      <c r="BF62" s="3"/>
      <c r="BG62" s="3"/>
      <c r="BH62" s="3"/>
      <c r="BI62" s="168"/>
      <c r="BJ62" s="8"/>
      <c r="BL62" s="97"/>
      <c r="BM62" s="97"/>
      <c r="BN62"/>
      <c r="BO62"/>
      <c r="BP62"/>
      <c r="BR62" s="6"/>
      <c r="BS62" s="5" t="s">
        <v>24</v>
      </c>
      <c r="BT62" s="145">
        <f>COUNT(BK82:BK83,BK111:BK117)</f>
        <v>9</v>
      </c>
      <c r="BU62" s="145">
        <f>MIN(BK82:BK83,BK111:BK117)</f>
        <v>553.81282181963741</v>
      </c>
      <c r="BV62" s="145">
        <f>AVERAGE(BK82:BK83,BK111:BK117)</f>
        <v>7520.3892879602245</v>
      </c>
      <c r="BW62" s="145">
        <f>MAX(BK82:BK83,BK111:BK117)</f>
        <v>36103.453660961619</v>
      </c>
      <c r="CC62" s="8"/>
      <c r="CE62" s="97"/>
      <c r="CF62" s="97"/>
      <c r="CG62"/>
      <c r="CH62"/>
      <c r="CI62"/>
      <c r="CK62" s="6"/>
      <c r="CL62" s="5" t="s">
        <v>24</v>
      </c>
      <c r="CM62" s="152">
        <f>AVERAGE($P82:$P83,$P111:$P117)</f>
        <v>3.1566666666666667</v>
      </c>
      <c r="CN62" s="152">
        <f>AVERAGE($N82:$N83,$N111:$N117)</f>
        <v>106.1877763476281</v>
      </c>
      <c r="CO62" s="155">
        <f>AVERAGE($AF82:$AF83,$AF111:$AF117)</f>
        <v>3.7222618649401906E-5</v>
      </c>
      <c r="CP62" s="145">
        <f>COUNT($CD82:$CD83,$CD111:$CD117)</f>
        <v>9</v>
      </c>
      <c r="CQ62" s="85">
        <f>PERCENTILE(($CD82:$CD83,$CD111:$CD117),0)</f>
        <v>5102.0999999999995</v>
      </c>
      <c r="CR62" s="85">
        <f>PERCENTILE(($CD82:$CD83,$CD111:$CD117),0.1)</f>
        <v>9820.42</v>
      </c>
      <c r="CS62" s="85">
        <f>PERCENTILE(($CD82:$CD83,$CD111:$CD117),0.5)</f>
        <v>34500</v>
      </c>
      <c r="CT62" s="85">
        <f>PERCENTILE(($CD82:$CD83,$CD111:$CD117),0.9)</f>
        <v>271999.99999999977</v>
      </c>
      <c r="CU62" s="145">
        <f>COUNT($CD82:$CD83,$CD111:$CD117)</f>
        <v>9</v>
      </c>
      <c r="CV62" s="85">
        <f>PERCENTILE(($CD82:$CD83,$CD111:$CD117),0)</f>
        <v>5102.0999999999995</v>
      </c>
      <c r="CW62" s="85">
        <f>PERCENTILE(($CD82:$CD83,$CD111:$CD117),0.1)</f>
        <v>9820.42</v>
      </c>
      <c r="CX62" s="85">
        <f>PERCENTILE(($CD82:$CD83,$CD111:$CD117),0.5)</f>
        <v>34500</v>
      </c>
      <c r="CY62" s="84">
        <f>PERCENTILE(($CD82:$CD83,$CD111:$CD117),0.9)</f>
        <v>271999.99999999977</v>
      </c>
      <c r="CZ62" s="5"/>
      <c r="DA62" s="4"/>
      <c r="DB62" s="4"/>
      <c r="DC62" s="4"/>
      <c r="DD62" s="93"/>
      <c r="DE62" s="145">
        <f t="shared" si="30"/>
        <v>9</v>
      </c>
      <c r="DF62" s="93"/>
    </row>
    <row r="63" spans="1:110" x14ac:dyDescent="0.2">
      <c r="A63" s="12" t="s">
        <v>42</v>
      </c>
      <c r="B63" s="58"/>
      <c r="F63" s="9"/>
      <c r="I63" s="8"/>
      <c r="K63" s="6"/>
      <c r="M63" s="9"/>
      <c r="X63" s="9"/>
      <c r="AG63" s="10"/>
      <c r="AH63" s="8"/>
      <c r="AJ63" s="167"/>
      <c r="AK63" s="168"/>
      <c r="AL63" s="8"/>
      <c r="AM63" s="13"/>
      <c r="AN63" s="97"/>
      <c r="AO63" s="97"/>
      <c r="AP63"/>
      <c r="AQ63"/>
      <c r="AR63"/>
      <c r="AT63" s="6"/>
      <c r="BE63" s="167"/>
      <c r="BF63" s="3"/>
      <c r="BG63" s="3"/>
      <c r="BH63" s="3"/>
      <c r="BI63" s="168"/>
      <c r="BJ63" s="8"/>
      <c r="BK63" s="13"/>
      <c r="BL63" s="97"/>
      <c r="BM63" s="97"/>
      <c r="BN63"/>
      <c r="BO63"/>
      <c r="BP63"/>
      <c r="BR63" s="6"/>
      <c r="CC63" s="8"/>
      <c r="CD63" s="13"/>
      <c r="CE63" s="97"/>
      <c r="CF63" s="97"/>
      <c r="CG63"/>
      <c r="CH63"/>
      <c r="CI63"/>
      <c r="CK63" s="6"/>
      <c r="CL63" s="16"/>
    </row>
    <row r="64" spans="1:110" x14ac:dyDescent="0.2">
      <c r="A64" s="8">
        <v>22</v>
      </c>
      <c r="B64" t="s">
        <v>143</v>
      </c>
      <c r="C64">
        <v>2</v>
      </c>
      <c r="D64" t="s">
        <v>2</v>
      </c>
      <c r="E64" t="s">
        <v>1</v>
      </c>
      <c r="F64" s="6">
        <v>59</v>
      </c>
      <c r="G64" s="26" t="s">
        <v>29</v>
      </c>
      <c r="H64" s="1">
        <v>9</v>
      </c>
      <c r="I64" s="11">
        <v>200</v>
      </c>
      <c r="J64" s="13" t="s">
        <v>41</v>
      </c>
      <c r="K64" s="6" t="s">
        <v>151</v>
      </c>
      <c r="L64" s="1">
        <v>1</v>
      </c>
      <c r="M64" s="6">
        <v>30</v>
      </c>
      <c r="N64" s="1">
        <v>78.106666524406961</v>
      </c>
      <c r="O64" s="18">
        <v>1988898.8259336799</v>
      </c>
      <c r="P64" s="30">
        <v>2.13</v>
      </c>
      <c r="Q64" s="1"/>
      <c r="R64" s="1"/>
      <c r="S64" s="1"/>
      <c r="T64" s="1"/>
      <c r="U64" s="1"/>
      <c r="V64" s="197"/>
      <c r="W64" s="238">
        <f t="shared" ref="W64:W83" si="32">D$11*N64+D$12+D$13/(0.008314*LN(10))*(1/298-1/(H64+273))</f>
        <v>-11.944528729064844</v>
      </c>
      <c r="X64" s="118">
        <f t="shared" ref="X64:X83" si="33">24*60*60*10^W64</f>
        <v>9.8171406555506484E-8</v>
      </c>
      <c r="Y64" s="1"/>
      <c r="Z64" s="1"/>
      <c r="AA64" s="1"/>
      <c r="AB64" s="1"/>
      <c r="AC64" s="197"/>
      <c r="AD64" s="238">
        <f t="shared" ref="AD64:AD83" si="34">D$5*P64+D$6+D$7/(0.008314*LN(10))*(1/298-1/(H64+273))</f>
        <v>1.4419668676849042</v>
      </c>
      <c r="AE64" s="96">
        <f t="shared" ref="AE64:AE83" si="35">10^AD64</f>
        <v>27.667305635548288</v>
      </c>
      <c r="AF64" s="98">
        <f t="shared" ref="AF64:AF83" si="36">AE64*X64</f>
        <v>2.7161383098428669E-6</v>
      </c>
      <c r="AG64" s="22">
        <v>8.745000000000001</v>
      </c>
      <c r="AH64" s="21"/>
      <c r="AI64" s="162">
        <v>0.05</v>
      </c>
      <c r="AJ64" s="167">
        <f t="shared" ref="AJ64:AJ83" si="37">$E$38*AK64/$E$40</f>
        <v>0.59845375458744954</v>
      </c>
      <c r="AK64" s="168">
        <f t="shared" ref="AK64:AK83" si="38">AF64*AG64*E$41/E$32</f>
        <v>5.4169381240071722E-4</v>
      </c>
      <c r="AL64" s="151">
        <f>$AG64/AJ64</f>
        <v>14.612657925470716</v>
      </c>
      <c r="AM64" s="177">
        <f>AJ64/$AI64</f>
        <v>11.969075091748991</v>
      </c>
      <c r="AN64" s="134">
        <f t="shared" ref="AN64:AN83" si="39">LOG(AM64)</f>
        <v>1.0780605916704662</v>
      </c>
      <c r="AO64" s="119">
        <f t="shared" ref="AO64:AO83" si="40">$AG64/$O64</f>
        <v>4.3969054061333151E-6</v>
      </c>
      <c r="AP64">
        <f t="shared" ref="AP64:AP83" si="41">_xlfn.RANK.AVG(AM64,AM$51:AM$117,1)</f>
        <v>4</v>
      </c>
      <c r="AQ64" s="124">
        <f t="shared" ref="AQ64:AQ83" si="42">(AP64-0.5)/MAX(AP$51:AP$117)</f>
        <v>5.8333333333333334E-2</v>
      </c>
      <c r="AR64" s="124"/>
      <c r="AS64" s="124"/>
      <c r="AT64" s="14">
        <f t="shared" ref="AT64:AT83" si="43">IF(AND(AJ64&gt;$AI64,$AH64&gt;$AI64),0,IF(AND(AJ64&gt;$AI64,$AH64&lt;$AI64),1,IF(AND(AJ64&lt;$AI64,$AH64&gt;$AI64),2,3)))</f>
        <v>1</v>
      </c>
      <c r="AZ64" s="83"/>
      <c r="BA64" s="83"/>
      <c r="BB64" s="83"/>
      <c r="BC64" s="83"/>
      <c r="BD64" s="83"/>
      <c r="BE64" s="8">
        <f t="shared" ref="BE64:BE83" si="44">BI64*$E$38/$E$40</f>
        <v>0.35227383425614456</v>
      </c>
      <c r="BF64" s="16">
        <f t="shared" ref="BF64:BF83" si="45">10^(MAX(0,((W64+12.5)/2+AD64)*0.73611+-1.03574))</f>
        <v>1.6988311262206974</v>
      </c>
      <c r="BG64" s="16"/>
      <c r="BH64" s="189"/>
      <c r="BI64" s="6">
        <f t="shared" ref="BI64:BI83" si="46">(1/BF64)*AF64*AG64*E$41/E$32</f>
        <v>3.1886266035506165E-4</v>
      </c>
      <c r="BJ64" s="151">
        <f t="shared" ref="BJ64:BJ83" si="47">$AG64/BE64</f>
        <v>24.824438120605222</v>
      </c>
      <c r="BK64" s="177">
        <f t="shared" ref="BK64:BK83" si="48">BE64/$AI64</f>
        <v>7.0454766851228907</v>
      </c>
      <c r="BL64" s="134">
        <f t="shared" ref="BL64:BL83" si="49">LOG(BK64)</f>
        <v>0.84791038207489233</v>
      </c>
      <c r="BM64" s="119">
        <f t="shared" ref="BM64:BM83" si="50">$AG64/$O64</f>
        <v>4.3969054061333151E-6</v>
      </c>
      <c r="BN64">
        <f t="shared" ref="BN64:BN83" si="51">_xlfn.RANK.AVG(BK64,BK$51:BK$117,1)</f>
        <v>9</v>
      </c>
      <c r="BO64" s="124">
        <f t="shared" ref="BO64:BO83" si="52">(BN64-0.5)/MAX(BN$51:BN$117)</f>
        <v>0.14166666666666666</v>
      </c>
      <c r="BP64" s="124"/>
      <c r="BQ64" s="124"/>
      <c r="BR64" s="14">
        <f t="shared" ref="BR64:BR83" si="53">IF(AND(BE64&gt;$AI64,$AH64&gt;$AI64),0,IF(AND(BE64&gt;$AI64,$AH64&lt;$AI64),1,IF(AND(BE64&lt;$AI64,$AH64&gt;$AI64),2,3)))</f>
        <v>1</v>
      </c>
      <c r="BX64" s="83"/>
      <c r="BY64" s="83"/>
      <c r="BZ64" s="83"/>
      <c r="CA64" s="83"/>
      <c r="CB64" s="83"/>
      <c r="CC64" s="151"/>
      <c r="CD64" s="177">
        <f t="shared" ref="CD64:CD83" si="54">AG64/AI64</f>
        <v>174.9</v>
      </c>
      <c r="CE64" s="134">
        <f t="shared" ref="CE64:CE83" si="55">LOG(CD64)</f>
        <v>2.2427898094786767</v>
      </c>
      <c r="CF64" s="119">
        <f t="shared" ref="CF64:CF83" si="56">$AG64/$O64</f>
        <v>4.3969054061333151E-6</v>
      </c>
      <c r="CG64">
        <f t="shared" ref="CG64:CG83" si="57">_xlfn.RANK.AVG(CD64,CD$51:CD$117,1)</f>
        <v>6</v>
      </c>
      <c r="CH64" s="124">
        <f t="shared" ref="CH64:CH83" si="58">(CG64-0.5)/MAX(CG$51:CG$117)</f>
        <v>9.166666666666666E-2</v>
      </c>
      <c r="CI64" s="124"/>
      <c r="CJ64" s="124"/>
      <c r="CK64" s="14">
        <f t="shared" ref="CK64:CK83" si="59">IF(AND(BC64&gt;$AI64,$AH64&gt;$AI64),0,IF(AND(BC64&gt;$AI64,$AH64&lt;$AI64),1,IF(AND(BC64&lt;$AI64,$AH64&gt;$AI64),2,3)))</f>
        <v>3</v>
      </c>
      <c r="CL64" s="1"/>
      <c r="CP64" s="83">
        <f>SUM(CP51:CP62)</f>
        <v>60</v>
      </c>
      <c r="CU64" s="83">
        <f>SUM(CU51:CU62)</f>
        <v>47</v>
      </c>
      <c r="CZ64" s="83">
        <f>SUM(CZ51:CZ62)</f>
        <v>13</v>
      </c>
    </row>
    <row r="65" spans="1:90" x14ac:dyDescent="0.2">
      <c r="A65" s="8">
        <v>87</v>
      </c>
      <c r="B65" t="s">
        <v>143</v>
      </c>
      <c r="C65">
        <v>8</v>
      </c>
      <c r="D65" s="16" t="s">
        <v>28</v>
      </c>
      <c r="E65" t="s">
        <v>27</v>
      </c>
      <c r="F65" s="14" t="s">
        <v>26</v>
      </c>
      <c r="G65" s="16"/>
      <c r="H65" s="99">
        <v>14</v>
      </c>
      <c r="I65" s="11">
        <v>200</v>
      </c>
      <c r="J65" t="s">
        <v>41</v>
      </c>
      <c r="K65" s="6" t="s">
        <v>151</v>
      </c>
      <c r="L65" s="1">
        <v>1</v>
      </c>
      <c r="M65" s="6">
        <v>30</v>
      </c>
      <c r="N65" s="1">
        <v>78.106666524406961</v>
      </c>
      <c r="O65" s="18">
        <v>1988898.8259336799</v>
      </c>
      <c r="P65" s="30">
        <v>2.13</v>
      </c>
      <c r="Q65" s="1"/>
      <c r="R65" s="1"/>
      <c r="S65" s="1"/>
      <c r="T65" s="1"/>
      <c r="U65" s="1"/>
      <c r="V65" s="197"/>
      <c r="W65" s="238">
        <f t="shared" si="32"/>
        <v>-11.664028637047444</v>
      </c>
      <c r="X65" s="118">
        <f t="shared" si="33"/>
        <v>1.8727728532768038E-7</v>
      </c>
      <c r="Y65" s="1"/>
      <c r="Z65" s="1"/>
      <c r="AA65" s="1"/>
      <c r="AB65" s="1"/>
      <c r="AC65" s="197"/>
      <c r="AD65" s="238">
        <f t="shared" si="34"/>
        <v>1.635593254259271</v>
      </c>
      <c r="AE65" s="96">
        <f t="shared" si="35"/>
        <v>43.210894262464336</v>
      </c>
      <c r="AF65" s="98">
        <f t="shared" si="36"/>
        <v>8.0924189740557613E-6</v>
      </c>
      <c r="AG65" s="22">
        <v>1.75</v>
      </c>
      <c r="AH65" s="21"/>
      <c r="AI65" s="162">
        <v>0.05</v>
      </c>
      <c r="AJ65" s="167">
        <f t="shared" si="37"/>
        <v>0.35680859673967191</v>
      </c>
      <c r="AK65" s="168">
        <f t="shared" si="38"/>
        <v>3.2296732635340108E-4</v>
      </c>
      <c r="AL65" s="151">
        <f t="shared" ref="AL65:AL83" si="60">$AG65/AJ65</f>
        <v>4.9045903489730174</v>
      </c>
      <c r="AM65" s="177">
        <f t="shared" ref="AM65:AM83" si="61">AJ65/$AI65</f>
        <v>7.1361719347934383</v>
      </c>
      <c r="AN65" s="134">
        <f t="shared" si="39"/>
        <v>0.85346530513383156</v>
      </c>
      <c r="AO65" s="119">
        <f t="shared" si="40"/>
        <v>8.798838720106691E-7</v>
      </c>
      <c r="AP65">
        <f t="shared" si="41"/>
        <v>2</v>
      </c>
      <c r="AQ65" s="124">
        <f t="shared" si="42"/>
        <v>2.5000000000000001E-2</v>
      </c>
      <c r="AR65" s="124"/>
      <c r="AS65" s="124"/>
      <c r="AT65" s="14">
        <f t="shared" si="43"/>
        <v>1</v>
      </c>
      <c r="AZ65" s="83"/>
      <c r="BA65" s="83"/>
      <c r="BB65" s="83"/>
      <c r="BC65" s="83"/>
      <c r="BD65" s="83"/>
      <c r="BE65" s="8">
        <f t="shared" si="44"/>
        <v>0.11926563342747339</v>
      </c>
      <c r="BF65" s="16">
        <f t="shared" si="45"/>
        <v>2.9917134256168669</v>
      </c>
      <c r="BG65" s="16"/>
      <c r="BH65" s="189"/>
      <c r="BI65" s="6">
        <f t="shared" si="46"/>
        <v>1.0795396497136349E-4</v>
      </c>
      <c r="BJ65" s="151">
        <f t="shared" si="47"/>
        <v>14.67312879417349</v>
      </c>
      <c r="BK65" s="177">
        <f t="shared" si="48"/>
        <v>2.3853126685494677</v>
      </c>
      <c r="BL65" s="134">
        <f t="shared" si="49"/>
        <v>0.37754531474953651</v>
      </c>
      <c r="BM65" s="119">
        <f t="shared" si="50"/>
        <v>8.798838720106691E-7</v>
      </c>
      <c r="BN65">
        <f t="shared" si="51"/>
        <v>1</v>
      </c>
      <c r="BO65" s="124">
        <f t="shared" si="52"/>
        <v>8.3333333333333332E-3</v>
      </c>
      <c r="BP65" s="124"/>
      <c r="BQ65" s="124"/>
      <c r="BR65" s="14">
        <f t="shared" si="53"/>
        <v>1</v>
      </c>
      <c r="BX65" s="83"/>
      <c r="BY65" s="83"/>
      <c r="BZ65" s="83"/>
      <c r="CA65" s="83"/>
      <c r="CB65" s="83"/>
      <c r="CC65" s="151"/>
      <c r="CD65" s="177">
        <f t="shared" si="54"/>
        <v>35</v>
      </c>
      <c r="CE65" s="134">
        <f t="shared" si="55"/>
        <v>1.5440680443502757</v>
      </c>
      <c r="CF65" s="119">
        <f t="shared" si="56"/>
        <v>8.798838720106691E-7</v>
      </c>
      <c r="CG65">
        <f t="shared" si="57"/>
        <v>2.5</v>
      </c>
      <c r="CH65" s="124">
        <f t="shared" si="58"/>
        <v>3.3333333333333333E-2</v>
      </c>
      <c r="CI65" s="124"/>
      <c r="CJ65" s="124"/>
      <c r="CK65" s="14">
        <f t="shared" si="59"/>
        <v>3</v>
      </c>
      <c r="CL65" s="16"/>
    </row>
    <row r="66" spans="1:90" x14ac:dyDescent="0.2">
      <c r="A66" s="8">
        <v>13</v>
      </c>
      <c r="B66" t="s">
        <v>143</v>
      </c>
      <c r="C66">
        <v>1</v>
      </c>
      <c r="D66" s="23" t="s">
        <v>11</v>
      </c>
      <c r="E66" t="s">
        <v>10</v>
      </c>
      <c r="F66" s="6">
        <v>42</v>
      </c>
      <c r="G66" s="28" t="s">
        <v>33</v>
      </c>
      <c r="H66" s="1">
        <v>9</v>
      </c>
      <c r="I66" s="11">
        <v>410</v>
      </c>
      <c r="J66" t="s">
        <v>8</v>
      </c>
      <c r="K66" s="6" t="s">
        <v>181</v>
      </c>
      <c r="L66" s="1">
        <v>1</v>
      </c>
      <c r="M66" s="6">
        <v>20</v>
      </c>
      <c r="N66" s="1">
        <v>96.95</v>
      </c>
      <c r="O66" s="18">
        <v>775600.00000000012</v>
      </c>
      <c r="P66" s="30">
        <v>1.906666666666667</v>
      </c>
      <c r="Q66" s="1"/>
      <c r="R66" s="1"/>
      <c r="S66" s="1"/>
      <c r="T66" s="1"/>
      <c r="U66" s="1"/>
      <c r="V66" s="197"/>
      <c r="W66" s="238">
        <f t="shared" si="32"/>
        <v>-12.202682397680469</v>
      </c>
      <c r="X66" s="118">
        <f t="shared" si="33"/>
        <v>5.4179044903966656E-8</v>
      </c>
      <c r="Y66" s="1"/>
      <c r="Z66" s="1"/>
      <c r="AA66" s="1"/>
      <c r="AB66" s="1"/>
      <c r="AC66" s="197"/>
      <c r="AD66" s="238">
        <f t="shared" si="34"/>
        <v>1.2208668676849044</v>
      </c>
      <c r="AE66" s="96">
        <f t="shared" si="35"/>
        <v>16.629028118928069</v>
      </c>
      <c r="AF66" s="98">
        <f t="shared" si="36"/>
        <v>9.0094486116472803E-7</v>
      </c>
      <c r="AG66" s="22">
        <v>6857.2571428571437</v>
      </c>
      <c r="AH66" s="21"/>
      <c r="AI66" s="162">
        <v>0.05</v>
      </c>
      <c r="AJ66" s="167">
        <f t="shared" si="37"/>
        <v>155.65660328904679</v>
      </c>
      <c r="AK66" s="168">
        <f t="shared" si="38"/>
        <v>0.14089345787314084</v>
      </c>
      <c r="AL66" s="151">
        <f t="shared" si="60"/>
        <v>44.053750357917991</v>
      </c>
      <c r="AM66" s="177">
        <f t="shared" si="61"/>
        <v>3113.1320657809356</v>
      </c>
      <c r="AN66" s="134">
        <f t="shared" si="39"/>
        <v>3.4931975447825221</v>
      </c>
      <c r="AO66" s="119">
        <f t="shared" si="40"/>
        <v>8.841228910336698E-3</v>
      </c>
      <c r="AP66">
        <f t="shared" si="41"/>
        <v>37</v>
      </c>
      <c r="AQ66" s="124">
        <f t="shared" si="42"/>
        <v>0.60833333333333328</v>
      </c>
      <c r="AR66" s="124"/>
      <c r="AS66" s="124"/>
      <c r="AT66" s="14">
        <f t="shared" si="43"/>
        <v>1</v>
      </c>
      <c r="AV66" t="s">
        <v>191</v>
      </c>
      <c r="AZ66" s="83"/>
      <c r="BA66" s="83"/>
      <c r="BB66" s="83"/>
      <c r="BC66" s="83"/>
      <c r="BD66" s="83"/>
      <c r="BE66" s="8">
        <f t="shared" si="44"/>
        <v>155.65660328904679</v>
      </c>
      <c r="BF66" s="16">
        <f t="shared" si="45"/>
        <v>1</v>
      </c>
      <c r="BG66" s="16"/>
      <c r="BH66" s="189"/>
      <c r="BI66" s="6">
        <f t="shared" si="46"/>
        <v>0.14089345787314084</v>
      </c>
      <c r="BJ66" s="151">
        <f t="shared" si="47"/>
        <v>44.053750357917991</v>
      </c>
      <c r="BK66" s="177">
        <f t="shared" si="48"/>
        <v>3113.1320657809356</v>
      </c>
      <c r="BL66" s="134">
        <f t="shared" si="49"/>
        <v>3.4931975447825221</v>
      </c>
      <c r="BM66" s="119">
        <f t="shared" si="50"/>
        <v>8.841228910336698E-3</v>
      </c>
      <c r="BN66">
        <f t="shared" si="51"/>
        <v>51</v>
      </c>
      <c r="BO66" s="124">
        <f t="shared" si="52"/>
        <v>0.84166666666666667</v>
      </c>
      <c r="BP66" s="124"/>
      <c r="BQ66" s="124"/>
      <c r="BR66" s="14">
        <f t="shared" si="53"/>
        <v>1</v>
      </c>
      <c r="BT66" t="s">
        <v>191</v>
      </c>
      <c r="BX66" s="83"/>
      <c r="BY66" s="83"/>
      <c r="BZ66" s="83"/>
      <c r="CA66" s="83"/>
      <c r="CB66" s="83"/>
      <c r="CC66" s="151"/>
      <c r="CD66" s="177">
        <f t="shared" si="54"/>
        <v>137145.14285714287</v>
      </c>
      <c r="CE66" s="134">
        <f t="shared" si="55"/>
        <v>5.1371804312063585</v>
      </c>
      <c r="CF66" s="119">
        <f t="shared" si="56"/>
        <v>8.841228910336698E-3</v>
      </c>
      <c r="CG66">
        <f t="shared" si="57"/>
        <v>53</v>
      </c>
      <c r="CH66" s="124">
        <f t="shared" si="58"/>
        <v>0.875</v>
      </c>
      <c r="CI66" s="124"/>
      <c r="CJ66" s="124"/>
      <c r="CK66" s="14">
        <f t="shared" si="59"/>
        <v>3</v>
      </c>
      <c r="CL66" s="16"/>
    </row>
    <row r="67" spans="1:90" x14ac:dyDescent="0.2">
      <c r="A67" s="8">
        <v>14</v>
      </c>
      <c r="B67" t="s">
        <v>143</v>
      </c>
      <c r="C67">
        <v>1</v>
      </c>
      <c r="D67" s="23" t="s">
        <v>11</v>
      </c>
      <c r="E67" t="s">
        <v>10</v>
      </c>
      <c r="F67" s="6">
        <v>46</v>
      </c>
      <c r="G67" s="28" t="s">
        <v>33</v>
      </c>
      <c r="H67" s="1">
        <v>9</v>
      </c>
      <c r="I67" s="11">
        <v>410</v>
      </c>
      <c r="J67" t="s">
        <v>8</v>
      </c>
      <c r="K67" s="6" t="s">
        <v>181</v>
      </c>
      <c r="L67" s="1">
        <v>1</v>
      </c>
      <c r="M67" s="6">
        <v>20</v>
      </c>
      <c r="N67" s="1">
        <v>96.95</v>
      </c>
      <c r="O67" s="18">
        <v>775600.00000000012</v>
      </c>
      <c r="P67" s="30">
        <v>1.906666666666667</v>
      </c>
      <c r="Q67" s="1"/>
      <c r="R67" s="1"/>
      <c r="S67" s="1"/>
      <c r="T67" s="1"/>
      <c r="U67" s="1"/>
      <c r="V67" s="197"/>
      <c r="W67" s="238">
        <f t="shared" si="32"/>
        <v>-12.202682397680469</v>
      </c>
      <c r="X67" s="118">
        <f t="shared" si="33"/>
        <v>5.4179044903966656E-8</v>
      </c>
      <c r="Y67" s="1"/>
      <c r="Z67" s="1"/>
      <c r="AA67" s="1"/>
      <c r="AB67" s="1"/>
      <c r="AC67" s="197"/>
      <c r="AD67" s="238">
        <f t="shared" si="34"/>
        <v>1.2208668676849044</v>
      </c>
      <c r="AE67" s="96">
        <f t="shared" si="35"/>
        <v>16.629028118928069</v>
      </c>
      <c r="AF67" s="98">
        <f t="shared" si="36"/>
        <v>9.0094486116472803E-7</v>
      </c>
      <c r="AG67" s="22">
        <v>6857.2571428571437</v>
      </c>
      <c r="AH67" s="21"/>
      <c r="AI67" s="162">
        <v>0.05</v>
      </c>
      <c r="AJ67" s="167">
        <f t="shared" si="37"/>
        <v>155.65660328904679</v>
      </c>
      <c r="AK67" s="168">
        <f t="shared" si="38"/>
        <v>0.14089345787314084</v>
      </c>
      <c r="AL67" s="151">
        <f t="shared" si="60"/>
        <v>44.053750357917991</v>
      </c>
      <c r="AM67" s="177">
        <f t="shared" si="61"/>
        <v>3113.1320657809356</v>
      </c>
      <c r="AN67" s="134">
        <f t="shared" si="39"/>
        <v>3.4931975447825221</v>
      </c>
      <c r="AO67" s="119">
        <f t="shared" si="40"/>
        <v>8.841228910336698E-3</v>
      </c>
      <c r="AP67">
        <f t="shared" si="41"/>
        <v>37</v>
      </c>
      <c r="AQ67" s="124">
        <f t="shared" si="42"/>
        <v>0.60833333333333328</v>
      </c>
      <c r="AR67" s="124"/>
      <c r="AS67" s="124"/>
      <c r="AT67" s="14">
        <f t="shared" si="43"/>
        <v>1</v>
      </c>
      <c r="AV67" s="74">
        <v>4.2361111111111106E-2</v>
      </c>
      <c r="AZ67" s="83"/>
      <c r="BA67" s="83"/>
      <c r="BB67" s="83"/>
      <c r="BC67" s="83"/>
      <c r="BD67" s="83"/>
      <c r="BE67" s="8">
        <f t="shared" si="44"/>
        <v>155.65660328904679</v>
      </c>
      <c r="BF67" s="16">
        <f t="shared" si="45"/>
        <v>1</v>
      </c>
      <c r="BG67" s="16"/>
      <c r="BH67" s="189"/>
      <c r="BI67" s="6">
        <f t="shared" si="46"/>
        <v>0.14089345787314084</v>
      </c>
      <c r="BJ67" s="151">
        <f t="shared" si="47"/>
        <v>44.053750357917991</v>
      </c>
      <c r="BK67" s="177">
        <f t="shared" si="48"/>
        <v>3113.1320657809356</v>
      </c>
      <c r="BL67" s="134">
        <f t="shared" si="49"/>
        <v>3.4931975447825221</v>
      </c>
      <c r="BM67" s="119">
        <f t="shared" si="50"/>
        <v>8.841228910336698E-3</v>
      </c>
      <c r="BN67">
        <f t="shared" si="51"/>
        <v>51</v>
      </c>
      <c r="BO67" s="124">
        <f t="shared" si="52"/>
        <v>0.84166666666666667</v>
      </c>
      <c r="BP67" s="124"/>
      <c r="BQ67" s="124"/>
      <c r="BR67" s="14">
        <f t="shared" si="53"/>
        <v>1</v>
      </c>
      <c r="BT67" s="74">
        <v>4.2361111111111106E-2</v>
      </c>
      <c r="BX67" s="83"/>
      <c r="BY67" s="83"/>
      <c r="BZ67" s="83"/>
      <c r="CA67" s="83"/>
      <c r="CB67" s="83"/>
      <c r="CC67" s="151"/>
      <c r="CD67" s="177">
        <f t="shared" si="54"/>
        <v>137145.14285714287</v>
      </c>
      <c r="CE67" s="134">
        <f t="shared" si="55"/>
        <v>5.1371804312063585</v>
      </c>
      <c r="CF67" s="119">
        <f t="shared" si="56"/>
        <v>8.841228910336698E-3</v>
      </c>
      <c r="CG67">
        <f t="shared" si="57"/>
        <v>53</v>
      </c>
      <c r="CH67" s="124">
        <f t="shared" si="58"/>
        <v>0.875</v>
      </c>
      <c r="CI67" s="124"/>
      <c r="CJ67" s="124"/>
      <c r="CK67" s="14">
        <f t="shared" si="59"/>
        <v>3</v>
      </c>
      <c r="CL67" s="16"/>
    </row>
    <row r="68" spans="1:90" x14ac:dyDescent="0.2">
      <c r="A68" s="8">
        <v>15</v>
      </c>
      <c r="B68" t="s">
        <v>143</v>
      </c>
      <c r="C68">
        <v>1</v>
      </c>
      <c r="D68" s="23" t="s">
        <v>11</v>
      </c>
      <c r="E68" t="s">
        <v>10</v>
      </c>
      <c r="F68" s="6">
        <v>48</v>
      </c>
      <c r="G68" s="28" t="s">
        <v>33</v>
      </c>
      <c r="H68" s="1">
        <v>9</v>
      </c>
      <c r="I68" s="11">
        <v>410</v>
      </c>
      <c r="J68" s="13" t="s">
        <v>8</v>
      </c>
      <c r="K68" s="6" t="s">
        <v>181</v>
      </c>
      <c r="L68" s="1">
        <v>1</v>
      </c>
      <c r="M68" s="6">
        <v>20</v>
      </c>
      <c r="N68" s="1">
        <v>96.95</v>
      </c>
      <c r="O68" s="18">
        <v>775600.00000000012</v>
      </c>
      <c r="P68" s="30">
        <v>1.906666666666667</v>
      </c>
      <c r="Q68" s="1"/>
      <c r="R68" s="1"/>
      <c r="S68" s="1"/>
      <c r="T68" s="1"/>
      <c r="U68" s="1"/>
      <c r="V68" s="197"/>
      <c r="W68" s="238">
        <f t="shared" si="32"/>
        <v>-12.202682397680469</v>
      </c>
      <c r="X68" s="118">
        <f t="shared" si="33"/>
        <v>5.4179044903966656E-8</v>
      </c>
      <c r="Y68" s="1"/>
      <c r="Z68" s="1"/>
      <c r="AA68" s="1"/>
      <c r="AB68" s="1"/>
      <c r="AC68" s="197"/>
      <c r="AD68" s="238">
        <f t="shared" si="34"/>
        <v>1.2208668676849044</v>
      </c>
      <c r="AE68" s="96">
        <f t="shared" si="35"/>
        <v>16.629028118928069</v>
      </c>
      <c r="AF68" s="98">
        <f t="shared" si="36"/>
        <v>9.0094486116472803E-7</v>
      </c>
      <c r="AG68" s="22">
        <v>6857.2571428571437</v>
      </c>
      <c r="AH68" s="21"/>
      <c r="AI68" s="162">
        <v>0.05</v>
      </c>
      <c r="AJ68" s="167">
        <f t="shared" si="37"/>
        <v>155.65660328904679</v>
      </c>
      <c r="AK68" s="168">
        <f t="shared" si="38"/>
        <v>0.14089345787314084</v>
      </c>
      <c r="AL68" s="151">
        <f t="shared" si="60"/>
        <v>44.053750357917991</v>
      </c>
      <c r="AM68" s="177">
        <f t="shared" si="61"/>
        <v>3113.1320657809356</v>
      </c>
      <c r="AN68" s="134">
        <f t="shared" si="39"/>
        <v>3.4931975447825221</v>
      </c>
      <c r="AO68" s="119">
        <f t="shared" si="40"/>
        <v>8.841228910336698E-3</v>
      </c>
      <c r="AP68">
        <f t="shared" si="41"/>
        <v>37</v>
      </c>
      <c r="AQ68" s="124">
        <f t="shared" si="42"/>
        <v>0.60833333333333328</v>
      </c>
      <c r="AR68" s="124"/>
      <c r="AS68" s="124"/>
      <c r="AT68" s="14">
        <f t="shared" si="43"/>
        <v>1</v>
      </c>
      <c r="AV68">
        <v>0.01</v>
      </c>
      <c r="AZ68" s="83"/>
      <c r="BA68" s="83"/>
      <c r="BB68" s="83"/>
      <c r="BC68" s="83"/>
      <c r="BD68" s="83"/>
      <c r="BE68" s="8">
        <f t="shared" si="44"/>
        <v>155.65660328904679</v>
      </c>
      <c r="BF68" s="16">
        <f t="shared" si="45"/>
        <v>1</v>
      </c>
      <c r="BG68" s="16"/>
      <c r="BH68" s="189"/>
      <c r="BI68" s="6">
        <f t="shared" si="46"/>
        <v>0.14089345787314084</v>
      </c>
      <c r="BJ68" s="151">
        <f t="shared" si="47"/>
        <v>44.053750357917991</v>
      </c>
      <c r="BK68" s="177">
        <f t="shared" si="48"/>
        <v>3113.1320657809356</v>
      </c>
      <c r="BL68" s="134">
        <f t="shared" si="49"/>
        <v>3.4931975447825221</v>
      </c>
      <c r="BM68" s="119">
        <f t="shared" si="50"/>
        <v>8.841228910336698E-3</v>
      </c>
      <c r="BN68">
        <f t="shared" si="51"/>
        <v>51</v>
      </c>
      <c r="BO68" s="124">
        <f t="shared" si="52"/>
        <v>0.84166666666666667</v>
      </c>
      <c r="BP68" s="124"/>
      <c r="BQ68" s="124"/>
      <c r="BR68" s="14">
        <f t="shared" si="53"/>
        <v>1</v>
      </c>
      <c r="BT68">
        <v>0.01</v>
      </c>
      <c r="BX68" s="83"/>
      <c r="BY68" s="83"/>
      <c r="BZ68" s="83"/>
      <c r="CA68" s="83"/>
      <c r="CB68" s="83"/>
      <c r="CC68" s="151"/>
      <c r="CD68" s="177">
        <f t="shared" si="54"/>
        <v>137145.14285714287</v>
      </c>
      <c r="CE68" s="134">
        <f t="shared" si="55"/>
        <v>5.1371804312063585</v>
      </c>
      <c r="CF68" s="119">
        <f t="shared" si="56"/>
        <v>8.841228910336698E-3</v>
      </c>
      <c r="CG68">
        <f t="shared" si="57"/>
        <v>53</v>
      </c>
      <c r="CH68" s="124">
        <f t="shared" si="58"/>
        <v>0.875</v>
      </c>
      <c r="CI68" s="124"/>
      <c r="CJ68" s="124"/>
      <c r="CK68" s="14">
        <f t="shared" si="59"/>
        <v>3</v>
      </c>
      <c r="CL68" s="16"/>
    </row>
    <row r="69" spans="1:90" x14ac:dyDescent="0.2">
      <c r="A69" s="8">
        <v>16</v>
      </c>
      <c r="B69" t="s">
        <v>143</v>
      </c>
      <c r="C69">
        <v>1</v>
      </c>
      <c r="D69" s="23" t="s">
        <v>11</v>
      </c>
      <c r="E69" t="s">
        <v>10</v>
      </c>
      <c r="F69" s="6">
        <v>52</v>
      </c>
      <c r="G69" s="28" t="s">
        <v>33</v>
      </c>
      <c r="H69" s="1">
        <v>9</v>
      </c>
      <c r="I69" s="11">
        <v>410</v>
      </c>
      <c r="J69" s="13" t="s">
        <v>8</v>
      </c>
      <c r="K69" s="6" t="s">
        <v>181</v>
      </c>
      <c r="L69" s="1">
        <v>1</v>
      </c>
      <c r="M69" s="6">
        <v>20</v>
      </c>
      <c r="N69" s="1">
        <v>96.95</v>
      </c>
      <c r="O69" s="18">
        <v>775600.00000000012</v>
      </c>
      <c r="P69" s="30">
        <v>1.906666666666667</v>
      </c>
      <c r="Q69" s="1"/>
      <c r="R69" s="1"/>
      <c r="S69" s="1"/>
      <c r="T69" s="1"/>
      <c r="U69" s="1"/>
      <c r="V69" s="197"/>
      <c r="W69" s="238">
        <f t="shared" si="32"/>
        <v>-12.202682397680469</v>
      </c>
      <c r="X69" s="118">
        <f t="shared" si="33"/>
        <v>5.4179044903966656E-8</v>
      </c>
      <c r="Y69" s="1"/>
      <c r="Z69" s="1"/>
      <c r="AA69" s="1"/>
      <c r="AB69" s="1"/>
      <c r="AC69" s="197"/>
      <c r="AD69" s="238">
        <f t="shared" si="34"/>
        <v>1.2208668676849044</v>
      </c>
      <c r="AE69" s="96">
        <f t="shared" si="35"/>
        <v>16.629028118928069</v>
      </c>
      <c r="AF69" s="98">
        <f t="shared" si="36"/>
        <v>9.0094486116472803E-7</v>
      </c>
      <c r="AG69" s="22">
        <v>2743.1428571428573</v>
      </c>
      <c r="AH69" s="21"/>
      <c r="AI69" s="162">
        <v>0.05</v>
      </c>
      <c r="AJ69" s="167">
        <f t="shared" si="37"/>
        <v>62.268089205935667</v>
      </c>
      <c r="AK69" s="168">
        <f t="shared" si="38"/>
        <v>5.6362314338095423E-2</v>
      </c>
      <c r="AL69" s="151">
        <f t="shared" si="60"/>
        <v>44.053750357917984</v>
      </c>
      <c r="AM69" s="177">
        <f t="shared" si="61"/>
        <v>1245.3617841187133</v>
      </c>
      <c r="AN69" s="134">
        <f t="shared" si="39"/>
        <v>3.095295534581934</v>
      </c>
      <c r="AO69" s="119">
        <f t="shared" si="40"/>
        <v>3.536801001989243E-3</v>
      </c>
      <c r="AP69">
        <f t="shared" si="41"/>
        <v>25.5</v>
      </c>
      <c r="AQ69" s="124">
        <f t="shared" si="42"/>
        <v>0.41666666666666669</v>
      </c>
      <c r="AR69" s="124"/>
      <c r="AS69" s="124"/>
      <c r="AT69" s="14">
        <f t="shared" si="43"/>
        <v>1</v>
      </c>
      <c r="AV69">
        <v>100000</v>
      </c>
      <c r="AZ69" s="83"/>
      <c r="BA69" s="83"/>
      <c r="BB69" s="83"/>
      <c r="BC69" s="83"/>
      <c r="BD69" s="83"/>
      <c r="BE69" s="8">
        <f t="shared" si="44"/>
        <v>62.268089205935667</v>
      </c>
      <c r="BF69" s="16">
        <f t="shared" si="45"/>
        <v>1</v>
      </c>
      <c r="BG69" s="16"/>
      <c r="BH69" s="189"/>
      <c r="BI69" s="6">
        <f t="shared" si="46"/>
        <v>5.6362314338095423E-2</v>
      </c>
      <c r="BJ69" s="151">
        <f t="shared" si="47"/>
        <v>44.053750357917984</v>
      </c>
      <c r="BK69" s="177">
        <f t="shared" si="48"/>
        <v>1245.3617841187133</v>
      </c>
      <c r="BL69" s="134">
        <f t="shared" si="49"/>
        <v>3.095295534581934</v>
      </c>
      <c r="BM69" s="119">
        <f t="shared" si="50"/>
        <v>3.536801001989243E-3</v>
      </c>
      <c r="BN69">
        <f t="shared" si="51"/>
        <v>41.5</v>
      </c>
      <c r="BO69" s="124">
        <f t="shared" si="52"/>
        <v>0.68333333333333335</v>
      </c>
      <c r="BP69" s="124"/>
      <c r="BQ69" s="124"/>
      <c r="BR69" s="14">
        <f t="shared" si="53"/>
        <v>1</v>
      </c>
      <c r="BT69">
        <v>100000</v>
      </c>
      <c r="BX69" s="83"/>
      <c r="BY69" s="83"/>
      <c r="BZ69" s="83"/>
      <c r="CA69" s="83"/>
      <c r="CB69" s="83"/>
      <c r="CC69" s="151"/>
      <c r="CD69" s="177">
        <f t="shared" si="54"/>
        <v>54862.857142857145</v>
      </c>
      <c r="CE69" s="134">
        <f t="shared" si="55"/>
        <v>4.7392784210057712</v>
      </c>
      <c r="CF69" s="119">
        <f t="shared" si="56"/>
        <v>3.536801001989243E-3</v>
      </c>
      <c r="CG69">
        <f t="shared" si="57"/>
        <v>45.5</v>
      </c>
      <c r="CH69" s="124">
        <f t="shared" si="58"/>
        <v>0.75</v>
      </c>
      <c r="CI69" s="124"/>
      <c r="CJ69" s="124"/>
      <c r="CK69" s="14">
        <f t="shared" si="59"/>
        <v>3</v>
      </c>
      <c r="CL69" s="16"/>
    </row>
    <row r="70" spans="1:90" x14ac:dyDescent="0.2">
      <c r="A70" s="8">
        <v>17</v>
      </c>
      <c r="B70" t="s">
        <v>143</v>
      </c>
      <c r="C70">
        <v>1</v>
      </c>
      <c r="D70" s="23" t="s">
        <v>11</v>
      </c>
      <c r="E70" t="s">
        <v>10</v>
      </c>
      <c r="F70" s="6">
        <v>54</v>
      </c>
      <c r="G70" s="28" t="s">
        <v>33</v>
      </c>
      <c r="H70" s="1">
        <v>9</v>
      </c>
      <c r="I70" s="11">
        <v>410</v>
      </c>
      <c r="J70" s="13" t="s">
        <v>8</v>
      </c>
      <c r="K70" s="6" t="s">
        <v>181</v>
      </c>
      <c r="L70" s="1">
        <v>1</v>
      </c>
      <c r="M70" s="6">
        <v>20</v>
      </c>
      <c r="N70" s="1">
        <v>96.95</v>
      </c>
      <c r="O70" s="18">
        <v>775600.00000000012</v>
      </c>
      <c r="P70" s="30">
        <v>1.906666666666667</v>
      </c>
      <c r="Q70" s="1"/>
      <c r="R70" s="1"/>
      <c r="S70" s="1"/>
      <c r="T70" s="1"/>
      <c r="U70" s="1"/>
      <c r="V70" s="197"/>
      <c r="W70" s="238">
        <f t="shared" si="32"/>
        <v>-12.202682397680469</v>
      </c>
      <c r="X70" s="118">
        <f t="shared" si="33"/>
        <v>5.4179044903966656E-8</v>
      </c>
      <c r="Y70" s="1"/>
      <c r="Z70" s="1"/>
      <c r="AA70" s="1"/>
      <c r="AB70" s="1"/>
      <c r="AC70" s="197"/>
      <c r="AD70" s="238">
        <f t="shared" si="34"/>
        <v>1.2208668676849044</v>
      </c>
      <c r="AE70" s="96">
        <f t="shared" si="35"/>
        <v>16.629028118928069</v>
      </c>
      <c r="AF70" s="98">
        <f t="shared" si="36"/>
        <v>9.0094486116472803E-7</v>
      </c>
      <c r="AG70" s="22">
        <v>2743.1428571428573</v>
      </c>
      <c r="AH70" s="21"/>
      <c r="AI70" s="162">
        <v>0.05</v>
      </c>
      <c r="AJ70" s="167">
        <f t="shared" si="37"/>
        <v>62.268089205935667</v>
      </c>
      <c r="AK70" s="168">
        <f t="shared" si="38"/>
        <v>5.6362314338095423E-2</v>
      </c>
      <c r="AL70" s="151">
        <f t="shared" si="60"/>
        <v>44.053750357917984</v>
      </c>
      <c r="AM70" s="177">
        <f t="shared" si="61"/>
        <v>1245.3617841187133</v>
      </c>
      <c r="AN70" s="134">
        <f t="shared" si="39"/>
        <v>3.095295534581934</v>
      </c>
      <c r="AO70" s="119">
        <f t="shared" si="40"/>
        <v>3.536801001989243E-3</v>
      </c>
      <c r="AP70">
        <f t="shared" si="41"/>
        <v>25.5</v>
      </c>
      <c r="AQ70" s="124">
        <f t="shared" si="42"/>
        <v>0.41666666666666669</v>
      </c>
      <c r="AR70" s="124"/>
      <c r="AS70" s="124"/>
      <c r="AT70" s="14">
        <f t="shared" si="43"/>
        <v>1</v>
      </c>
      <c r="AZ70" s="83"/>
      <c r="BA70" s="83"/>
      <c r="BB70" s="83"/>
      <c r="BC70" s="83"/>
      <c r="BD70" s="83"/>
      <c r="BE70" s="8">
        <f t="shared" si="44"/>
        <v>62.268089205935667</v>
      </c>
      <c r="BF70" s="16">
        <f t="shared" si="45"/>
        <v>1</v>
      </c>
      <c r="BG70" s="16"/>
      <c r="BH70" s="189"/>
      <c r="BI70" s="6">
        <f t="shared" si="46"/>
        <v>5.6362314338095423E-2</v>
      </c>
      <c r="BJ70" s="151">
        <f t="shared" si="47"/>
        <v>44.053750357917984</v>
      </c>
      <c r="BK70" s="177">
        <f t="shared" si="48"/>
        <v>1245.3617841187133</v>
      </c>
      <c r="BL70" s="134">
        <f t="shared" si="49"/>
        <v>3.095295534581934</v>
      </c>
      <c r="BM70" s="119">
        <f t="shared" si="50"/>
        <v>3.536801001989243E-3</v>
      </c>
      <c r="BN70">
        <f t="shared" si="51"/>
        <v>41.5</v>
      </c>
      <c r="BO70" s="124">
        <f t="shared" si="52"/>
        <v>0.68333333333333335</v>
      </c>
      <c r="BP70" s="124"/>
      <c r="BQ70" s="124"/>
      <c r="BR70" s="14">
        <f t="shared" si="53"/>
        <v>1</v>
      </c>
      <c r="BX70" s="83"/>
      <c r="BY70" s="83"/>
      <c r="BZ70" s="83"/>
      <c r="CA70" s="83"/>
      <c r="CB70" s="83"/>
      <c r="CC70" s="151"/>
      <c r="CD70" s="177">
        <f t="shared" si="54"/>
        <v>54862.857142857145</v>
      </c>
      <c r="CE70" s="134">
        <f t="shared" si="55"/>
        <v>4.7392784210057712</v>
      </c>
      <c r="CF70" s="119">
        <f t="shared" si="56"/>
        <v>3.536801001989243E-3</v>
      </c>
      <c r="CG70">
        <f t="shared" si="57"/>
        <v>45.5</v>
      </c>
      <c r="CH70" s="124">
        <f t="shared" si="58"/>
        <v>0.75</v>
      </c>
      <c r="CI70" s="124"/>
      <c r="CJ70" s="124"/>
      <c r="CK70" s="14">
        <f t="shared" si="59"/>
        <v>3</v>
      </c>
      <c r="CL70" s="16"/>
    </row>
    <row r="71" spans="1:90" x14ac:dyDescent="0.2">
      <c r="A71" s="8">
        <v>18</v>
      </c>
      <c r="B71" t="s">
        <v>143</v>
      </c>
      <c r="C71">
        <v>1</v>
      </c>
      <c r="D71" s="23" t="s">
        <v>11</v>
      </c>
      <c r="E71" t="s">
        <v>10</v>
      </c>
      <c r="F71" s="6">
        <v>56</v>
      </c>
      <c r="G71" s="28" t="s">
        <v>33</v>
      </c>
      <c r="H71" s="1">
        <v>9</v>
      </c>
      <c r="I71" s="11">
        <v>410</v>
      </c>
      <c r="J71" s="13" t="s">
        <v>8</v>
      </c>
      <c r="K71" s="6" t="s">
        <v>181</v>
      </c>
      <c r="L71" s="1">
        <v>1</v>
      </c>
      <c r="M71" s="6">
        <v>20</v>
      </c>
      <c r="N71" s="1">
        <v>96.95</v>
      </c>
      <c r="O71" s="18">
        <v>775600.00000000012</v>
      </c>
      <c r="P71" s="30">
        <v>1.906666666666667</v>
      </c>
      <c r="Q71" s="1"/>
      <c r="R71" s="1"/>
      <c r="S71" s="1"/>
      <c r="T71" s="1"/>
      <c r="U71" s="1"/>
      <c r="V71" s="197"/>
      <c r="W71" s="238">
        <f t="shared" si="32"/>
        <v>-12.202682397680469</v>
      </c>
      <c r="X71" s="118">
        <f t="shared" si="33"/>
        <v>5.4179044903966656E-8</v>
      </c>
      <c r="Y71" s="1"/>
      <c r="Z71" s="1"/>
      <c r="AA71" s="1"/>
      <c r="AB71" s="1"/>
      <c r="AC71" s="197"/>
      <c r="AD71" s="238">
        <f t="shared" si="34"/>
        <v>1.2208668676849044</v>
      </c>
      <c r="AE71" s="96">
        <f t="shared" si="35"/>
        <v>16.629028118928069</v>
      </c>
      <c r="AF71" s="98">
        <f t="shared" si="36"/>
        <v>9.0094486116472803E-7</v>
      </c>
      <c r="AG71" s="22">
        <v>2743.1428571428573</v>
      </c>
      <c r="AH71" s="21"/>
      <c r="AI71" s="162">
        <v>0.05</v>
      </c>
      <c r="AJ71" s="167">
        <f t="shared" si="37"/>
        <v>62.268089205935667</v>
      </c>
      <c r="AK71" s="168">
        <f t="shared" si="38"/>
        <v>5.6362314338095423E-2</v>
      </c>
      <c r="AL71" s="151">
        <f t="shared" si="60"/>
        <v>44.053750357917984</v>
      </c>
      <c r="AM71" s="177">
        <f t="shared" si="61"/>
        <v>1245.3617841187133</v>
      </c>
      <c r="AN71" s="134">
        <f t="shared" si="39"/>
        <v>3.095295534581934</v>
      </c>
      <c r="AO71" s="119">
        <f t="shared" si="40"/>
        <v>3.536801001989243E-3</v>
      </c>
      <c r="AP71">
        <f t="shared" si="41"/>
        <v>25.5</v>
      </c>
      <c r="AQ71" s="124">
        <f t="shared" si="42"/>
        <v>0.41666666666666669</v>
      </c>
      <c r="AR71" s="124"/>
      <c r="AS71" s="124"/>
      <c r="AT71" s="14">
        <f t="shared" si="43"/>
        <v>1</v>
      </c>
      <c r="AZ71" s="83"/>
      <c r="BA71" s="83"/>
      <c r="BB71" s="83"/>
      <c r="BC71" s="83"/>
      <c r="BD71" s="83"/>
      <c r="BE71" s="8">
        <f t="shared" si="44"/>
        <v>62.268089205935667</v>
      </c>
      <c r="BF71" s="16">
        <f t="shared" si="45"/>
        <v>1</v>
      </c>
      <c r="BG71" s="16"/>
      <c r="BH71" s="189"/>
      <c r="BI71" s="6">
        <f t="shared" si="46"/>
        <v>5.6362314338095423E-2</v>
      </c>
      <c r="BJ71" s="151">
        <f t="shared" si="47"/>
        <v>44.053750357917984</v>
      </c>
      <c r="BK71" s="177">
        <f t="shared" si="48"/>
        <v>1245.3617841187133</v>
      </c>
      <c r="BL71" s="134">
        <f t="shared" si="49"/>
        <v>3.095295534581934</v>
      </c>
      <c r="BM71" s="119">
        <f t="shared" si="50"/>
        <v>3.536801001989243E-3</v>
      </c>
      <c r="BN71">
        <f t="shared" si="51"/>
        <v>41.5</v>
      </c>
      <c r="BO71" s="124">
        <f t="shared" si="52"/>
        <v>0.68333333333333335</v>
      </c>
      <c r="BP71" s="124"/>
      <c r="BQ71" s="124"/>
      <c r="BR71" s="14">
        <f t="shared" si="53"/>
        <v>1</v>
      </c>
      <c r="BX71" s="83"/>
      <c r="BY71" s="83"/>
      <c r="BZ71" s="83"/>
      <c r="CA71" s="83"/>
      <c r="CB71" s="83"/>
      <c r="CC71" s="151"/>
      <c r="CD71" s="177">
        <f t="shared" si="54"/>
        <v>54862.857142857145</v>
      </c>
      <c r="CE71" s="134">
        <f t="shared" si="55"/>
        <v>4.7392784210057712</v>
      </c>
      <c r="CF71" s="119">
        <f t="shared" si="56"/>
        <v>3.536801001989243E-3</v>
      </c>
      <c r="CG71">
        <f t="shared" si="57"/>
        <v>45.5</v>
      </c>
      <c r="CH71" s="124">
        <f t="shared" si="58"/>
        <v>0.75</v>
      </c>
      <c r="CI71" s="124"/>
      <c r="CJ71" s="124"/>
      <c r="CK71" s="14">
        <f t="shared" si="59"/>
        <v>3</v>
      </c>
      <c r="CL71" s="16"/>
    </row>
    <row r="72" spans="1:90" x14ac:dyDescent="0.2">
      <c r="A72" s="8">
        <v>19</v>
      </c>
      <c r="B72" t="s">
        <v>143</v>
      </c>
      <c r="C72">
        <v>1</v>
      </c>
      <c r="D72" s="23" t="s">
        <v>11</v>
      </c>
      <c r="E72" t="s">
        <v>10</v>
      </c>
      <c r="F72" s="6" t="s">
        <v>40</v>
      </c>
      <c r="G72" s="28" t="s">
        <v>33</v>
      </c>
      <c r="H72" s="1">
        <v>9</v>
      </c>
      <c r="I72" s="11">
        <v>410</v>
      </c>
      <c r="J72" s="13" t="s">
        <v>8</v>
      </c>
      <c r="K72" s="6" t="s">
        <v>181</v>
      </c>
      <c r="L72" s="1">
        <v>1</v>
      </c>
      <c r="M72" s="6">
        <v>20</v>
      </c>
      <c r="N72" s="1">
        <v>96.95</v>
      </c>
      <c r="O72" s="18">
        <v>775600.00000000012</v>
      </c>
      <c r="P72" s="30">
        <v>1.906666666666667</v>
      </c>
      <c r="Q72" s="1"/>
      <c r="R72" s="1"/>
      <c r="S72" s="1"/>
      <c r="T72" s="1"/>
      <c r="U72" s="1"/>
      <c r="V72" s="197"/>
      <c r="W72" s="238">
        <f t="shared" si="32"/>
        <v>-12.202682397680469</v>
      </c>
      <c r="X72" s="118">
        <f t="shared" si="33"/>
        <v>5.4179044903966656E-8</v>
      </c>
      <c r="Y72" s="1"/>
      <c r="Z72" s="1"/>
      <c r="AA72" s="1"/>
      <c r="AB72" s="1"/>
      <c r="AC72" s="197"/>
      <c r="AD72" s="238">
        <f t="shared" si="34"/>
        <v>1.2208668676849044</v>
      </c>
      <c r="AE72" s="96">
        <f t="shared" si="35"/>
        <v>16.629028118928069</v>
      </c>
      <c r="AF72" s="98">
        <f t="shared" si="36"/>
        <v>9.0094486116472803E-7</v>
      </c>
      <c r="AG72" s="22">
        <v>2743.1428571428573</v>
      </c>
      <c r="AH72" s="21"/>
      <c r="AI72" s="162">
        <v>0.05</v>
      </c>
      <c r="AJ72" s="167">
        <f t="shared" si="37"/>
        <v>62.268089205935667</v>
      </c>
      <c r="AK72" s="168">
        <f t="shared" si="38"/>
        <v>5.6362314338095423E-2</v>
      </c>
      <c r="AL72" s="151">
        <f t="shared" si="60"/>
        <v>44.053750357917984</v>
      </c>
      <c r="AM72" s="177">
        <f t="shared" si="61"/>
        <v>1245.3617841187133</v>
      </c>
      <c r="AN72" s="134">
        <f t="shared" si="39"/>
        <v>3.095295534581934</v>
      </c>
      <c r="AO72" s="119">
        <f t="shared" si="40"/>
        <v>3.536801001989243E-3</v>
      </c>
      <c r="AP72">
        <f t="shared" si="41"/>
        <v>25.5</v>
      </c>
      <c r="AQ72" s="124">
        <f t="shared" si="42"/>
        <v>0.41666666666666669</v>
      </c>
      <c r="AR72" s="124"/>
      <c r="AS72" s="124"/>
      <c r="AT72" s="14">
        <f t="shared" si="43"/>
        <v>1</v>
      </c>
      <c r="AZ72" s="83"/>
      <c r="BA72" s="83"/>
      <c r="BB72" s="83"/>
      <c r="BC72" s="83"/>
      <c r="BD72" s="83"/>
      <c r="BE72" s="8">
        <f t="shared" si="44"/>
        <v>62.268089205935667</v>
      </c>
      <c r="BF72" s="16">
        <f t="shared" si="45"/>
        <v>1</v>
      </c>
      <c r="BG72" s="16"/>
      <c r="BH72" s="189"/>
      <c r="BI72" s="6">
        <f t="shared" si="46"/>
        <v>5.6362314338095423E-2</v>
      </c>
      <c r="BJ72" s="151">
        <f t="shared" si="47"/>
        <v>44.053750357917984</v>
      </c>
      <c r="BK72" s="177">
        <f t="shared" si="48"/>
        <v>1245.3617841187133</v>
      </c>
      <c r="BL72" s="134">
        <f t="shared" si="49"/>
        <v>3.095295534581934</v>
      </c>
      <c r="BM72" s="119">
        <f t="shared" si="50"/>
        <v>3.536801001989243E-3</v>
      </c>
      <c r="BN72">
        <f t="shared" si="51"/>
        <v>41.5</v>
      </c>
      <c r="BO72" s="124">
        <f t="shared" si="52"/>
        <v>0.68333333333333335</v>
      </c>
      <c r="BP72" s="124"/>
      <c r="BQ72" s="124"/>
      <c r="BR72" s="14">
        <f t="shared" si="53"/>
        <v>1</v>
      </c>
      <c r="BX72" s="83"/>
      <c r="BY72" s="83"/>
      <c r="BZ72" s="83"/>
      <c r="CA72" s="83"/>
      <c r="CB72" s="83"/>
      <c r="CC72" s="151"/>
      <c r="CD72" s="177">
        <f t="shared" si="54"/>
        <v>54862.857142857145</v>
      </c>
      <c r="CE72" s="134">
        <f t="shared" si="55"/>
        <v>4.7392784210057712</v>
      </c>
      <c r="CF72" s="119">
        <f t="shared" si="56"/>
        <v>3.536801001989243E-3</v>
      </c>
      <c r="CG72">
        <f t="shared" si="57"/>
        <v>45.5</v>
      </c>
      <c r="CH72" s="124">
        <f t="shared" si="58"/>
        <v>0.75</v>
      </c>
      <c r="CI72" s="124"/>
      <c r="CJ72" s="124"/>
      <c r="CK72" s="14">
        <f t="shared" si="59"/>
        <v>3</v>
      </c>
      <c r="CL72" s="16"/>
    </row>
    <row r="73" spans="1:90" x14ac:dyDescent="0.2">
      <c r="A73" s="8">
        <v>24</v>
      </c>
      <c r="B73" t="s">
        <v>143</v>
      </c>
      <c r="C73">
        <v>2</v>
      </c>
      <c r="D73" t="s">
        <v>2</v>
      </c>
      <c r="E73" t="s">
        <v>1</v>
      </c>
      <c r="F73" s="6">
        <v>59</v>
      </c>
      <c r="G73" s="26" t="s">
        <v>29</v>
      </c>
      <c r="H73" s="1">
        <v>9</v>
      </c>
      <c r="I73" s="11">
        <v>201</v>
      </c>
      <c r="J73" s="13" t="s">
        <v>39</v>
      </c>
      <c r="K73" s="6" t="s">
        <v>152</v>
      </c>
      <c r="L73" s="1">
        <v>1</v>
      </c>
      <c r="M73" s="6">
        <v>150</v>
      </c>
      <c r="N73" s="1">
        <v>106.18666499232586</v>
      </c>
      <c r="O73" s="18">
        <v>159449.4296665228</v>
      </c>
      <c r="P73" s="30">
        <v>3.15</v>
      </c>
      <c r="Q73" s="1"/>
      <c r="R73" s="1"/>
      <c r="S73" s="1"/>
      <c r="T73" s="1"/>
      <c r="U73" s="1"/>
      <c r="V73" s="197"/>
      <c r="W73" s="238">
        <f t="shared" si="32"/>
        <v>-12.329224708075333</v>
      </c>
      <c r="X73" s="118">
        <f t="shared" si="33"/>
        <v>4.0484523721567554E-8</v>
      </c>
      <c r="Y73" s="1"/>
      <c r="Z73" s="1"/>
      <c r="AA73" s="1"/>
      <c r="AB73" s="1"/>
      <c r="AC73" s="197"/>
      <c r="AD73" s="238">
        <f t="shared" si="34"/>
        <v>2.4517668676849045</v>
      </c>
      <c r="AE73" s="96">
        <f t="shared" si="35"/>
        <v>282.98724926513279</v>
      </c>
      <c r="AF73" s="98">
        <f t="shared" si="36"/>
        <v>1.1456604005775419E-5</v>
      </c>
      <c r="AG73" s="22">
        <v>604.25</v>
      </c>
      <c r="AH73" s="21"/>
      <c r="AI73" s="162">
        <v>0.05</v>
      </c>
      <c r="AJ73" s="167">
        <f t="shared" si="37"/>
        <v>174.4180642602619</v>
      </c>
      <c r="AK73" s="168">
        <f t="shared" si="38"/>
        <v>0.1578755007491367</v>
      </c>
      <c r="AL73" s="151">
        <f t="shared" si="60"/>
        <v>3.4643774001433392</v>
      </c>
      <c r="AM73" s="177">
        <f t="shared" si="61"/>
        <v>3488.3612852052379</v>
      </c>
      <c r="AN73" s="134">
        <f t="shared" si="39"/>
        <v>3.5426214579249686</v>
      </c>
      <c r="AO73" s="119">
        <f t="shared" si="40"/>
        <v>3.7896027678728365E-3</v>
      </c>
      <c r="AP73">
        <f t="shared" si="41"/>
        <v>39</v>
      </c>
      <c r="AQ73" s="124">
        <f t="shared" si="42"/>
        <v>0.64166666666666672</v>
      </c>
      <c r="AR73" s="124"/>
      <c r="AS73" s="124"/>
      <c r="AT73" s="14">
        <f t="shared" si="43"/>
        <v>1</v>
      </c>
      <c r="AZ73" s="83"/>
      <c r="BA73" s="83"/>
      <c r="BB73" s="83"/>
      <c r="BC73" s="83"/>
      <c r="BD73" s="83"/>
      <c r="BE73" s="8">
        <f t="shared" si="44"/>
        <v>25.686601799419929</v>
      </c>
      <c r="BF73" s="16">
        <f t="shared" si="45"/>
        <v>6.7902350658233335</v>
      </c>
      <c r="BG73" s="16"/>
      <c r="BH73" s="189"/>
      <c r="BI73" s="6">
        <f t="shared" si="46"/>
        <v>2.3250373399259325E-2</v>
      </c>
      <c r="BJ73" s="151">
        <f t="shared" si="47"/>
        <v>23.52393690369917</v>
      </c>
      <c r="BK73" s="177">
        <f t="shared" si="48"/>
        <v>513.73203598839859</v>
      </c>
      <c r="BL73" s="134">
        <f t="shared" si="49"/>
        <v>2.7107366488841005</v>
      </c>
      <c r="BM73" s="119">
        <f t="shared" si="50"/>
        <v>3.7896027678728365E-3</v>
      </c>
      <c r="BN73">
        <f t="shared" si="51"/>
        <v>32</v>
      </c>
      <c r="BO73" s="124">
        <f t="shared" si="52"/>
        <v>0.52500000000000002</v>
      </c>
      <c r="BP73" s="124"/>
      <c r="BQ73" s="124"/>
      <c r="BR73" s="14">
        <f t="shared" si="53"/>
        <v>1</v>
      </c>
      <c r="BX73" s="83"/>
      <c r="BY73" s="83"/>
      <c r="BZ73" s="83"/>
      <c r="CA73" s="83"/>
      <c r="CB73" s="83"/>
      <c r="CC73" s="151"/>
      <c r="CD73" s="177">
        <f t="shared" si="54"/>
        <v>12085</v>
      </c>
      <c r="CE73" s="134">
        <f t="shared" si="55"/>
        <v>4.0822466547436695</v>
      </c>
      <c r="CF73" s="119">
        <f t="shared" si="56"/>
        <v>3.7896027678728365E-3</v>
      </c>
      <c r="CG73">
        <f t="shared" si="57"/>
        <v>33</v>
      </c>
      <c r="CH73" s="124">
        <f t="shared" si="58"/>
        <v>0.54166666666666663</v>
      </c>
      <c r="CI73" s="124"/>
      <c r="CJ73" s="124"/>
      <c r="CK73" s="14">
        <f t="shared" si="59"/>
        <v>3</v>
      </c>
      <c r="CL73" s="16"/>
    </row>
    <row r="74" spans="1:90" x14ac:dyDescent="0.2">
      <c r="A74" s="8">
        <v>89</v>
      </c>
      <c r="B74" t="s">
        <v>143</v>
      </c>
      <c r="C74">
        <v>8</v>
      </c>
      <c r="D74" s="16" t="s">
        <v>28</v>
      </c>
      <c r="E74" t="s">
        <v>27</v>
      </c>
      <c r="F74" s="14" t="s">
        <v>26</v>
      </c>
      <c r="G74" s="26" t="s">
        <v>25</v>
      </c>
      <c r="H74" s="16">
        <v>18</v>
      </c>
      <c r="I74" s="11">
        <v>201</v>
      </c>
      <c r="J74" t="s">
        <v>38</v>
      </c>
      <c r="K74" s="6" t="s">
        <v>152</v>
      </c>
      <c r="L74" s="1">
        <v>1</v>
      </c>
      <c r="M74" s="6">
        <v>150</v>
      </c>
      <c r="N74" s="1">
        <v>106.18666499232586</v>
      </c>
      <c r="O74" s="18">
        <v>159449.4296665228</v>
      </c>
      <c r="P74" s="30">
        <v>3.15</v>
      </c>
      <c r="Q74" s="1"/>
      <c r="R74" s="1"/>
      <c r="S74" s="1"/>
      <c r="T74" s="1"/>
      <c r="U74" s="1"/>
      <c r="V74" s="197"/>
      <c r="W74" s="238">
        <f t="shared" si="32"/>
        <v>-11.8312647509063</v>
      </c>
      <c r="X74" s="118">
        <f t="shared" si="33"/>
        <v>1.2742334205986092E-7</v>
      </c>
      <c r="Y74" s="1"/>
      <c r="Z74" s="1"/>
      <c r="AA74" s="1"/>
      <c r="AB74" s="1"/>
      <c r="AC74" s="197"/>
      <c r="AD74" s="238">
        <f t="shared" si="34"/>
        <v>2.7955036075622859</v>
      </c>
      <c r="AE74" s="96">
        <f t="shared" si="35"/>
        <v>624.45853746064438</v>
      </c>
      <c r="AF74" s="98">
        <f t="shared" si="36"/>
        <v>7.9570593821048159E-5</v>
      </c>
      <c r="AG74" s="22">
        <v>125</v>
      </c>
      <c r="AH74" s="21"/>
      <c r="AI74" s="162">
        <v>0.05</v>
      </c>
      <c r="AJ74" s="167">
        <f t="shared" si="37"/>
        <v>250.60025768785636</v>
      </c>
      <c r="AK74" s="168">
        <f t="shared" si="38"/>
        <v>0.22683224549090983</v>
      </c>
      <c r="AL74" s="151">
        <f t="shared" si="60"/>
        <v>0.49880236019428992</v>
      </c>
      <c r="AM74" s="177">
        <f t="shared" si="61"/>
        <v>5012.0051537571271</v>
      </c>
      <c r="AN74" s="134">
        <f t="shared" si="39"/>
        <v>3.7000115088997521</v>
      </c>
      <c r="AO74" s="119">
        <f t="shared" si="40"/>
        <v>7.8394761437170803E-4</v>
      </c>
      <c r="AP74">
        <f t="shared" si="41"/>
        <v>40</v>
      </c>
      <c r="AQ74" s="124">
        <f t="shared" si="42"/>
        <v>0.65833333333333333</v>
      </c>
      <c r="AR74" s="124"/>
      <c r="AS74" s="124"/>
      <c r="AT74" s="14">
        <f t="shared" si="43"/>
        <v>1</v>
      </c>
      <c r="AZ74" s="83"/>
      <c r="BA74" s="83"/>
      <c r="BB74" s="83"/>
      <c r="BC74" s="83"/>
      <c r="BD74" s="83"/>
      <c r="BE74" s="8">
        <f t="shared" si="44"/>
        <v>13.514251614840786</v>
      </c>
      <c r="BF74" s="16">
        <f t="shared" si="45"/>
        <v>18.543406237357431</v>
      </c>
      <c r="BG74" s="16"/>
      <c r="BH74" s="189"/>
      <c r="BI74" s="6">
        <f t="shared" si="46"/>
        <v>1.2232501547312005E-2</v>
      </c>
      <c r="BJ74" s="151">
        <f t="shared" si="47"/>
        <v>9.2494947972354034</v>
      </c>
      <c r="BK74" s="177">
        <f t="shared" si="48"/>
        <v>270.2850322968157</v>
      </c>
      <c r="BL74" s="134">
        <f t="shared" si="49"/>
        <v>2.4318219962318959</v>
      </c>
      <c r="BM74" s="119">
        <f t="shared" si="50"/>
        <v>7.8394761437170803E-4</v>
      </c>
      <c r="BN74">
        <f t="shared" si="51"/>
        <v>26</v>
      </c>
      <c r="BO74" s="124">
        <f t="shared" si="52"/>
        <v>0.42499999999999999</v>
      </c>
      <c r="BP74" s="124"/>
      <c r="BQ74" s="124"/>
      <c r="BR74" s="14">
        <f t="shared" si="53"/>
        <v>1</v>
      </c>
      <c r="BX74" s="83"/>
      <c r="BY74" s="83"/>
      <c r="BZ74" s="83"/>
      <c r="CA74" s="83"/>
      <c r="CB74" s="83"/>
      <c r="CC74" s="151"/>
      <c r="CD74" s="177">
        <f t="shared" si="54"/>
        <v>2500</v>
      </c>
      <c r="CE74" s="134">
        <f t="shared" si="55"/>
        <v>3.3979400086720375</v>
      </c>
      <c r="CF74" s="119">
        <f t="shared" si="56"/>
        <v>7.8394761437170803E-4</v>
      </c>
      <c r="CG74">
        <f t="shared" si="57"/>
        <v>19</v>
      </c>
      <c r="CH74" s="124">
        <f t="shared" si="58"/>
        <v>0.30833333333333335</v>
      </c>
      <c r="CI74" s="124"/>
      <c r="CJ74" s="124"/>
      <c r="CK74" s="14">
        <f t="shared" si="59"/>
        <v>3</v>
      </c>
      <c r="CL74" s="16"/>
    </row>
    <row r="75" spans="1:90" x14ac:dyDescent="0.2">
      <c r="A75" s="8">
        <v>26</v>
      </c>
      <c r="B75" t="s">
        <v>143</v>
      </c>
      <c r="C75">
        <v>2</v>
      </c>
      <c r="D75" t="s">
        <v>2</v>
      </c>
      <c r="E75" t="s">
        <v>1</v>
      </c>
      <c r="F75" s="6">
        <v>59</v>
      </c>
      <c r="G75" s="26" t="s">
        <v>29</v>
      </c>
      <c r="H75" s="1">
        <v>9</v>
      </c>
      <c r="I75" s="11">
        <v>310</v>
      </c>
      <c r="J75" s="13" t="s">
        <v>35</v>
      </c>
      <c r="K75" s="6"/>
      <c r="L75" s="1">
        <v>0.1</v>
      </c>
      <c r="M75" s="6">
        <v>70</v>
      </c>
      <c r="N75" s="1">
        <v>128.19</v>
      </c>
      <c r="O75" s="18">
        <v>31800.000000000004</v>
      </c>
      <c r="P75" s="30">
        <v>3.3</v>
      </c>
      <c r="Q75" s="1"/>
      <c r="R75" s="1"/>
      <c r="S75" s="1"/>
      <c r="T75" s="1"/>
      <c r="U75" s="1"/>
      <c r="V75" s="197"/>
      <c r="W75" s="238">
        <f t="shared" si="32"/>
        <v>-12.630670397680468</v>
      </c>
      <c r="X75" s="118">
        <f t="shared" si="33"/>
        <v>2.0222895831169074E-8</v>
      </c>
      <c r="Y75" s="1"/>
      <c r="Z75" s="1"/>
      <c r="AA75" s="1"/>
      <c r="AB75" s="1"/>
      <c r="AC75" s="197"/>
      <c r="AD75" s="238">
        <f t="shared" si="34"/>
        <v>2.6002668676849043</v>
      </c>
      <c r="AE75" s="96">
        <f t="shared" si="35"/>
        <v>398.35187683491063</v>
      </c>
      <c r="AF75" s="98">
        <f t="shared" si="36"/>
        <v>8.0558285093830901E-6</v>
      </c>
      <c r="AG75" s="22">
        <v>149.52500000000001</v>
      </c>
      <c r="AH75" s="21"/>
      <c r="AI75" s="162">
        <v>0.05</v>
      </c>
      <c r="AJ75" s="167">
        <f t="shared" si="37"/>
        <v>30.348897905404542</v>
      </c>
      <c r="AK75" s="168">
        <f t="shared" si="38"/>
        <v>2.7470477179764186E-2</v>
      </c>
      <c r="AL75" s="151">
        <f t="shared" si="60"/>
        <v>4.9268675411561667</v>
      </c>
      <c r="AM75" s="177">
        <f t="shared" si="61"/>
        <v>606.97795810809077</v>
      </c>
      <c r="AN75" s="134">
        <f t="shared" si="39"/>
        <v>2.7831729203242914</v>
      </c>
      <c r="AO75" s="119">
        <f t="shared" si="40"/>
        <v>4.702044025157232E-3</v>
      </c>
      <c r="AP75">
        <f t="shared" si="41"/>
        <v>20</v>
      </c>
      <c r="AQ75" s="124">
        <f t="shared" si="42"/>
        <v>0.32500000000000001</v>
      </c>
      <c r="AR75" s="124"/>
      <c r="AS75" s="124"/>
      <c r="AT75" s="14">
        <f t="shared" si="43"/>
        <v>1</v>
      </c>
      <c r="AZ75" s="83"/>
      <c r="BA75" s="83"/>
      <c r="BB75" s="83"/>
      <c r="BC75" s="83"/>
      <c r="BD75" s="83"/>
      <c r="BE75" s="8">
        <f t="shared" si="44"/>
        <v>4.4863626246168016</v>
      </c>
      <c r="BF75" s="16">
        <f t="shared" si="45"/>
        <v>6.7647001468136487</v>
      </c>
      <c r="BG75" s="16"/>
      <c r="BH75" s="189"/>
      <c r="BI75" s="6">
        <f t="shared" si="46"/>
        <v>4.0608565913602991E-3</v>
      </c>
      <c r="BJ75" s="151">
        <f t="shared" si="47"/>
        <v>33.328781578990515</v>
      </c>
      <c r="BK75" s="177">
        <f t="shared" si="48"/>
        <v>89.727252492336021</v>
      </c>
      <c r="BL75" s="134">
        <f t="shared" si="49"/>
        <v>1.952924369571041</v>
      </c>
      <c r="BM75" s="119">
        <f t="shared" si="50"/>
        <v>4.702044025157232E-3</v>
      </c>
      <c r="BN75">
        <f t="shared" si="51"/>
        <v>19</v>
      </c>
      <c r="BO75" s="124">
        <f t="shared" si="52"/>
        <v>0.30833333333333335</v>
      </c>
      <c r="BP75" s="124"/>
      <c r="BQ75" s="124"/>
      <c r="BR75" s="14">
        <f t="shared" si="53"/>
        <v>1</v>
      </c>
      <c r="BX75" s="83"/>
      <c r="BY75" s="83"/>
      <c r="BZ75" s="83"/>
      <c r="CA75" s="83"/>
      <c r="CB75" s="83"/>
      <c r="CC75" s="151"/>
      <c r="CD75" s="177">
        <f t="shared" si="54"/>
        <v>2990.5</v>
      </c>
      <c r="CE75" s="134">
        <f t="shared" si="55"/>
        <v>3.4757438067481257</v>
      </c>
      <c r="CF75" s="119">
        <f t="shared" si="56"/>
        <v>4.702044025157232E-3</v>
      </c>
      <c r="CG75">
        <f t="shared" si="57"/>
        <v>20</v>
      </c>
      <c r="CH75" s="124">
        <f t="shared" si="58"/>
        <v>0.32500000000000001</v>
      </c>
      <c r="CI75" s="124"/>
      <c r="CJ75" s="124"/>
      <c r="CK75" s="14">
        <f t="shared" si="59"/>
        <v>3</v>
      </c>
      <c r="CL75" s="16"/>
    </row>
    <row r="76" spans="1:90" x14ac:dyDescent="0.2">
      <c r="A76" s="8">
        <v>91</v>
      </c>
      <c r="B76" t="s">
        <v>143</v>
      </c>
      <c r="C76">
        <v>8</v>
      </c>
      <c r="D76" s="16" t="s">
        <v>28</v>
      </c>
      <c r="E76" t="s">
        <v>27</v>
      </c>
      <c r="F76" s="14" t="s">
        <v>26</v>
      </c>
      <c r="G76" s="26" t="s">
        <v>25</v>
      </c>
      <c r="H76" s="16">
        <v>18</v>
      </c>
      <c r="I76" s="11">
        <v>310</v>
      </c>
      <c r="J76" t="s">
        <v>35</v>
      </c>
      <c r="K76" s="6"/>
      <c r="L76" s="1">
        <v>0.1</v>
      </c>
      <c r="M76" s="6">
        <v>70</v>
      </c>
      <c r="N76" s="1">
        <v>128.19</v>
      </c>
      <c r="O76" s="18">
        <v>31800.000000000004</v>
      </c>
      <c r="P76" s="30">
        <v>3.3</v>
      </c>
      <c r="Q76" s="1"/>
      <c r="R76" s="1"/>
      <c r="S76" s="1"/>
      <c r="T76" s="1"/>
      <c r="U76" s="1"/>
      <c r="V76" s="197"/>
      <c r="W76" s="238">
        <f t="shared" si="32"/>
        <v>-12.132710440511435</v>
      </c>
      <c r="X76" s="118">
        <f t="shared" si="33"/>
        <v>6.3650717263179805E-8</v>
      </c>
      <c r="Y76" s="1"/>
      <c r="Z76" s="1"/>
      <c r="AA76" s="1"/>
      <c r="AB76" s="1"/>
      <c r="AC76" s="197"/>
      <c r="AD76" s="238">
        <f t="shared" si="34"/>
        <v>2.9440036075622853</v>
      </c>
      <c r="AE76" s="96">
        <f t="shared" si="35"/>
        <v>879.02981865437698</v>
      </c>
      <c r="AF76" s="98">
        <f t="shared" si="36"/>
        <v>5.5950878453073966E-5</v>
      </c>
      <c r="AG76" s="22">
        <v>13</v>
      </c>
      <c r="AH76" s="21"/>
      <c r="AI76" s="162">
        <v>0.05</v>
      </c>
      <c r="AJ76" s="167">
        <f t="shared" si="37"/>
        <v>18.326062481480513</v>
      </c>
      <c r="AK76" s="168">
        <f t="shared" si="38"/>
        <v>1.6587939461972779E-2</v>
      </c>
      <c r="AL76" s="151">
        <f t="shared" si="60"/>
        <v>0.70937224038918401</v>
      </c>
      <c r="AM76" s="177">
        <f t="shared" si="61"/>
        <v>366.52124962961022</v>
      </c>
      <c r="AN76" s="134">
        <f t="shared" si="39"/>
        <v>2.5640991585933977</v>
      </c>
      <c r="AO76" s="119">
        <f t="shared" si="40"/>
        <v>4.0880503144654083E-4</v>
      </c>
      <c r="AP76">
        <f t="shared" si="41"/>
        <v>17</v>
      </c>
      <c r="AQ76" s="124">
        <f t="shared" si="42"/>
        <v>0.27500000000000002</v>
      </c>
      <c r="AR76" s="124"/>
      <c r="AS76" s="124"/>
      <c r="AT76" s="14">
        <f t="shared" si="43"/>
        <v>1</v>
      </c>
      <c r="AZ76" s="83"/>
      <c r="BA76" s="83"/>
      <c r="BB76" s="83"/>
      <c r="BC76" s="83"/>
      <c r="BD76" s="83"/>
      <c r="BE76" s="8">
        <f t="shared" si="44"/>
        <v>0.99200967666989182</v>
      </c>
      <c r="BF76" s="16">
        <f t="shared" si="45"/>
        <v>18.473673102665533</v>
      </c>
      <c r="BG76" s="16"/>
      <c r="BH76" s="189"/>
      <c r="BI76" s="6">
        <f t="shared" si="46"/>
        <v>8.9792318884214409E-4</v>
      </c>
      <c r="BJ76" s="151">
        <f t="shared" si="47"/>
        <v>13.104710877055258</v>
      </c>
      <c r="BK76" s="177">
        <f t="shared" si="48"/>
        <v>19.840193533397834</v>
      </c>
      <c r="BL76" s="134">
        <f t="shared" si="49"/>
        <v>1.2975459042131599</v>
      </c>
      <c r="BM76" s="119">
        <f t="shared" si="50"/>
        <v>4.0880503144654083E-4</v>
      </c>
      <c r="BN76">
        <f t="shared" si="51"/>
        <v>13</v>
      </c>
      <c r="BO76" s="124">
        <f t="shared" si="52"/>
        <v>0.20833333333333334</v>
      </c>
      <c r="BP76" s="124"/>
      <c r="BQ76" s="124"/>
      <c r="BR76" s="14">
        <f t="shared" si="53"/>
        <v>1</v>
      </c>
      <c r="BX76" s="83"/>
      <c r="BY76" s="83"/>
      <c r="BZ76" s="83"/>
      <c r="CA76" s="83"/>
      <c r="CB76" s="83"/>
      <c r="CC76" s="151"/>
      <c r="CD76" s="177">
        <f t="shared" si="54"/>
        <v>260</v>
      </c>
      <c r="CE76" s="134">
        <f t="shared" si="55"/>
        <v>2.4149733479708178</v>
      </c>
      <c r="CF76" s="119">
        <f t="shared" si="56"/>
        <v>4.0880503144654083E-4</v>
      </c>
      <c r="CG76">
        <f t="shared" si="57"/>
        <v>9</v>
      </c>
      <c r="CH76" s="124">
        <f t="shared" si="58"/>
        <v>0.14166666666666666</v>
      </c>
      <c r="CI76" s="124"/>
      <c r="CJ76" s="124"/>
      <c r="CK76" s="14">
        <f t="shared" si="59"/>
        <v>3</v>
      </c>
      <c r="CL76" s="16"/>
    </row>
    <row r="77" spans="1:90" x14ac:dyDescent="0.2">
      <c r="A77" s="8">
        <v>67</v>
      </c>
      <c r="B77" t="s">
        <v>143</v>
      </c>
      <c r="C77">
        <v>6</v>
      </c>
      <c r="D77" t="s">
        <v>6</v>
      </c>
      <c r="E77" t="s">
        <v>5</v>
      </c>
      <c r="F77" s="9">
        <v>2</v>
      </c>
      <c r="G77" s="26" t="s">
        <v>31</v>
      </c>
      <c r="H77" s="1">
        <v>9</v>
      </c>
      <c r="I77" s="11">
        <v>-401</v>
      </c>
      <c r="J77" s="182" t="s">
        <v>34</v>
      </c>
      <c r="K77" s="6" t="s">
        <v>183</v>
      </c>
      <c r="L77" s="1">
        <v>1</v>
      </c>
      <c r="M77" s="6">
        <v>20</v>
      </c>
      <c r="N77" s="1">
        <v>167.85</v>
      </c>
      <c r="O77" s="18">
        <v>2900000</v>
      </c>
      <c r="P77" s="30">
        <v>2.39</v>
      </c>
      <c r="Q77" s="1"/>
      <c r="R77" s="1"/>
      <c r="S77" s="1"/>
      <c r="T77" s="1"/>
      <c r="U77" s="1"/>
      <c r="V77" s="197"/>
      <c r="W77" s="238">
        <f t="shared" si="32"/>
        <v>-13.174012397680469</v>
      </c>
      <c r="X77" s="118">
        <f t="shared" si="33"/>
        <v>5.787637804958017E-9</v>
      </c>
      <c r="Y77" s="1"/>
      <c r="Z77" s="1"/>
      <c r="AA77" s="1"/>
      <c r="AB77" s="1"/>
      <c r="AC77" s="197"/>
      <c r="AD77" s="238">
        <f t="shared" si="34"/>
        <v>1.6993668676849047</v>
      </c>
      <c r="AE77" s="96">
        <f t="shared" si="35"/>
        <v>50.045711464207912</v>
      </c>
      <c r="AF77" s="98">
        <f t="shared" si="36"/>
        <v>2.8964645164627057E-7</v>
      </c>
      <c r="AG77" s="22">
        <v>74</v>
      </c>
      <c r="AH77" s="21"/>
      <c r="AI77" s="162">
        <v>0.05</v>
      </c>
      <c r="AJ77" s="167">
        <f t="shared" si="37"/>
        <v>0.54003117716865756</v>
      </c>
      <c r="AK77" s="168">
        <f t="shared" si="38"/>
        <v>4.8881228488138913E-4</v>
      </c>
      <c r="AL77" s="151">
        <f t="shared" si="60"/>
        <v>137.02912559229705</v>
      </c>
      <c r="AM77" s="177">
        <f t="shared" si="61"/>
        <v>10.800623543373151</v>
      </c>
      <c r="AN77" s="134">
        <f t="shared" si="39"/>
        <v>1.0334488289711219</v>
      </c>
      <c r="AO77" s="119">
        <f t="shared" si="40"/>
        <v>2.5517241379310345E-5</v>
      </c>
      <c r="AP77">
        <f t="shared" si="41"/>
        <v>3</v>
      </c>
      <c r="AQ77" s="124">
        <f t="shared" si="42"/>
        <v>4.1666666666666664E-2</v>
      </c>
      <c r="AR77" s="124"/>
      <c r="AS77" s="124"/>
      <c r="AT77" s="14">
        <f t="shared" si="43"/>
        <v>1</v>
      </c>
      <c r="AZ77" s="83"/>
      <c r="BA77" s="83"/>
      <c r="BB77" s="83"/>
      <c r="BC77" s="83"/>
      <c r="BD77" s="83"/>
      <c r="BE77" s="8">
        <f t="shared" si="44"/>
        <v>0.54003117716865756</v>
      </c>
      <c r="BF77" s="16">
        <f t="shared" si="45"/>
        <v>1</v>
      </c>
      <c r="BG77" s="16"/>
      <c r="BH77" s="189"/>
      <c r="BI77" s="6">
        <f t="shared" si="46"/>
        <v>4.8881228488138913E-4</v>
      </c>
      <c r="BJ77" s="151">
        <f t="shared" si="47"/>
        <v>137.02912559229705</v>
      </c>
      <c r="BK77" s="177">
        <f t="shared" si="48"/>
        <v>10.800623543373151</v>
      </c>
      <c r="BL77" s="134">
        <f t="shared" si="49"/>
        <v>1.0334488289711219</v>
      </c>
      <c r="BM77" s="119">
        <f t="shared" si="50"/>
        <v>2.5517241379310345E-5</v>
      </c>
      <c r="BN77">
        <f t="shared" si="51"/>
        <v>11</v>
      </c>
      <c r="BO77" s="124">
        <f t="shared" si="52"/>
        <v>0.17499999999999999</v>
      </c>
      <c r="BP77" s="124"/>
      <c r="BQ77" s="124"/>
      <c r="BR77" s="14">
        <f t="shared" si="53"/>
        <v>1</v>
      </c>
      <c r="BX77" s="83"/>
      <c r="BY77" s="83"/>
      <c r="BZ77" s="83"/>
      <c r="CA77" s="83"/>
      <c r="CB77" s="83"/>
      <c r="CC77" s="151"/>
      <c r="CD77" s="177">
        <f t="shared" si="54"/>
        <v>1480</v>
      </c>
      <c r="CE77" s="134">
        <f t="shared" si="55"/>
        <v>3.1702617153949575</v>
      </c>
      <c r="CF77" s="119">
        <f t="shared" si="56"/>
        <v>2.5517241379310345E-5</v>
      </c>
      <c r="CG77">
        <f t="shared" si="57"/>
        <v>16</v>
      </c>
      <c r="CH77" s="124">
        <f t="shared" si="58"/>
        <v>0.25833333333333336</v>
      </c>
      <c r="CI77" s="124"/>
      <c r="CJ77" s="124"/>
      <c r="CK77" s="14">
        <f t="shared" si="59"/>
        <v>3</v>
      </c>
      <c r="CL77" s="16"/>
    </row>
    <row r="78" spans="1:90" x14ac:dyDescent="0.2">
      <c r="A78" s="8">
        <v>3</v>
      </c>
      <c r="B78" t="s">
        <v>143</v>
      </c>
      <c r="C78">
        <v>1</v>
      </c>
      <c r="D78" s="23" t="s">
        <v>11</v>
      </c>
      <c r="E78" t="s">
        <v>10</v>
      </c>
      <c r="F78" s="6">
        <v>42</v>
      </c>
      <c r="G78" s="28" t="s">
        <v>33</v>
      </c>
      <c r="H78" s="1">
        <v>9</v>
      </c>
      <c r="I78" s="11">
        <v>403</v>
      </c>
      <c r="J78" t="s">
        <v>12</v>
      </c>
      <c r="K78" s="6" t="s">
        <v>153</v>
      </c>
      <c r="L78" s="1">
        <v>10</v>
      </c>
      <c r="M78" s="6">
        <v>40</v>
      </c>
      <c r="N78" s="1">
        <v>165.80749949115744</v>
      </c>
      <c r="O78" s="18">
        <v>118882.50367033854</v>
      </c>
      <c r="P78" s="30">
        <v>3.4</v>
      </c>
      <c r="Q78" s="1"/>
      <c r="R78" s="1"/>
      <c r="S78" s="1"/>
      <c r="T78" s="1"/>
      <c r="U78" s="1"/>
      <c r="V78" s="197"/>
      <c r="W78" s="238">
        <f t="shared" si="32"/>
        <v>-13.146030140709327</v>
      </c>
      <c r="X78" s="118">
        <f t="shared" si="33"/>
        <v>6.1728198391738715E-9</v>
      </c>
      <c r="Y78" s="1"/>
      <c r="Z78" s="1"/>
      <c r="AA78" s="1"/>
      <c r="AB78" s="1"/>
      <c r="AC78" s="197"/>
      <c r="AD78" s="238">
        <f t="shared" si="34"/>
        <v>2.6992668676849045</v>
      </c>
      <c r="AE78" s="96">
        <f t="shared" si="35"/>
        <v>500.34189339873814</v>
      </c>
      <c r="AF78" s="98">
        <f t="shared" si="36"/>
        <v>3.0885203659415489E-6</v>
      </c>
      <c r="AG78" s="22">
        <v>7144.6285714285714</v>
      </c>
      <c r="AH78" s="21"/>
      <c r="AI78" s="162">
        <v>0.05</v>
      </c>
      <c r="AJ78" s="167">
        <f t="shared" si="37"/>
        <v>555.96701561967791</v>
      </c>
      <c r="AK78" s="168">
        <f t="shared" si="38"/>
        <v>0.50323669949682737</v>
      </c>
      <c r="AL78" s="151">
        <f t="shared" si="60"/>
        <v>12.850813754598743</v>
      </c>
      <c r="AM78" s="177">
        <f t="shared" si="61"/>
        <v>11119.340312393557</v>
      </c>
      <c r="AN78" s="134">
        <f t="shared" si="39"/>
        <v>4.0460790222113463</v>
      </c>
      <c r="AO78" s="119">
        <f t="shared" si="40"/>
        <v>6.0098234398231073E-2</v>
      </c>
      <c r="AP78">
        <f t="shared" si="41"/>
        <v>46</v>
      </c>
      <c r="AQ78" s="124">
        <f t="shared" si="42"/>
        <v>0.7583333333333333</v>
      </c>
      <c r="AR78" s="124"/>
      <c r="AS78" s="124"/>
      <c r="AT78" s="14">
        <f t="shared" si="43"/>
        <v>1</v>
      </c>
      <c r="AZ78" s="83"/>
      <c r="BA78" s="83"/>
      <c r="BB78" s="83"/>
      <c r="BC78" s="83"/>
      <c r="BD78" s="83"/>
      <c r="BE78" s="8">
        <f t="shared" si="44"/>
        <v>107.54898498811679</v>
      </c>
      <c r="BF78" s="16">
        <f t="shared" si="45"/>
        <v>5.1694306150923444</v>
      </c>
      <c r="BG78" s="16"/>
      <c r="BH78" s="189"/>
      <c r="BI78" s="6">
        <f t="shared" si="46"/>
        <v>9.7348574140372277E-2</v>
      </c>
      <c r="BJ78" s="151">
        <f t="shared" si="47"/>
        <v>66.43139005187254</v>
      </c>
      <c r="BK78" s="177">
        <f t="shared" si="48"/>
        <v>2150.9796997623357</v>
      </c>
      <c r="BL78" s="134">
        <f t="shared" si="49"/>
        <v>3.3326363116785824</v>
      </c>
      <c r="BM78" s="119">
        <f t="shared" si="50"/>
        <v>6.0098234398231073E-2</v>
      </c>
      <c r="BN78">
        <f t="shared" si="51"/>
        <v>46</v>
      </c>
      <c r="BO78" s="124">
        <f t="shared" si="52"/>
        <v>0.7583333333333333</v>
      </c>
      <c r="BP78" s="124"/>
      <c r="BQ78" s="124"/>
      <c r="BR78" s="14">
        <f t="shared" si="53"/>
        <v>1</v>
      </c>
      <c r="BX78" s="83"/>
      <c r="BY78" s="83"/>
      <c r="BZ78" s="83"/>
      <c r="CA78" s="83"/>
      <c r="CB78" s="83"/>
      <c r="CC78" s="151"/>
      <c r="CD78" s="177">
        <f t="shared" si="54"/>
        <v>142892.57142857142</v>
      </c>
      <c r="CE78" s="134">
        <f t="shared" si="55"/>
        <v>5.1550096516640389</v>
      </c>
      <c r="CF78" s="119">
        <f t="shared" si="56"/>
        <v>6.0098234398231073E-2</v>
      </c>
      <c r="CG78">
        <f t="shared" si="57"/>
        <v>55</v>
      </c>
      <c r="CH78" s="124">
        <f t="shared" si="58"/>
        <v>0.90833333333333333</v>
      </c>
      <c r="CI78" s="124"/>
      <c r="CJ78" s="124"/>
      <c r="CK78" s="14">
        <f t="shared" si="59"/>
        <v>3</v>
      </c>
      <c r="CL78" s="16"/>
    </row>
    <row r="79" spans="1:90" x14ac:dyDescent="0.2">
      <c r="A79" s="8">
        <v>23</v>
      </c>
      <c r="B79" t="s">
        <v>143</v>
      </c>
      <c r="C79">
        <v>2</v>
      </c>
      <c r="D79" t="s">
        <v>2</v>
      </c>
      <c r="E79" t="s">
        <v>1</v>
      </c>
      <c r="F79" s="6">
        <v>59</v>
      </c>
      <c r="G79" s="26" t="s">
        <v>29</v>
      </c>
      <c r="H79" s="1">
        <v>9</v>
      </c>
      <c r="I79" s="11">
        <v>204</v>
      </c>
      <c r="J79" s="13" t="s">
        <v>32</v>
      </c>
      <c r="K79" s="6" t="s">
        <v>184</v>
      </c>
      <c r="L79" s="1">
        <v>1</v>
      </c>
      <c r="M79" s="6">
        <v>1000</v>
      </c>
      <c r="N79" s="1">
        <v>92.14249284505685</v>
      </c>
      <c r="O79" s="18">
        <v>610591.05234897148</v>
      </c>
      <c r="P79" s="30">
        <v>2.73</v>
      </c>
      <c r="Q79" s="1"/>
      <c r="R79" s="1"/>
      <c r="S79" s="1"/>
      <c r="T79" s="1"/>
      <c r="U79" s="1"/>
      <c r="V79" s="197"/>
      <c r="W79" s="238">
        <f t="shared" si="32"/>
        <v>-12.136819549657748</v>
      </c>
      <c r="X79" s="118">
        <f t="shared" si="33"/>
        <v>6.3051321411143598E-8</v>
      </c>
      <c r="Y79" s="1"/>
      <c r="Z79" s="1"/>
      <c r="AA79" s="1"/>
      <c r="AB79" s="1"/>
      <c r="AC79" s="197"/>
      <c r="AD79" s="238">
        <f t="shared" si="34"/>
        <v>2.0359668676849045</v>
      </c>
      <c r="AE79" s="96">
        <f t="shared" si="35"/>
        <v>108.63427433950855</v>
      </c>
      <c r="AF79" s="98">
        <f t="shared" si="36"/>
        <v>6.8495345476467032E-6</v>
      </c>
      <c r="AG79" s="22">
        <v>47.274999999999999</v>
      </c>
      <c r="AH79" s="21"/>
      <c r="AI79" s="162">
        <v>0.05</v>
      </c>
      <c r="AJ79" s="167">
        <f t="shared" si="37"/>
        <v>8.1585221904761358</v>
      </c>
      <c r="AK79" s="168">
        <f t="shared" si="38"/>
        <v>7.3847326631970812E-3</v>
      </c>
      <c r="AL79" s="151">
        <f t="shared" si="60"/>
        <v>5.79455431955392</v>
      </c>
      <c r="AM79" s="177">
        <f t="shared" si="61"/>
        <v>163.17044380952271</v>
      </c>
      <c r="AN79" s="134">
        <f t="shared" si="39"/>
        <v>2.2126414947799438</v>
      </c>
      <c r="AO79" s="119">
        <f t="shared" si="40"/>
        <v>7.7424979973307712E-5</v>
      </c>
      <c r="AP79">
        <f t="shared" si="41"/>
        <v>14</v>
      </c>
      <c r="AQ79" s="124">
        <f t="shared" si="42"/>
        <v>0.22500000000000001</v>
      </c>
      <c r="AR79" s="124"/>
      <c r="AS79" s="124"/>
      <c r="AT79" s="14">
        <f t="shared" si="43"/>
        <v>1</v>
      </c>
      <c r="AZ79" s="83"/>
      <c r="BA79" s="83"/>
      <c r="BB79" s="83"/>
      <c r="BC79" s="83"/>
      <c r="BD79" s="83"/>
      <c r="BE79" s="8">
        <f t="shared" si="44"/>
        <v>2.0653114249740381</v>
      </c>
      <c r="BF79" s="16">
        <f t="shared" si="45"/>
        <v>3.9502624600930063</v>
      </c>
      <c r="BG79" s="16"/>
      <c r="BH79" s="189"/>
      <c r="BI79" s="6">
        <f t="shared" si="46"/>
        <v>1.8694283576851784E-3</v>
      </c>
      <c r="BJ79" s="151">
        <f t="shared" si="47"/>
        <v>22.890010401503623</v>
      </c>
      <c r="BK79" s="177">
        <f t="shared" si="48"/>
        <v>41.30622849948076</v>
      </c>
      <c r="BL79" s="134">
        <f t="shared" si="49"/>
        <v>1.6160155431576908</v>
      </c>
      <c r="BM79" s="119">
        <f t="shared" si="50"/>
        <v>7.7424979973307712E-5</v>
      </c>
      <c r="BN79">
        <f t="shared" si="51"/>
        <v>16</v>
      </c>
      <c r="BO79" s="124">
        <f t="shared" si="52"/>
        <v>0.25833333333333336</v>
      </c>
      <c r="BP79" s="124"/>
      <c r="BQ79" s="124"/>
      <c r="BR79" s="14">
        <f t="shared" si="53"/>
        <v>1</v>
      </c>
      <c r="BX79" s="83"/>
      <c r="BY79" s="83"/>
      <c r="BZ79" s="83"/>
      <c r="CA79" s="83"/>
      <c r="CB79" s="83"/>
      <c r="CC79" s="151"/>
      <c r="CD79" s="177">
        <f t="shared" si="54"/>
        <v>945.49999999999989</v>
      </c>
      <c r="CE79" s="134">
        <f t="shared" si="55"/>
        <v>2.9756615331810585</v>
      </c>
      <c r="CF79" s="119">
        <f t="shared" si="56"/>
        <v>7.7424979973307712E-5</v>
      </c>
      <c r="CG79">
        <f t="shared" si="57"/>
        <v>15</v>
      </c>
      <c r="CH79" s="124">
        <f t="shared" si="58"/>
        <v>0.24166666666666667</v>
      </c>
      <c r="CI79" s="124"/>
      <c r="CJ79" s="124"/>
      <c r="CK79" s="14">
        <f t="shared" si="59"/>
        <v>3</v>
      </c>
      <c r="CL79" s="16"/>
    </row>
    <row r="80" spans="1:90" x14ac:dyDescent="0.2">
      <c r="A80" s="8">
        <v>88</v>
      </c>
      <c r="B80" t="s">
        <v>143</v>
      </c>
      <c r="C80">
        <v>8</v>
      </c>
      <c r="D80" s="16" t="s">
        <v>28</v>
      </c>
      <c r="E80" t="s">
        <v>27</v>
      </c>
      <c r="F80" s="14" t="s">
        <v>26</v>
      </c>
      <c r="G80" s="26" t="s">
        <v>25</v>
      </c>
      <c r="H80" s="16">
        <v>18</v>
      </c>
      <c r="I80" s="11">
        <v>204</v>
      </c>
      <c r="J80" t="s">
        <v>32</v>
      </c>
      <c r="K80" s="6" t="s">
        <v>184</v>
      </c>
      <c r="L80" s="1">
        <v>1</v>
      </c>
      <c r="M80" s="6">
        <v>1000</v>
      </c>
      <c r="N80" s="1">
        <v>92.14249284505685</v>
      </c>
      <c r="O80" s="18">
        <v>610591.05234897148</v>
      </c>
      <c r="P80" s="30">
        <v>2.73</v>
      </c>
      <c r="Q80" s="1"/>
      <c r="R80" s="1"/>
      <c r="S80" s="1"/>
      <c r="T80" s="1"/>
      <c r="U80" s="1"/>
      <c r="V80" s="197"/>
      <c r="W80" s="238">
        <f t="shared" si="32"/>
        <v>-11.638859592488714</v>
      </c>
      <c r="X80" s="118">
        <f t="shared" si="33"/>
        <v>1.984513922098656E-7</v>
      </c>
      <c r="Y80" s="1"/>
      <c r="Z80" s="1"/>
      <c r="AA80" s="1"/>
      <c r="AB80" s="1"/>
      <c r="AC80" s="197"/>
      <c r="AD80" s="238">
        <f t="shared" si="34"/>
        <v>2.3797036075622859</v>
      </c>
      <c r="AE80" s="96">
        <f t="shared" si="35"/>
        <v>239.71963488923959</v>
      </c>
      <c r="AF80" s="98">
        <f t="shared" si="36"/>
        <v>4.7572695283810267E-5</v>
      </c>
      <c r="AG80" s="22">
        <v>1.1000000000000001</v>
      </c>
      <c r="AH80" s="21"/>
      <c r="AI80" s="162">
        <v>0.05</v>
      </c>
      <c r="AJ80" s="167">
        <f t="shared" si="37"/>
        <v>1.3184672414258327</v>
      </c>
      <c r="AK80" s="168">
        <f t="shared" si="38"/>
        <v>1.193418106342672E-3</v>
      </c>
      <c r="AL80" s="151">
        <f t="shared" si="60"/>
        <v>0.83430210887183276</v>
      </c>
      <c r="AM80" s="177">
        <f t="shared" si="61"/>
        <v>26.369344828516653</v>
      </c>
      <c r="AN80" s="134">
        <f t="shared" si="39"/>
        <v>1.4210993394675075</v>
      </c>
      <c r="AO80" s="119">
        <f t="shared" si="40"/>
        <v>1.8015331141330194E-6</v>
      </c>
      <c r="AP80">
        <f t="shared" si="41"/>
        <v>7</v>
      </c>
      <c r="AQ80" s="124">
        <f t="shared" si="42"/>
        <v>0.10833333333333334</v>
      </c>
      <c r="AR80" s="124"/>
      <c r="AS80" s="124"/>
      <c r="AT80" s="14">
        <f t="shared" si="43"/>
        <v>1</v>
      </c>
      <c r="AZ80" s="83"/>
      <c r="BA80" s="83"/>
      <c r="BB80" s="83"/>
      <c r="BC80" s="83"/>
      <c r="BD80" s="83"/>
      <c r="BE80" s="8">
        <f t="shared" si="44"/>
        <v>0.12221898946593118</v>
      </c>
      <c r="BF80" s="16">
        <f t="shared" si="45"/>
        <v>10.78774458197724</v>
      </c>
      <c r="BG80" s="16"/>
      <c r="BH80" s="189"/>
      <c r="BI80" s="6">
        <f t="shared" si="46"/>
        <v>1.1062721195090952E-4</v>
      </c>
      <c r="BJ80" s="151">
        <f t="shared" si="47"/>
        <v>9.0002380547143002</v>
      </c>
      <c r="BK80" s="177">
        <f t="shared" si="48"/>
        <v>2.4443797893186234</v>
      </c>
      <c r="BL80" s="134">
        <f t="shared" si="49"/>
        <v>0.38816868421826678</v>
      </c>
      <c r="BM80" s="119">
        <f t="shared" si="50"/>
        <v>1.8015331141330194E-6</v>
      </c>
      <c r="BN80">
        <f t="shared" si="51"/>
        <v>2</v>
      </c>
      <c r="BO80" s="124">
        <f t="shared" si="52"/>
        <v>2.5000000000000001E-2</v>
      </c>
      <c r="BP80" s="124"/>
      <c r="BQ80" s="124"/>
      <c r="BR80" s="14">
        <f t="shared" si="53"/>
        <v>1</v>
      </c>
      <c r="BX80" s="83"/>
      <c r="BY80" s="83"/>
      <c r="BZ80" s="83"/>
      <c r="CA80" s="83"/>
      <c r="CB80" s="83"/>
      <c r="CC80" s="151"/>
      <c r="CD80" s="177">
        <f t="shared" si="54"/>
        <v>22</v>
      </c>
      <c r="CE80" s="134">
        <f t="shared" si="55"/>
        <v>1.3424226808222062</v>
      </c>
      <c r="CF80" s="119">
        <f t="shared" si="56"/>
        <v>1.8015331141330194E-6</v>
      </c>
      <c r="CG80">
        <f t="shared" si="57"/>
        <v>1</v>
      </c>
      <c r="CH80" s="124">
        <f t="shared" si="58"/>
        <v>8.3333333333333332E-3</v>
      </c>
      <c r="CI80" s="124"/>
      <c r="CJ80" s="124"/>
      <c r="CK80" s="14">
        <f t="shared" si="59"/>
        <v>3</v>
      </c>
      <c r="CL80" s="16"/>
    </row>
    <row r="81" spans="1:90" x14ac:dyDescent="0.2">
      <c r="A81" s="8">
        <v>68</v>
      </c>
      <c r="B81" t="s">
        <v>143</v>
      </c>
      <c r="C81">
        <v>6</v>
      </c>
      <c r="D81" t="s">
        <v>6</v>
      </c>
      <c r="E81" t="s">
        <v>5</v>
      </c>
      <c r="F81" s="9">
        <v>2</v>
      </c>
      <c r="G81" s="26" t="s">
        <v>31</v>
      </c>
      <c r="H81" s="1">
        <v>9</v>
      </c>
      <c r="I81" s="11">
        <v>406</v>
      </c>
      <c r="J81" t="s">
        <v>30</v>
      </c>
      <c r="K81" s="6"/>
      <c r="L81" s="1">
        <v>0.1</v>
      </c>
      <c r="M81" s="6">
        <v>5</v>
      </c>
      <c r="N81" s="1">
        <v>62.5</v>
      </c>
      <c r="O81" s="18">
        <v>428000</v>
      </c>
      <c r="P81" s="30">
        <v>1.52</v>
      </c>
      <c r="Q81" s="1"/>
      <c r="R81" s="1"/>
      <c r="S81" s="1"/>
      <c r="T81" s="1"/>
      <c r="U81" s="1"/>
      <c r="V81" s="197"/>
      <c r="W81" s="238">
        <f t="shared" si="32"/>
        <v>-11.730717397680468</v>
      </c>
      <c r="X81" s="118">
        <f t="shared" si="33"/>
        <v>1.6061878811916905E-7</v>
      </c>
      <c r="Y81" s="1"/>
      <c r="Z81" s="1"/>
      <c r="AA81" s="1"/>
      <c r="AB81" s="1"/>
      <c r="AC81" s="197"/>
      <c r="AD81" s="238">
        <f t="shared" si="34"/>
        <v>0.83806686768490424</v>
      </c>
      <c r="AE81" s="96">
        <f t="shared" si="35"/>
        <v>6.8875833529222055</v>
      </c>
      <c r="AF81" s="98">
        <f t="shared" si="36"/>
        <v>1.1062752912161276E-6</v>
      </c>
      <c r="AG81" s="22">
        <v>97</v>
      </c>
      <c r="AH81" s="21"/>
      <c r="AI81" s="162">
        <v>0.05</v>
      </c>
      <c r="AJ81" s="167">
        <f t="shared" si="37"/>
        <v>2.7036710316947428</v>
      </c>
      <c r="AK81" s="168">
        <f t="shared" si="38"/>
        <v>2.4472431786240812E-3</v>
      </c>
      <c r="AL81" s="151">
        <f t="shared" si="60"/>
        <v>35.877145874214392</v>
      </c>
      <c r="AM81" s="177">
        <f t="shared" si="61"/>
        <v>54.073420633894855</v>
      </c>
      <c r="AN81" s="134">
        <f t="shared" si="39"/>
        <v>1.7329838435063905</v>
      </c>
      <c r="AO81" s="119">
        <f t="shared" si="40"/>
        <v>2.2663551401869158E-4</v>
      </c>
      <c r="AP81">
        <f t="shared" si="41"/>
        <v>10</v>
      </c>
      <c r="AQ81" s="124">
        <f t="shared" si="42"/>
        <v>0.15833333333333333</v>
      </c>
      <c r="AR81" s="124"/>
      <c r="AS81" s="124"/>
      <c r="AT81" s="14">
        <f t="shared" si="43"/>
        <v>1</v>
      </c>
      <c r="AZ81" s="83"/>
      <c r="BA81" s="83"/>
      <c r="BB81" s="83"/>
      <c r="BC81" s="83"/>
      <c r="BD81" s="83"/>
      <c r="BE81" s="8">
        <f t="shared" si="44"/>
        <v>2.7036710316947428</v>
      </c>
      <c r="BF81" s="16">
        <f t="shared" si="45"/>
        <v>1</v>
      </c>
      <c r="BG81" s="16"/>
      <c r="BH81" s="189"/>
      <c r="BI81" s="6">
        <f t="shared" si="46"/>
        <v>2.4472431786240812E-3</v>
      </c>
      <c r="BJ81" s="151">
        <f t="shared" si="47"/>
        <v>35.877145874214392</v>
      </c>
      <c r="BK81" s="177">
        <f t="shared" si="48"/>
        <v>54.073420633894855</v>
      </c>
      <c r="BL81" s="134">
        <f t="shared" si="49"/>
        <v>1.7329838435063905</v>
      </c>
      <c r="BM81" s="119">
        <f t="shared" si="50"/>
        <v>2.2663551401869158E-4</v>
      </c>
      <c r="BN81">
        <f t="shared" si="51"/>
        <v>17</v>
      </c>
      <c r="BO81" s="124">
        <f t="shared" si="52"/>
        <v>0.27500000000000002</v>
      </c>
      <c r="BP81" s="124"/>
      <c r="BQ81" s="124"/>
      <c r="BR81" s="14">
        <f t="shared" si="53"/>
        <v>1</v>
      </c>
      <c r="BX81" s="83"/>
      <c r="BY81" s="83"/>
      <c r="BZ81" s="83"/>
      <c r="CA81" s="83"/>
      <c r="CB81" s="83"/>
      <c r="CC81" s="151"/>
      <c r="CD81" s="177">
        <f t="shared" si="54"/>
        <v>1940</v>
      </c>
      <c r="CE81" s="134">
        <f t="shared" si="55"/>
        <v>3.287801729930226</v>
      </c>
      <c r="CF81" s="119">
        <f t="shared" si="56"/>
        <v>2.2663551401869158E-4</v>
      </c>
      <c r="CG81">
        <f t="shared" si="57"/>
        <v>17</v>
      </c>
      <c r="CH81" s="124">
        <f t="shared" si="58"/>
        <v>0.27500000000000002</v>
      </c>
      <c r="CI81" s="124"/>
      <c r="CJ81" s="124"/>
      <c r="CK81" s="14">
        <f t="shared" si="59"/>
        <v>3</v>
      </c>
      <c r="CL81" s="16"/>
    </row>
    <row r="82" spans="1:90" x14ac:dyDescent="0.2">
      <c r="A82" s="8">
        <v>25</v>
      </c>
      <c r="B82" t="s">
        <v>143</v>
      </c>
      <c r="C82">
        <v>2</v>
      </c>
      <c r="D82" t="s">
        <v>2</v>
      </c>
      <c r="E82" t="s">
        <v>1</v>
      </c>
      <c r="F82" s="6">
        <v>59</v>
      </c>
      <c r="G82" s="26" t="s">
        <v>29</v>
      </c>
      <c r="H82" s="1">
        <v>9</v>
      </c>
      <c r="I82" s="11">
        <v>-200</v>
      </c>
      <c r="J82" s="13" t="s">
        <v>24</v>
      </c>
      <c r="K82" s="6" t="s">
        <v>154</v>
      </c>
      <c r="L82" s="1">
        <v>1</v>
      </c>
      <c r="M82" s="6">
        <v>70</v>
      </c>
      <c r="N82" s="1">
        <v>106.18777634762812</v>
      </c>
      <c r="O82" s="18">
        <v>209092.85927557945</v>
      </c>
      <c r="P82" s="30">
        <v>3.1566666666666667</v>
      </c>
      <c r="Q82" s="1"/>
      <c r="R82" s="1"/>
      <c r="S82" s="1"/>
      <c r="T82" s="1"/>
      <c r="U82" s="1"/>
      <c r="V82" s="197"/>
      <c r="W82" s="238">
        <f t="shared" si="32"/>
        <v>-12.329239933642974</v>
      </c>
      <c r="X82" s="118">
        <f t="shared" si="33"/>
        <v>4.048310443333062E-8</v>
      </c>
      <c r="Y82" s="1"/>
      <c r="Z82" s="1"/>
      <c r="AA82" s="1"/>
      <c r="AB82" s="1"/>
      <c r="AC82" s="197"/>
      <c r="AD82" s="238">
        <f t="shared" si="34"/>
        <v>2.4583668676849046</v>
      </c>
      <c r="AE82" s="96">
        <f t="shared" si="35"/>
        <v>287.32066814479754</v>
      </c>
      <c r="AF82" s="98">
        <f t="shared" si="36"/>
        <v>1.1631632614360169E-5</v>
      </c>
      <c r="AG82" s="22">
        <v>2638</v>
      </c>
      <c r="AH82" s="21"/>
      <c r="AI82" s="162">
        <v>0.05</v>
      </c>
      <c r="AJ82" s="167">
        <f t="shared" si="37"/>
        <v>773.09767792094033</v>
      </c>
      <c r="AK82" s="168">
        <f t="shared" si="38"/>
        <v>0.69977375077181692</v>
      </c>
      <c r="AL82" s="151">
        <f t="shared" si="60"/>
        <v>3.4122466996593039</v>
      </c>
      <c r="AM82" s="177">
        <f t="shared" si="61"/>
        <v>15461.953558418805</v>
      </c>
      <c r="AN82" s="134">
        <f t="shared" si="39"/>
        <v>4.189264364487987</v>
      </c>
      <c r="AO82" s="119">
        <f t="shared" si="40"/>
        <v>1.2616404066306149E-2</v>
      </c>
      <c r="AP82">
        <f t="shared" si="41"/>
        <v>48</v>
      </c>
      <c r="AQ82" s="124">
        <f t="shared" si="42"/>
        <v>0.79166666666666663</v>
      </c>
      <c r="AR82" s="124"/>
      <c r="AS82" s="124"/>
      <c r="AT82" s="14">
        <f t="shared" si="43"/>
        <v>1</v>
      </c>
      <c r="AZ82" s="83"/>
      <c r="BA82" s="83"/>
      <c r="BB82" s="83"/>
      <c r="BC82" s="83"/>
      <c r="BD82" s="83"/>
      <c r="BE82" s="8">
        <f t="shared" si="44"/>
        <v>112.58922705371738</v>
      </c>
      <c r="BF82" s="16">
        <f t="shared" si="45"/>
        <v>6.866533310083816</v>
      </c>
      <c r="BG82" s="16"/>
      <c r="BH82" s="189"/>
      <c r="BI82" s="6">
        <f t="shared" si="46"/>
        <v>0.10191077785120002</v>
      </c>
      <c r="BJ82" s="151">
        <f t="shared" si="47"/>
        <v>23.430305625434176</v>
      </c>
      <c r="BK82" s="177">
        <f t="shared" si="48"/>
        <v>2251.7845410743475</v>
      </c>
      <c r="BL82" s="134">
        <f t="shared" si="49"/>
        <v>3.3525268332934166</v>
      </c>
      <c r="BM82" s="119">
        <f t="shared" si="50"/>
        <v>1.2616404066306149E-2</v>
      </c>
      <c r="BN82">
        <f t="shared" si="51"/>
        <v>47</v>
      </c>
      <c r="BO82" s="124">
        <f t="shared" si="52"/>
        <v>0.77500000000000002</v>
      </c>
      <c r="BP82" s="124"/>
      <c r="BQ82" s="124"/>
      <c r="BR82" s="14">
        <f t="shared" si="53"/>
        <v>1</v>
      </c>
      <c r="BX82" s="83"/>
      <c r="BY82" s="83"/>
      <c r="BZ82" s="83"/>
      <c r="CA82" s="83"/>
      <c r="CB82" s="83"/>
      <c r="CC82" s="151"/>
      <c r="CD82" s="177">
        <f t="shared" si="54"/>
        <v>52760</v>
      </c>
      <c r="CE82" s="134">
        <f t="shared" si="55"/>
        <v>4.7223047868743278</v>
      </c>
      <c r="CF82" s="119">
        <f t="shared" si="56"/>
        <v>1.2616404066306149E-2</v>
      </c>
      <c r="CG82">
        <f t="shared" si="57"/>
        <v>43</v>
      </c>
      <c r="CH82" s="124">
        <f t="shared" si="58"/>
        <v>0.70833333333333337</v>
      </c>
      <c r="CI82" s="124"/>
      <c r="CJ82" s="124"/>
      <c r="CK82" s="14">
        <f t="shared" si="59"/>
        <v>3</v>
      </c>
      <c r="CL82" s="16"/>
    </row>
    <row r="83" spans="1:90" x14ac:dyDescent="0.2">
      <c r="A83" s="8">
        <v>90</v>
      </c>
      <c r="B83" t="s">
        <v>143</v>
      </c>
      <c r="C83">
        <v>8</v>
      </c>
      <c r="D83" s="16" t="s">
        <v>28</v>
      </c>
      <c r="E83" t="s">
        <v>27</v>
      </c>
      <c r="F83" s="14" t="s">
        <v>26</v>
      </c>
      <c r="G83" s="26" t="s">
        <v>25</v>
      </c>
      <c r="H83" s="16">
        <v>18</v>
      </c>
      <c r="I83" s="11">
        <v>-200</v>
      </c>
      <c r="J83" t="s">
        <v>24</v>
      </c>
      <c r="K83" s="6" t="s">
        <v>154</v>
      </c>
      <c r="L83" s="1">
        <v>1</v>
      </c>
      <c r="M83" s="6">
        <v>70</v>
      </c>
      <c r="N83" s="1">
        <v>106.18777634762812</v>
      </c>
      <c r="O83" s="18">
        <v>209092.85927557945</v>
      </c>
      <c r="P83" s="30">
        <v>3.1566666666666667</v>
      </c>
      <c r="Q83" s="1"/>
      <c r="R83" s="1"/>
      <c r="S83" s="1"/>
      <c r="T83" s="1"/>
      <c r="U83" s="1"/>
      <c r="V83" s="197"/>
      <c r="W83" s="238">
        <f t="shared" si="32"/>
        <v>-11.83127997647394</v>
      </c>
      <c r="X83" s="118">
        <f t="shared" si="33"/>
        <v>1.274188749096056E-7</v>
      </c>
      <c r="Y83" s="1"/>
      <c r="Z83" s="1"/>
      <c r="AA83" s="1"/>
      <c r="AB83" s="1"/>
      <c r="AC83" s="197"/>
      <c r="AD83" s="238">
        <f t="shared" si="34"/>
        <v>2.8021036075622856</v>
      </c>
      <c r="AE83" s="96">
        <f t="shared" si="35"/>
        <v>634.02094856865938</v>
      </c>
      <c r="AF83" s="98">
        <f t="shared" si="36"/>
        <v>8.0786235935739501E-5</v>
      </c>
      <c r="AG83" s="22">
        <v>255.10499999999999</v>
      </c>
      <c r="AH83" s="21"/>
      <c r="AI83" s="162">
        <v>0.05</v>
      </c>
      <c r="AJ83" s="167">
        <f t="shared" si="37"/>
        <v>519.24849378651606</v>
      </c>
      <c r="AK83" s="168">
        <f t="shared" si="38"/>
        <v>0.47000072106899399</v>
      </c>
      <c r="AL83" s="151">
        <f t="shared" si="60"/>
        <v>0.49129656234474106</v>
      </c>
      <c r="AM83" s="177">
        <f t="shared" si="61"/>
        <v>10384.969875730321</v>
      </c>
      <c r="AN83" s="134">
        <f t="shared" si="39"/>
        <v>4.0164052410903697</v>
      </c>
      <c r="AO83" s="119">
        <f t="shared" si="40"/>
        <v>1.2200560118783284E-3</v>
      </c>
      <c r="AP83">
        <f t="shared" si="41"/>
        <v>44</v>
      </c>
      <c r="AQ83" s="124">
        <f t="shared" si="42"/>
        <v>0.72499999999999998</v>
      </c>
      <c r="AR83" s="124"/>
      <c r="AS83" s="124"/>
      <c r="AT83" s="14">
        <f t="shared" si="43"/>
        <v>1</v>
      </c>
      <c r="AZ83" s="83"/>
      <c r="BA83" s="83"/>
      <c r="BB83" s="83"/>
      <c r="BC83" s="83"/>
      <c r="BD83" s="83"/>
      <c r="BE83" s="8">
        <f t="shared" si="44"/>
        <v>27.690641090981874</v>
      </c>
      <c r="BF83" s="16">
        <f t="shared" si="45"/>
        <v>18.751768587821601</v>
      </c>
      <c r="BG83" s="16"/>
      <c r="BH83" s="189"/>
      <c r="BI83" s="6">
        <f t="shared" si="46"/>
        <v>2.5064340937645604E-2</v>
      </c>
      <c r="BJ83" s="151">
        <f t="shared" si="47"/>
        <v>9.2126794450808536</v>
      </c>
      <c r="BK83" s="177">
        <f t="shared" si="48"/>
        <v>553.81282181963741</v>
      </c>
      <c r="BL83" s="134">
        <f t="shared" si="49"/>
        <v>2.7433630062688117</v>
      </c>
      <c r="BM83" s="119">
        <f t="shared" si="50"/>
        <v>1.2200560118783284E-3</v>
      </c>
      <c r="BN83">
        <f t="shared" si="51"/>
        <v>34</v>
      </c>
      <c r="BO83" s="124">
        <f t="shared" si="52"/>
        <v>0.55833333333333335</v>
      </c>
      <c r="BP83" s="124"/>
      <c r="BQ83" s="124"/>
      <c r="BR83" s="14">
        <f t="shared" si="53"/>
        <v>1</v>
      </c>
      <c r="BX83" s="83"/>
      <c r="BY83" s="83"/>
      <c r="BZ83" s="83"/>
      <c r="CA83" s="83"/>
      <c r="CB83" s="83"/>
      <c r="CC83" s="151"/>
      <c r="CD83" s="177">
        <f t="shared" si="54"/>
        <v>5102.0999999999995</v>
      </c>
      <c r="CE83" s="134">
        <f t="shared" si="55"/>
        <v>3.7077489664302949</v>
      </c>
      <c r="CF83" s="119">
        <f t="shared" si="56"/>
        <v>1.2200560118783284E-3</v>
      </c>
      <c r="CG83">
        <f t="shared" si="57"/>
        <v>26</v>
      </c>
      <c r="CH83" s="124">
        <f t="shared" si="58"/>
        <v>0.42499999999999999</v>
      </c>
      <c r="CI83" s="124"/>
      <c r="CJ83" s="124"/>
      <c r="CK83" s="14">
        <f t="shared" si="59"/>
        <v>3</v>
      </c>
      <c r="CL83" s="16"/>
    </row>
    <row r="84" spans="1:90" x14ac:dyDescent="0.2">
      <c r="A84" s="8"/>
      <c r="F84" s="9"/>
      <c r="I84" s="8"/>
      <c r="K84" s="14"/>
      <c r="M84" s="9"/>
      <c r="N84" s="16"/>
      <c r="O84" s="16"/>
      <c r="X84" s="19"/>
      <c r="AF84" s="13"/>
      <c r="AG84" s="10"/>
      <c r="AH84" s="8"/>
      <c r="AJ84" s="167"/>
      <c r="AK84" s="168"/>
      <c r="AL84" s="8"/>
      <c r="AM84" s="92"/>
      <c r="AN84" s="97"/>
      <c r="AO84" s="97"/>
      <c r="AP84"/>
      <c r="AQ84"/>
      <c r="AR84"/>
      <c r="AT84" s="6"/>
      <c r="BE84" s="167"/>
      <c r="BF84" s="3"/>
      <c r="BG84" s="3"/>
      <c r="BH84" s="3"/>
      <c r="BI84" s="168"/>
      <c r="BJ84" s="8"/>
      <c r="BK84" s="92"/>
      <c r="BL84" s="97"/>
      <c r="BM84" s="97"/>
      <c r="BN84"/>
      <c r="BO84"/>
      <c r="BP84"/>
      <c r="BR84" s="6"/>
      <c r="CC84" s="8"/>
      <c r="CD84" s="92"/>
      <c r="CE84" s="97"/>
      <c r="CF84" s="97"/>
      <c r="CG84"/>
      <c r="CH84"/>
      <c r="CI84"/>
      <c r="CK84" s="6"/>
      <c r="CL84" s="1"/>
    </row>
    <row r="85" spans="1:90" x14ac:dyDescent="0.2">
      <c r="A85" s="12" t="s">
        <v>45</v>
      </c>
      <c r="F85" s="9"/>
      <c r="I85" s="8"/>
      <c r="K85" s="14"/>
      <c r="M85" s="9"/>
      <c r="N85" s="16"/>
      <c r="O85" s="16"/>
      <c r="X85" s="19"/>
      <c r="AF85" s="13"/>
      <c r="AG85" s="10"/>
      <c r="AH85" s="8"/>
      <c r="AJ85" s="167"/>
      <c r="AK85" s="168"/>
      <c r="AL85" s="8"/>
      <c r="AM85" s="92"/>
      <c r="AN85" s="97"/>
      <c r="AO85" s="97"/>
      <c r="AP85"/>
      <c r="AQ85"/>
      <c r="AR85"/>
      <c r="AT85" s="6"/>
      <c r="BE85" s="167"/>
      <c r="BF85" s="188"/>
      <c r="BG85" s="189"/>
      <c r="BH85" s="189"/>
      <c r="BI85" s="168"/>
      <c r="BJ85" s="8"/>
      <c r="BK85" s="92"/>
      <c r="BL85" s="97"/>
      <c r="BM85" s="97"/>
      <c r="BN85"/>
      <c r="BO85"/>
      <c r="BP85"/>
      <c r="BR85" s="6"/>
      <c r="CC85" s="8"/>
      <c r="CD85" s="92"/>
      <c r="CE85" s="97"/>
      <c r="CF85" s="97"/>
      <c r="CG85"/>
      <c r="CH85"/>
      <c r="CI85"/>
      <c r="CK85" s="6"/>
      <c r="CL85" s="1"/>
    </row>
    <row r="86" spans="1:90" x14ac:dyDescent="0.2">
      <c r="A86" s="8"/>
      <c r="B86" t="s">
        <v>149</v>
      </c>
      <c r="C86">
        <v>1</v>
      </c>
      <c r="D86" t="s">
        <v>138</v>
      </c>
      <c r="F86" s="9"/>
      <c r="G86" t="s">
        <v>111</v>
      </c>
      <c r="H86" s="1">
        <v>14</v>
      </c>
      <c r="I86" s="8">
        <v>403</v>
      </c>
      <c r="J86" t="s">
        <v>14</v>
      </c>
      <c r="K86" s="9"/>
      <c r="L86" s="1">
        <v>10</v>
      </c>
      <c r="M86" s="6">
        <v>40</v>
      </c>
      <c r="N86" s="1">
        <v>165.80749949115744</v>
      </c>
      <c r="O86" s="18">
        <v>118882.50367033854</v>
      </c>
      <c r="P86" s="30">
        <v>3.4</v>
      </c>
      <c r="R86" s="1"/>
      <c r="S86" s="1"/>
      <c r="T86" s="1"/>
      <c r="U86" s="1"/>
      <c r="V86" s="197"/>
      <c r="W86" s="238">
        <f>D$11*N86+D$12+D$13/(0.008314*LN(10))*(1/298-1/(H86+273))</f>
        <v>-12.865530048691927</v>
      </c>
      <c r="X86" s="118">
        <f t="shared" ref="X86:X88" si="62">24*60*60*10^W86</f>
        <v>1.1775617594352262E-8</v>
      </c>
      <c r="Y86" s="1"/>
      <c r="Z86" s="1"/>
      <c r="AA86" s="1"/>
      <c r="AB86" s="1"/>
      <c r="AC86" s="197"/>
      <c r="AD86" s="238">
        <f t="shared" ref="AD86:AD88" si="63">D$5*P86+D$6+D$7/(0.008314*LN(10))*(1/298-1/(H86+273))</f>
        <v>2.8928932542592714</v>
      </c>
      <c r="AE86" s="96">
        <f t="shared" ref="AE86:AE88" si="64">10^AD86</f>
        <v>781.43571099873827</v>
      </c>
      <c r="AF86" s="98">
        <f t="shared" ref="AF86:AF88" si="65">AE86*X86</f>
        <v>9.2018881072919114E-6</v>
      </c>
      <c r="AG86" s="22">
        <v>27000</v>
      </c>
      <c r="AH86" s="95">
        <v>47</v>
      </c>
      <c r="AI86" s="162">
        <v>0.02</v>
      </c>
      <c r="AJ86" s="167">
        <f>$E$38*AK86/$E$40</f>
        <v>6259.7878280897357</v>
      </c>
      <c r="AK86" s="168">
        <f>AF86*AG86*E$41/E$32</f>
        <v>5.6660824790966169</v>
      </c>
      <c r="AL86" s="151">
        <f t="shared" ref="AL86:AL88" si="66">$AG86/AJ86</f>
        <v>4.3132452315463601</v>
      </c>
      <c r="AM86" s="175">
        <f t="shared" ref="AM86:AM88" si="67">AJ86/$AH86</f>
        <v>133.18697506573906</v>
      </c>
      <c r="AN86" s="134">
        <f t="shared" ref="AN86:AN88" si="68">LOG(AM86)</f>
        <v>2.1244617553623435</v>
      </c>
      <c r="AO86" s="119">
        <f>$AG86/$O86</f>
        <v>0.22711500150494024</v>
      </c>
      <c r="AP86">
        <f>_xlfn.RANK.AVG(AM86,AM$51:AM$117,1)</f>
        <v>13</v>
      </c>
      <c r="AQ86" s="124">
        <f t="shared" ref="AQ86:AQ88" si="69">(AP86-0.5)/MAX(AP$51:AP$117)</f>
        <v>0.20833333333333334</v>
      </c>
      <c r="AR86">
        <f>_xlfn.RANK.AVG(AM86,(AM$51:AM$60,AM$86:AM$88),1)</f>
        <v>7</v>
      </c>
      <c r="AS86" s="124">
        <f t="shared" ref="AS86:AS88" si="70">(AR86-0.5)/MAX(AR$51:AR$117)</f>
        <v>0.5</v>
      </c>
      <c r="AT86" s="14">
        <f>IF(AND(AJ86&gt;$AI86,$AH86&gt;$AI86),0,IF(AND(AJ86&gt;$AI86,$AH86&lt;$AI86),1,IF(AND(AJ86&lt;$AI86,$AH86&gt;$AI86),2,3)))</f>
        <v>0</v>
      </c>
      <c r="AZ86" s="83"/>
      <c r="BA86" s="83"/>
      <c r="BB86" s="83"/>
      <c r="BC86" s="83"/>
      <c r="BD86" s="83"/>
      <c r="BE86" s="8">
        <f t="shared" ref="BE86:BE88" si="71">BI86*$E$38/$E$40</f>
        <v>687.6178181500195</v>
      </c>
      <c r="BF86" s="16">
        <f t="shared" ref="BF86:BF88" si="72">10^(MAX(0,((W86+12.5)/2+AD86)*0.73611+-1.03574))</f>
        <v>9.1035858333793485</v>
      </c>
      <c r="BG86" s="16"/>
      <c r="BH86" s="189"/>
      <c r="BI86" s="6">
        <f>(1/BF86)*AF86*AG86*E$41/E$32</f>
        <v>0.62240117057184985</v>
      </c>
      <c r="BJ86" s="151">
        <f>$AG86/BE86</f>
        <v>39.265998185796484</v>
      </c>
      <c r="BK86" s="175">
        <f>BE86/$AH86</f>
        <v>14.630166343617436</v>
      </c>
      <c r="BL86" s="134">
        <f t="shared" ref="BL86:BL88" si="73">LOG(BK86)</f>
        <v>1.1652492640408583</v>
      </c>
      <c r="BM86" s="119">
        <f>$AG86/$O86</f>
        <v>0.22711500150494024</v>
      </c>
      <c r="BN86">
        <f>_xlfn.RANK.AVG(BK86,BK$51:BK$117,1)</f>
        <v>12</v>
      </c>
      <c r="BO86" s="124">
        <f t="shared" ref="BO86:BO88" si="74">(BN86-0.5)/MAX(BN$51:BN$117)</f>
        <v>0.19166666666666668</v>
      </c>
      <c r="BP86">
        <f>_xlfn.RANK.AVG(BK86,(BK$51:BK$60,BK$86:BK$88),1)</f>
        <v>7</v>
      </c>
      <c r="BQ86" s="124">
        <f t="shared" ref="BQ86:BQ88" si="75">(BP86-0.5)/MAX(BP$51:BP$117)</f>
        <v>0.5</v>
      </c>
      <c r="BR86" s="14">
        <f>IF(AND(BE86&gt;$AI86,$AH86&gt;$AI86),0,IF(AND(BE86&gt;$AI86,$AH86&lt;$AI86),1,IF(AND(BE86&lt;$AI86,$AH86&gt;$AI86),2,3)))</f>
        <v>0</v>
      </c>
      <c r="BX86" s="83"/>
      <c r="BY86" s="83"/>
      <c r="BZ86" s="83"/>
      <c r="CA86" s="83"/>
      <c r="CB86" s="83"/>
      <c r="CC86" s="151"/>
      <c r="CD86" s="175">
        <f>AG86/AH86</f>
        <v>574.468085106383</v>
      </c>
      <c r="CE86" s="134">
        <f>LOG(CD86)</f>
        <v>2.7592659062232698</v>
      </c>
      <c r="CF86" s="119">
        <f>$AG86/$O86</f>
        <v>0.22711500150494024</v>
      </c>
      <c r="CG86">
        <f>_xlfn.RANK.AVG(CD86,CD$51:CD$117,1)</f>
        <v>14</v>
      </c>
      <c r="CH86" s="124">
        <f t="shared" ref="CH86:CJ88" si="76">(CG86-0.5)/MAX(CG$51:CG$117)</f>
        <v>0.22500000000000001</v>
      </c>
      <c r="CI86">
        <f>_xlfn.RANK.AVG(CD86,(CD$51:CD$60,CD$86:CD$88),1)</f>
        <v>9</v>
      </c>
      <c r="CJ86" s="124">
        <f t="shared" si="76"/>
        <v>0.65384615384615385</v>
      </c>
      <c r="CK86" s="14">
        <f>IF(AND(BC86&gt;$AI86,$AH86&gt;$AI86),0,IF(AND(BC86&gt;$AI86,$AH86&lt;$AI86),1,IF(AND(BC86&lt;$AI86,$AH86&gt;$AI86),2,3)))</f>
        <v>2</v>
      </c>
      <c r="CL86" s="16"/>
    </row>
    <row r="87" spans="1:90" x14ac:dyDescent="0.2">
      <c r="A87" s="8"/>
      <c r="B87" t="s">
        <v>149</v>
      </c>
      <c r="C87" t="s">
        <v>136</v>
      </c>
      <c r="D87" t="s">
        <v>137</v>
      </c>
      <c r="F87" s="9"/>
      <c r="G87" t="s">
        <v>136</v>
      </c>
      <c r="H87" s="1">
        <v>18</v>
      </c>
      <c r="I87" s="8">
        <v>200</v>
      </c>
      <c r="J87" t="s">
        <v>41</v>
      </c>
      <c r="K87" s="9"/>
      <c r="L87" s="1">
        <v>1</v>
      </c>
      <c r="M87" s="6">
        <v>30</v>
      </c>
      <c r="N87" s="1">
        <v>78.106666524406961</v>
      </c>
      <c r="O87" s="18">
        <v>1988898.8259336799</v>
      </c>
      <c r="P87" s="30">
        <v>2.13</v>
      </c>
      <c r="R87" s="1"/>
      <c r="S87" s="1"/>
      <c r="T87" s="1"/>
      <c r="U87" s="1"/>
      <c r="V87" s="197"/>
      <c r="W87" s="238">
        <f>D$11*N87+D$12+D$13/(0.008314*LN(10))*(1/298-1/(H87+273))</f>
        <v>-11.44656877189581</v>
      </c>
      <c r="X87" s="118">
        <f t="shared" si="62"/>
        <v>3.0899038862487123E-7</v>
      </c>
      <c r="Y87" s="1"/>
      <c r="Z87" s="1"/>
      <c r="AA87" s="1"/>
      <c r="AB87" s="1"/>
      <c r="AC87" s="197"/>
      <c r="AD87" s="238">
        <f t="shared" si="63"/>
        <v>1.7857036075622854</v>
      </c>
      <c r="AE87" s="96">
        <f t="shared" si="64"/>
        <v>61.052521827455486</v>
      </c>
      <c r="AF87" s="98">
        <f t="shared" si="65"/>
        <v>1.8864642445993903E-5</v>
      </c>
      <c r="AG87" s="183">
        <v>14</v>
      </c>
      <c r="AH87" s="95">
        <v>0.4</v>
      </c>
      <c r="AI87" s="162">
        <v>0.02</v>
      </c>
      <c r="AJ87" s="167">
        <f>$E$38*AK87/$E$40</f>
        <v>6.6541948663117809</v>
      </c>
      <c r="AK87" s="168">
        <f>AF87*AG87*E$41/E$32</f>
        <v>6.0230822481421899E-3</v>
      </c>
      <c r="AL87" s="151">
        <f t="shared" si="66"/>
        <v>2.1039359804261002</v>
      </c>
      <c r="AM87" s="175">
        <f t="shared" si="67"/>
        <v>16.635487165779452</v>
      </c>
      <c r="AN87" s="134">
        <f t="shared" si="68"/>
        <v>1.2210355235884796</v>
      </c>
      <c r="AO87" s="119">
        <f>$AG87/$O87</f>
        <v>7.0390709760853528E-6</v>
      </c>
      <c r="AP87">
        <f>_xlfn.RANK.AVG(AM87,AM$51:AM$117,1)</f>
        <v>6</v>
      </c>
      <c r="AQ87" s="124">
        <f t="shared" si="69"/>
        <v>9.166666666666666E-2</v>
      </c>
      <c r="AR87">
        <f>_xlfn.RANK.AVG(AM87,(AM$51:AM$60,AM$86:AM$88),1)</f>
        <v>2</v>
      </c>
      <c r="AS87" s="124">
        <f t="shared" si="70"/>
        <v>0.11538461538461539</v>
      </c>
      <c r="AT87" s="14">
        <f>IF(AND(AJ87&gt;$AI87,$AH87&gt;$AI87),0,IF(AND(AJ87&gt;$AI87,$AH87&lt;$AI87),1,IF(AND(AJ87&lt;$AI87,$AH87&gt;$AI87),2,3)))</f>
        <v>0</v>
      </c>
      <c r="AZ87" s="83"/>
      <c r="BA87" s="83"/>
      <c r="BB87" s="83"/>
      <c r="BC87" s="83"/>
      <c r="BD87" s="83"/>
      <c r="BE87" s="8">
        <f t="shared" si="71"/>
        <v>1.4343019923873943</v>
      </c>
      <c r="BF87" s="16">
        <f t="shared" si="72"/>
        <v>4.6393262378698088</v>
      </c>
      <c r="BG87" s="16"/>
      <c r="BH87" s="189"/>
      <c r="BI87" s="6">
        <f>(1/BF87)*AF87*AG87*E$41/E$32</f>
        <v>1.2982665885785489E-3</v>
      </c>
      <c r="BJ87" s="151">
        <f>$AG87/BE87</f>
        <v>9.7608453967891471</v>
      </c>
      <c r="BK87" s="175">
        <f>BE87/$AH87</f>
        <v>3.5857549809684857</v>
      </c>
      <c r="BL87" s="134">
        <f t="shared" si="73"/>
        <v>0.5545806103659181</v>
      </c>
      <c r="BM87" s="119">
        <f>$AG87/$O87</f>
        <v>7.0390709760853528E-6</v>
      </c>
      <c r="BN87">
        <f>_xlfn.RANK.AVG(BK87,BK$51:BK$117,1)</f>
        <v>6</v>
      </c>
      <c r="BO87" s="124">
        <f t="shared" si="74"/>
        <v>9.166666666666666E-2</v>
      </c>
      <c r="BP87">
        <f>_xlfn.RANK.AVG(BK87,(BK$51:BK$60,BK$86:BK$88),1)</f>
        <v>3</v>
      </c>
      <c r="BQ87" s="124">
        <f t="shared" si="75"/>
        <v>0.19230769230769232</v>
      </c>
      <c r="BR87" s="14">
        <f>IF(AND(BE87&gt;$AI87,$AH87&gt;$AI87),0,IF(AND(BE87&gt;$AI87,$AH87&lt;$AI87),1,IF(AND(BE87&lt;$AI87,$AH87&gt;$AI87),2,3)))</f>
        <v>0</v>
      </c>
      <c r="BX87" s="83"/>
      <c r="BY87" s="83"/>
      <c r="BZ87" s="83"/>
      <c r="CA87" s="83"/>
      <c r="CB87" s="83"/>
      <c r="CC87" s="151"/>
      <c r="CD87" s="175">
        <f>AG87/AH87</f>
        <v>35</v>
      </c>
      <c r="CE87" s="134">
        <f>LOG(CD87)</f>
        <v>1.5440680443502757</v>
      </c>
      <c r="CF87" s="119">
        <f>$AG87/$O87</f>
        <v>7.0390709760853528E-6</v>
      </c>
      <c r="CG87">
        <f>_xlfn.RANK.AVG(CD87,CD$51:CD$117,1)</f>
        <v>2.5</v>
      </c>
      <c r="CH87" s="124">
        <f t="shared" si="76"/>
        <v>3.3333333333333333E-2</v>
      </c>
      <c r="CI87">
        <f>_xlfn.RANK.AVG(CD87,(CD$51:CD$60,CD$86:CD$88),1)</f>
        <v>1</v>
      </c>
      <c r="CJ87" s="124">
        <f t="shared" si="76"/>
        <v>3.8461538461538464E-2</v>
      </c>
      <c r="CK87" s="14">
        <f>IF(AND(BC87&gt;$AI87,$AH87&gt;$AI87),0,IF(AND(BC87&gt;$AI87,$AH87&lt;$AI87),1,IF(AND(BC87&lt;$AI87,$AH87&gt;$AI87),2,3)))</f>
        <v>2</v>
      </c>
      <c r="CL87" s="16"/>
    </row>
    <row r="88" spans="1:90" x14ac:dyDescent="0.2">
      <c r="A88" s="8"/>
      <c r="B88" t="s">
        <v>149</v>
      </c>
      <c r="C88">
        <v>4</v>
      </c>
      <c r="D88" t="s">
        <v>126</v>
      </c>
      <c r="F88" s="9"/>
      <c r="G88" t="s">
        <v>111</v>
      </c>
      <c r="H88" s="1">
        <v>14</v>
      </c>
      <c r="I88" s="8">
        <v>305</v>
      </c>
      <c r="J88" t="s">
        <v>135</v>
      </c>
      <c r="K88" s="9" t="s">
        <v>150</v>
      </c>
      <c r="L88" s="1">
        <v>1</v>
      </c>
      <c r="M88" s="6">
        <v>5</v>
      </c>
      <c r="N88" s="1">
        <v>178.21</v>
      </c>
      <c r="O88" s="18">
        <v>850</v>
      </c>
      <c r="P88" s="30">
        <v>4.47</v>
      </c>
      <c r="R88" s="1"/>
      <c r="S88" s="1"/>
      <c r="T88" s="1"/>
      <c r="U88" s="1"/>
      <c r="V88" s="197"/>
      <c r="W88" s="238">
        <f>D$11*N88+D$12+D$13/(0.008314*LN(10))*(1/298-1/(H88+273))</f>
        <v>-13.03544430566307</v>
      </c>
      <c r="X88" s="118">
        <f t="shared" si="62"/>
        <v>7.9628665387646915E-9</v>
      </c>
      <c r="Y88" s="1"/>
      <c r="Z88" s="1"/>
      <c r="AA88" s="1"/>
      <c r="AB88" s="1"/>
      <c r="AC88" s="197"/>
      <c r="AD88" s="238">
        <f t="shared" si="63"/>
        <v>3.9521932542592708</v>
      </c>
      <c r="AE88" s="96">
        <f t="shared" si="64"/>
        <v>8957.6327754081158</v>
      </c>
      <c r="AF88" s="98">
        <f t="shared" si="65"/>
        <v>7.1328434293839178E-5</v>
      </c>
      <c r="AG88" s="123">
        <v>1700</v>
      </c>
      <c r="AH88" s="94">
        <v>18</v>
      </c>
      <c r="AI88" s="162">
        <v>0.02</v>
      </c>
      <c r="AJ88" s="167">
        <f>$E$38*AK88/$E$40</f>
        <v>3055.1357596252606</v>
      </c>
      <c r="AK88" s="168">
        <f>AF88*AG88*E$41/E$32</f>
        <v>2.7653734717965381</v>
      </c>
      <c r="AL88" s="151">
        <f t="shared" si="66"/>
        <v>0.55644008441985571</v>
      </c>
      <c r="AM88" s="175">
        <f t="shared" si="67"/>
        <v>169.7297644236256</v>
      </c>
      <c r="AN88" s="134">
        <f t="shared" si="68"/>
        <v>2.2297580084428987</v>
      </c>
      <c r="AO88" s="119">
        <f>$AG88/$O88</f>
        <v>2</v>
      </c>
      <c r="AP88">
        <f>_xlfn.RANK.AVG(AM88,AM$51:AM$117,1)</f>
        <v>15</v>
      </c>
      <c r="AQ88" s="124">
        <f t="shared" si="69"/>
        <v>0.24166666666666667</v>
      </c>
      <c r="AR88">
        <f>_xlfn.RANK.AVG(AM88,(AM$51:AM$60,AM$86:AM$88),1)</f>
        <v>8</v>
      </c>
      <c r="AS88" s="124">
        <f t="shared" si="70"/>
        <v>0.57692307692307687</v>
      </c>
      <c r="AT88" s="14">
        <f>IF(AND(AJ88&gt;$AI88,$AH88&gt;$AI88),0,IF(AND(AJ88&gt;$AI88,$AH88&lt;$AI88),1,IF(AND(AJ88&lt;$AI88,$AH88&gt;$AI88),2,3)))</f>
        <v>0</v>
      </c>
      <c r="AZ88" s="83"/>
      <c r="BA88" s="83"/>
      <c r="BB88" s="83"/>
      <c r="BC88" s="83"/>
      <c r="BD88" s="83"/>
      <c r="BE88" s="8">
        <f t="shared" si="71"/>
        <v>64.356807327265344</v>
      </c>
      <c r="BF88" s="16">
        <f t="shared" si="72"/>
        <v>47.47183532721526</v>
      </c>
      <c r="BG88" s="16"/>
      <c r="BH88" s="189"/>
      <c r="BI88" s="6">
        <f>(1/BF88)*AF88*AG88*E$41/E$32</f>
        <v>5.8252929399828152E-2</v>
      </c>
      <c r="BJ88" s="151">
        <f>$AG88/BE88</f>
        <v>26.415232057041145</v>
      </c>
      <c r="BK88" s="175">
        <f>BE88/$AH88</f>
        <v>3.5753781848480748</v>
      </c>
      <c r="BL88" s="134">
        <f t="shared" si="73"/>
        <v>0.55332198597092797</v>
      </c>
      <c r="BM88" s="119">
        <f>$AG88/$O88</f>
        <v>2</v>
      </c>
      <c r="BN88">
        <f>_xlfn.RANK.AVG(BK88,BK$51:BK$117,1)</f>
        <v>5</v>
      </c>
      <c r="BO88" s="124">
        <f t="shared" si="74"/>
        <v>7.4999999999999997E-2</v>
      </c>
      <c r="BP88">
        <f>_xlfn.RANK.AVG(BK88,(BK$51:BK$60,BK$86:BK$88),1)</f>
        <v>2</v>
      </c>
      <c r="BQ88" s="124">
        <f t="shared" si="75"/>
        <v>0.11538461538461539</v>
      </c>
      <c r="BR88" s="14">
        <f>IF(AND(BE88&gt;$AI88,$AH88&gt;$AI88),0,IF(AND(BE88&gt;$AI88,$AH88&lt;$AI88),1,IF(AND(BE88&lt;$AI88,$AH88&gt;$AI88),2,3)))</f>
        <v>0</v>
      </c>
      <c r="BX88" s="83"/>
      <c r="BY88" s="83"/>
      <c r="BZ88" s="83"/>
      <c r="CA88" s="83"/>
      <c r="CB88" s="83"/>
      <c r="CC88" s="151"/>
      <c r="CD88" s="175">
        <f>AG88/AH88</f>
        <v>94.444444444444443</v>
      </c>
      <c r="CE88" s="134">
        <f>LOG(CD88)</f>
        <v>1.9751764162749679</v>
      </c>
      <c r="CF88" s="119">
        <f>$AG88/$O88</f>
        <v>2</v>
      </c>
      <c r="CG88">
        <f>_xlfn.RANK.AVG(CD88,CD$51:CD$117,1)</f>
        <v>5</v>
      </c>
      <c r="CH88" s="124">
        <f t="shared" si="76"/>
        <v>7.4999999999999997E-2</v>
      </c>
      <c r="CI88">
        <f>_xlfn.RANK.AVG(CD88,(CD$51:CD$60,CD$86:CD$88),1)</f>
        <v>2</v>
      </c>
      <c r="CJ88" s="124">
        <f t="shared" si="76"/>
        <v>0.11538461538461539</v>
      </c>
      <c r="CK88" s="14">
        <f>IF(AND(BC88&gt;$AI88,$AH88&gt;$AI88),0,IF(AND(BC88&gt;$AI88,$AH88&lt;$AI88),1,IF(AND(BC88&lt;$AI88,$AH88&gt;$AI88),2,3)))</f>
        <v>2</v>
      </c>
      <c r="CL88" s="16"/>
    </row>
    <row r="89" spans="1:90" x14ac:dyDescent="0.2">
      <c r="A89" s="8"/>
      <c r="F89" s="9"/>
      <c r="I89" s="8"/>
      <c r="K89" s="9"/>
      <c r="M89" s="9"/>
      <c r="N89"/>
      <c r="O89"/>
      <c r="X89" s="9"/>
      <c r="AG89" s="123"/>
      <c r="AH89" s="103"/>
      <c r="AI89" s="16"/>
      <c r="AJ89" s="167"/>
      <c r="AK89" s="169"/>
      <c r="AL89" s="8"/>
      <c r="AN89" s="97"/>
      <c r="AO89" s="97"/>
      <c r="AP89"/>
      <c r="AQ89"/>
      <c r="AR89"/>
      <c r="AT89" s="14"/>
      <c r="BE89" s="167"/>
      <c r="BF89" s="3"/>
      <c r="BG89" s="3"/>
      <c r="BH89" s="3"/>
      <c r="BI89" s="169"/>
      <c r="BJ89" s="8"/>
      <c r="BL89" s="97"/>
      <c r="BM89" s="97"/>
      <c r="BN89"/>
      <c r="BO89"/>
      <c r="BP89"/>
      <c r="BR89" s="14"/>
      <c r="CC89" s="8"/>
      <c r="CE89" s="97"/>
      <c r="CF89" s="97"/>
      <c r="CG89"/>
      <c r="CH89"/>
      <c r="CI89"/>
      <c r="CK89" s="14"/>
      <c r="CL89" s="16"/>
    </row>
    <row r="90" spans="1:90" x14ac:dyDescent="0.2">
      <c r="A90" s="12" t="s">
        <v>42</v>
      </c>
      <c r="F90" s="9"/>
      <c r="I90" s="8"/>
      <c r="K90" s="9"/>
      <c r="M90" s="9"/>
      <c r="N90"/>
      <c r="O90"/>
      <c r="X90" s="9"/>
      <c r="AG90" s="22"/>
      <c r="AH90" s="8"/>
      <c r="AJ90" s="167"/>
      <c r="AK90" s="169"/>
      <c r="AL90" s="8"/>
      <c r="AN90" s="97"/>
      <c r="AO90" s="97"/>
      <c r="AP90"/>
      <c r="AQ90"/>
      <c r="AR90"/>
      <c r="AT90" s="14"/>
      <c r="BE90" s="167"/>
      <c r="BF90" s="3"/>
      <c r="BG90" s="3"/>
      <c r="BH90" s="3"/>
      <c r="BI90" s="169"/>
      <c r="BJ90" s="8"/>
      <c r="BL90" s="97"/>
      <c r="BM90" s="97"/>
      <c r="BN90"/>
      <c r="BO90"/>
      <c r="BP90"/>
      <c r="BR90" s="14"/>
      <c r="CC90" s="8"/>
      <c r="CE90" s="97"/>
      <c r="CF90" s="97"/>
      <c r="CG90"/>
      <c r="CH90"/>
      <c r="CI90"/>
      <c r="CK90" s="14"/>
      <c r="CL90" s="16"/>
    </row>
    <row r="91" spans="1:90" x14ac:dyDescent="0.2">
      <c r="A91" s="8"/>
      <c r="B91" t="s">
        <v>149</v>
      </c>
      <c r="C91">
        <v>15</v>
      </c>
      <c r="D91" t="s">
        <v>134</v>
      </c>
      <c r="F91" s="9"/>
      <c r="G91" t="s">
        <v>111</v>
      </c>
      <c r="H91" s="1">
        <v>14</v>
      </c>
      <c r="I91" s="8">
        <v>200</v>
      </c>
      <c r="J91" t="s">
        <v>41</v>
      </c>
      <c r="K91" s="9" t="s">
        <v>151</v>
      </c>
      <c r="L91" s="1">
        <v>1</v>
      </c>
      <c r="M91" s="6">
        <v>30</v>
      </c>
      <c r="N91" s="1">
        <v>78.106666524406961</v>
      </c>
      <c r="O91" s="18">
        <v>1988898.8259336799</v>
      </c>
      <c r="P91" s="30">
        <v>2.13</v>
      </c>
      <c r="R91" s="1"/>
      <c r="S91" s="1"/>
      <c r="T91" s="1"/>
      <c r="U91" s="1"/>
      <c r="V91" s="197"/>
      <c r="W91" s="238">
        <f t="shared" ref="W91:W117" si="77">D$11*N91+D$12+D$13/(0.008314*LN(10))*(1/298-1/(H91+273))</f>
        <v>-11.664028637047444</v>
      </c>
      <c r="X91" s="118">
        <f t="shared" ref="X91:X117" si="78">24*60*60*10^W91</f>
        <v>1.8727728532768038E-7</v>
      </c>
      <c r="Y91" s="1"/>
      <c r="Z91" s="1"/>
      <c r="AA91" s="1"/>
      <c r="AB91" s="1"/>
      <c r="AC91" s="197"/>
      <c r="AD91" s="238">
        <f t="shared" ref="AD91:AD117" si="79">D$5*P91+D$6+D$7/(0.008314*LN(10))*(1/298-1/(H91+273))</f>
        <v>1.635593254259271</v>
      </c>
      <c r="AE91" s="96">
        <f t="shared" ref="AE91:AE117" si="80">10^AD91</f>
        <v>43.210894262464336</v>
      </c>
      <c r="AF91" s="98">
        <f t="shared" ref="AF91:AF117" si="81">AE91*X91</f>
        <v>8.0924189740557613E-6</v>
      </c>
      <c r="AG91" s="22">
        <v>2400</v>
      </c>
      <c r="AH91" s="8"/>
      <c r="AI91" s="162">
        <v>0.02</v>
      </c>
      <c r="AJ91" s="167">
        <f t="shared" ref="AJ91:AJ117" si="82">$E$38*AK91/$E$40</f>
        <v>489.33750410012152</v>
      </c>
      <c r="AK91" s="168">
        <f t="shared" ref="AK91:AK117" si="83">AF91*AG91*E$41/E$32</f>
        <v>0.44292661899895008</v>
      </c>
      <c r="AL91" s="151">
        <f t="shared" ref="AL91:AL117" si="84">$AG91/AJ91</f>
        <v>4.9045903489730165</v>
      </c>
      <c r="AM91" s="177">
        <f t="shared" ref="AM91:AM117" si="85">AJ91/$AI91</f>
        <v>24466.875205006076</v>
      </c>
      <c r="AN91" s="134">
        <f t="shared" ref="AN91:AN117" si="86">LOG(AM91)</f>
        <v>4.3885785068311804</v>
      </c>
      <c r="AO91" s="119">
        <f t="shared" ref="AO91:AO117" si="87">$AG91/$O91</f>
        <v>1.2066978816146318E-3</v>
      </c>
      <c r="AP91">
        <f t="shared" ref="AP91:AP117" si="88">_xlfn.RANK.AVG(AM91,AM$51:AM$117,1)</f>
        <v>49</v>
      </c>
      <c r="AQ91" s="124">
        <f t="shared" ref="AQ91:AQ117" si="89">(AP91-0.5)/MAX(AP$51:AP$117)</f>
        <v>0.80833333333333335</v>
      </c>
      <c r="AR91" s="124"/>
      <c r="AS91" s="124"/>
      <c r="AT91" s="14">
        <f t="shared" ref="AT91:AT117" si="90">IF(AND(AJ91&gt;$AI91,$AH91&gt;$AI91),0,IF(AND(AJ91&gt;$AI91,$AH91&lt;$AI91),1,IF(AND(AJ91&lt;$AI91,$AH91&gt;$AI91),2,3)))</f>
        <v>1</v>
      </c>
      <c r="AZ91" s="83"/>
      <c r="BA91" s="83"/>
      <c r="BB91" s="83"/>
      <c r="BC91" s="83"/>
      <c r="BD91" s="83"/>
      <c r="BE91" s="8">
        <f t="shared" ref="BE91:BE117" si="91">BI91*$E$38/$E$40</f>
        <v>163.56429727196354</v>
      </c>
      <c r="BF91" s="16">
        <f t="shared" ref="BF91:BF117" si="92">10^(MAX(0,((W91+12.5)/2+AD91)*0.73611+-1.03574))</f>
        <v>2.9917134256168669</v>
      </c>
      <c r="BG91" s="16"/>
      <c r="BH91" s="189"/>
      <c r="BI91" s="6">
        <f t="shared" ref="BI91:BI117" si="93">(1/BF91)*AF91*AG91*E$41/E$32</f>
        <v>0.1480511519607271</v>
      </c>
      <c r="BJ91" s="151">
        <f t="shared" ref="BJ91:BJ117" si="94">$AG91/BE91</f>
        <v>14.673128794173486</v>
      </c>
      <c r="BK91" s="177">
        <f t="shared" ref="BK91:BK117" si="95">BE91/$AI91</f>
        <v>8178.2148635981766</v>
      </c>
      <c r="BL91" s="134">
        <f t="shared" ref="BL91:BL117" si="96">LOG(BK91)</f>
        <v>3.9126585164468857</v>
      </c>
      <c r="BM91" s="119">
        <f t="shared" ref="BM91:BM117" si="97">$AG91/$O91</f>
        <v>1.2066978816146318E-3</v>
      </c>
      <c r="BN91">
        <f t="shared" ref="BN91:BN117" si="98">_xlfn.RANK.AVG(BK91,BK$51:BK$117,1)</f>
        <v>55</v>
      </c>
      <c r="BO91" s="124">
        <f t="shared" ref="BO91:BO117" si="99">(BN91-0.5)/MAX(BN$51:BN$117)</f>
        <v>0.90833333333333333</v>
      </c>
      <c r="BP91" s="124"/>
      <c r="BQ91" s="124"/>
      <c r="BR91" s="14">
        <f t="shared" ref="BR91:BR117" si="100">IF(AND(BE91&gt;$AI91,$AH91&gt;$AI91),0,IF(AND(BE91&gt;$AI91,$AH91&lt;$AI91),1,IF(AND(BE91&lt;$AI91,$AH91&gt;$AI91),2,3)))</f>
        <v>1</v>
      </c>
      <c r="BX91" s="83"/>
      <c r="BY91" s="83"/>
      <c r="BZ91" s="83"/>
      <c r="CA91" s="83"/>
      <c r="CB91" s="83"/>
      <c r="CC91" s="151"/>
      <c r="CD91" s="177">
        <f t="shared" ref="CD91:CD117" si="101">AG91/AI91</f>
        <v>120000</v>
      </c>
      <c r="CE91" s="134">
        <f t="shared" ref="CE91:CE117" si="102">LOG(CD91)</f>
        <v>5.0791812460476251</v>
      </c>
      <c r="CF91" s="119">
        <f t="shared" ref="CF91:CF117" si="103">$AG91/$O91</f>
        <v>1.2066978816146318E-3</v>
      </c>
      <c r="CG91">
        <f t="shared" ref="CG91:CG117" si="104">_xlfn.RANK.AVG(CD91,CD$51:CD$117,1)</f>
        <v>50</v>
      </c>
      <c r="CH91" s="124">
        <f t="shared" ref="CH91:CH117" si="105">(CG91-0.5)/MAX(CG$51:CG$117)</f>
        <v>0.82499999999999996</v>
      </c>
      <c r="CI91" s="124"/>
      <c r="CJ91" s="124"/>
      <c r="CK91" s="14">
        <f t="shared" ref="CK91:CK117" si="106">IF(AND(BC91&gt;$AI91,$AH91&gt;$AI91),0,IF(AND(BC91&gt;$AI91,$AH91&lt;$AI91),1,IF(AND(BC91&lt;$AI91,$AH91&gt;$AI91),2,3)))</f>
        <v>3</v>
      </c>
      <c r="CL91" s="16"/>
    </row>
    <row r="92" spans="1:90" x14ac:dyDescent="0.2">
      <c r="A92" s="8"/>
      <c r="B92" t="s">
        <v>149</v>
      </c>
      <c r="C92">
        <v>27</v>
      </c>
      <c r="D92" t="s">
        <v>123</v>
      </c>
      <c r="F92" s="9"/>
      <c r="G92" t="s">
        <v>111</v>
      </c>
      <c r="H92" s="1">
        <v>14</v>
      </c>
      <c r="I92" s="8">
        <v>200</v>
      </c>
      <c r="J92" t="s">
        <v>41</v>
      </c>
      <c r="K92" s="9" t="s">
        <v>151</v>
      </c>
      <c r="L92" s="1">
        <v>1</v>
      </c>
      <c r="M92" s="6">
        <v>30</v>
      </c>
      <c r="N92" s="1">
        <v>78.106666524406961</v>
      </c>
      <c r="O92" s="18">
        <v>1988898.8259336799</v>
      </c>
      <c r="P92" s="30">
        <v>2.13</v>
      </c>
      <c r="R92" s="1"/>
      <c r="S92" s="1"/>
      <c r="T92" s="1"/>
      <c r="U92" s="1"/>
      <c r="V92" s="197"/>
      <c r="W92" s="238">
        <f t="shared" si="77"/>
        <v>-11.664028637047444</v>
      </c>
      <c r="X92" s="118">
        <f t="shared" si="78"/>
        <v>1.8727728532768038E-7</v>
      </c>
      <c r="Y92" s="1"/>
      <c r="Z92" s="1"/>
      <c r="AA92" s="1"/>
      <c r="AB92" s="1"/>
      <c r="AC92" s="197"/>
      <c r="AD92" s="238">
        <f t="shared" si="79"/>
        <v>1.635593254259271</v>
      </c>
      <c r="AE92" s="96">
        <f t="shared" si="80"/>
        <v>43.210894262464336</v>
      </c>
      <c r="AF92" s="98">
        <f t="shared" si="81"/>
        <v>8.0924189740557613E-6</v>
      </c>
      <c r="AG92" s="22">
        <v>230</v>
      </c>
      <c r="AH92" s="8"/>
      <c r="AI92" s="162">
        <v>0.02</v>
      </c>
      <c r="AJ92" s="167">
        <f t="shared" si="82"/>
        <v>46.894844142928314</v>
      </c>
      <c r="AK92" s="168">
        <f t="shared" si="83"/>
        <v>4.2447134320732716E-2</v>
      </c>
      <c r="AL92" s="151">
        <f t="shared" si="84"/>
        <v>4.9045903489730165</v>
      </c>
      <c r="AM92" s="177">
        <f t="shared" si="85"/>
        <v>2344.7422071464157</v>
      </c>
      <c r="AN92" s="134">
        <f t="shared" si="86"/>
        <v>3.3700951011371676</v>
      </c>
      <c r="AO92" s="119">
        <f t="shared" si="87"/>
        <v>1.1564188032140221E-4</v>
      </c>
      <c r="AP92">
        <f t="shared" si="88"/>
        <v>31</v>
      </c>
      <c r="AQ92" s="124">
        <f t="shared" si="89"/>
        <v>0.5083333333333333</v>
      </c>
      <c r="AR92" s="124"/>
      <c r="AS92" s="124"/>
      <c r="AT92" s="14">
        <f t="shared" si="90"/>
        <v>1</v>
      </c>
      <c r="AZ92" s="83"/>
      <c r="BA92" s="83"/>
      <c r="BB92" s="83"/>
      <c r="BC92" s="83"/>
      <c r="BD92" s="83"/>
      <c r="BE92" s="8">
        <f t="shared" si="91"/>
        <v>15.674911821896503</v>
      </c>
      <c r="BF92" s="16">
        <f t="shared" si="92"/>
        <v>2.9917134256168669</v>
      </c>
      <c r="BG92" s="16"/>
      <c r="BH92" s="189"/>
      <c r="BI92" s="6">
        <f t="shared" si="93"/>
        <v>1.4188235396236345E-2</v>
      </c>
      <c r="BJ92" s="151">
        <f t="shared" si="94"/>
        <v>14.67312879417349</v>
      </c>
      <c r="BK92" s="177">
        <f t="shared" si="95"/>
        <v>783.74559109482516</v>
      </c>
      <c r="BL92" s="134">
        <f t="shared" si="96"/>
        <v>2.8941751107528724</v>
      </c>
      <c r="BM92" s="119">
        <f t="shared" si="97"/>
        <v>1.1564188032140221E-4</v>
      </c>
      <c r="BN92">
        <f t="shared" si="98"/>
        <v>35</v>
      </c>
      <c r="BO92" s="124">
        <f t="shared" si="99"/>
        <v>0.57499999999999996</v>
      </c>
      <c r="BP92" s="124"/>
      <c r="BQ92" s="124"/>
      <c r="BR92" s="14">
        <f t="shared" si="100"/>
        <v>1</v>
      </c>
      <c r="BX92" s="83"/>
      <c r="BY92" s="83"/>
      <c r="BZ92" s="83"/>
      <c r="CA92" s="83"/>
      <c r="CB92" s="83"/>
      <c r="CC92" s="151"/>
      <c r="CD92" s="177">
        <f t="shared" si="101"/>
        <v>11500</v>
      </c>
      <c r="CE92" s="134">
        <f t="shared" si="102"/>
        <v>4.0606978403536118</v>
      </c>
      <c r="CF92" s="119">
        <f t="shared" si="103"/>
        <v>1.1564188032140221E-4</v>
      </c>
      <c r="CG92">
        <f t="shared" si="104"/>
        <v>32</v>
      </c>
      <c r="CH92" s="124">
        <f t="shared" si="105"/>
        <v>0.52500000000000002</v>
      </c>
      <c r="CI92" s="124"/>
      <c r="CJ92" s="124"/>
      <c r="CK92" s="14">
        <f t="shared" si="106"/>
        <v>3</v>
      </c>
      <c r="CL92" s="16"/>
    </row>
    <row r="93" spans="1:90" x14ac:dyDescent="0.2">
      <c r="A93" s="8"/>
      <c r="B93" t="s">
        <v>149</v>
      </c>
      <c r="C93">
        <v>3</v>
      </c>
      <c r="D93" t="s">
        <v>131</v>
      </c>
      <c r="F93" s="9"/>
      <c r="G93" t="s">
        <v>111</v>
      </c>
      <c r="H93" s="1">
        <v>14</v>
      </c>
      <c r="I93" s="8">
        <v>200</v>
      </c>
      <c r="J93" t="s">
        <v>41</v>
      </c>
      <c r="K93" s="9" t="s">
        <v>151</v>
      </c>
      <c r="L93" s="1">
        <v>1</v>
      </c>
      <c r="M93" s="6">
        <v>30</v>
      </c>
      <c r="N93" s="1">
        <v>78.106666524406961</v>
      </c>
      <c r="O93" s="18">
        <v>1988898.8259336799</v>
      </c>
      <c r="P93" s="30">
        <v>2.13</v>
      </c>
      <c r="R93" s="1"/>
      <c r="S93" s="1"/>
      <c r="T93" s="1"/>
      <c r="U93" s="1"/>
      <c r="V93" s="197"/>
      <c r="W93" s="238">
        <f t="shared" si="77"/>
        <v>-11.664028637047444</v>
      </c>
      <c r="X93" s="118">
        <f t="shared" si="78"/>
        <v>1.8727728532768038E-7</v>
      </c>
      <c r="Y93" s="1"/>
      <c r="Z93" s="1"/>
      <c r="AA93" s="1"/>
      <c r="AB93" s="1"/>
      <c r="AC93" s="197"/>
      <c r="AD93" s="238">
        <f t="shared" si="79"/>
        <v>1.635593254259271</v>
      </c>
      <c r="AE93" s="96">
        <f t="shared" si="80"/>
        <v>43.210894262464336</v>
      </c>
      <c r="AF93" s="98">
        <f t="shared" si="81"/>
        <v>8.0924189740557613E-6</v>
      </c>
      <c r="AG93" s="22">
        <v>98</v>
      </c>
      <c r="AH93" s="8"/>
      <c r="AI93" s="162">
        <v>0.02</v>
      </c>
      <c r="AJ93" s="167">
        <f t="shared" si="82"/>
        <v>19.981281417421631</v>
      </c>
      <c r="AK93" s="168">
        <f t="shared" si="83"/>
        <v>1.8086170275790462E-2</v>
      </c>
      <c r="AL93" s="151">
        <f t="shared" si="84"/>
        <v>4.9045903489730165</v>
      </c>
      <c r="AM93" s="177">
        <f t="shared" si="85"/>
        <v>999.06407087108153</v>
      </c>
      <c r="AN93" s="134">
        <f t="shared" si="86"/>
        <v>2.9995933408120696</v>
      </c>
      <c r="AO93" s="119">
        <f t="shared" si="87"/>
        <v>4.927349683259747E-5</v>
      </c>
      <c r="AP93">
        <f t="shared" si="88"/>
        <v>21</v>
      </c>
      <c r="AQ93" s="124">
        <f t="shared" si="89"/>
        <v>0.34166666666666667</v>
      </c>
      <c r="AR93" s="124"/>
      <c r="AS93" s="124"/>
      <c r="AT93" s="14">
        <f t="shared" si="90"/>
        <v>1</v>
      </c>
      <c r="AZ93" s="83"/>
      <c r="BA93" s="83"/>
      <c r="BB93" s="83"/>
      <c r="BC93" s="83"/>
      <c r="BD93" s="83"/>
      <c r="BE93" s="8">
        <f t="shared" si="91"/>
        <v>6.6788754719385102</v>
      </c>
      <c r="BF93" s="16">
        <f t="shared" si="92"/>
        <v>2.9917134256168669</v>
      </c>
      <c r="BG93" s="16"/>
      <c r="BH93" s="189"/>
      <c r="BI93" s="6">
        <f t="shared" si="93"/>
        <v>6.0454220383963555E-3</v>
      </c>
      <c r="BJ93" s="151">
        <f t="shared" si="94"/>
        <v>14.673128794173488</v>
      </c>
      <c r="BK93" s="177">
        <f t="shared" si="95"/>
        <v>333.9437735969255</v>
      </c>
      <c r="BL93" s="134">
        <f t="shared" si="96"/>
        <v>2.5236733504277744</v>
      </c>
      <c r="BM93" s="119">
        <f t="shared" si="97"/>
        <v>4.927349683259747E-5</v>
      </c>
      <c r="BN93">
        <f t="shared" si="98"/>
        <v>29</v>
      </c>
      <c r="BO93" s="124">
        <f t="shared" si="99"/>
        <v>0.47499999999999998</v>
      </c>
      <c r="BP93" s="124"/>
      <c r="BQ93" s="124"/>
      <c r="BR93" s="14">
        <f t="shared" si="100"/>
        <v>1</v>
      </c>
      <c r="BX93" s="83"/>
      <c r="BY93" s="83"/>
      <c r="BZ93" s="83"/>
      <c r="CA93" s="83"/>
      <c r="CB93" s="83"/>
      <c r="CC93" s="151"/>
      <c r="CD93" s="177">
        <f t="shared" si="101"/>
        <v>4900</v>
      </c>
      <c r="CE93" s="134">
        <f t="shared" si="102"/>
        <v>3.6901960800285138</v>
      </c>
      <c r="CF93" s="119">
        <f t="shared" si="103"/>
        <v>4.927349683259747E-5</v>
      </c>
      <c r="CG93">
        <f t="shared" si="104"/>
        <v>25</v>
      </c>
      <c r="CH93" s="124">
        <f t="shared" si="105"/>
        <v>0.40833333333333333</v>
      </c>
      <c r="CI93" s="124"/>
      <c r="CJ93" s="124"/>
      <c r="CK93" s="14">
        <f t="shared" si="106"/>
        <v>3</v>
      </c>
      <c r="CL93" s="16"/>
    </row>
    <row r="94" spans="1:90" x14ac:dyDescent="0.2">
      <c r="A94" s="8"/>
      <c r="B94" t="s">
        <v>149</v>
      </c>
      <c r="C94">
        <v>9</v>
      </c>
      <c r="D94" t="s">
        <v>131</v>
      </c>
      <c r="F94" s="9"/>
      <c r="G94" t="s">
        <v>111</v>
      </c>
      <c r="H94" s="1">
        <v>14</v>
      </c>
      <c r="I94" s="8">
        <v>201</v>
      </c>
      <c r="J94" t="s">
        <v>39</v>
      </c>
      <c r="K94" s="9" t="s">
        <v>152</v>
      </c>
      <c r="L94" s="1">
        <v>1</v>
      </c>
      <c r="M94" s="6">
        <v>150</v>
      </c>
      <c r="N94" s="1">
        <v>106.18666499232586</v>
      </c>
      <c r="O94" s="18">
        <v>159449.4296665228</v>
      </c>
      <c r="P94" s="30">
        <v>3.15</v>
      </c>
      <c r="R94" s="1"/>
      <c r="S94" s="1"/>
      <c r="T94" s="1"/>
      <c r="U94" s="1"/>
      <c r="V94" s="197"/>
      <c r="W94" s="238">
        <f t="shared" si="77"/>
        <v>-12.048724616057934</v>
      </c>
      <c r="X94" s="118">
        <f t="shared" si="78"/>
        <v>7.7230549773904414E-8</v>
      </c>
      <c r="Y94" s="1"/>
      <c r="Z94" s="1"/>
      <c r="AA94" s="1"/>
      <c r="AB94" s="1"/>
      <c r="AC94" s="197"/>
      <c r="AD94" s="238">
        <f t="shared" si="79"/>
        <v>2.6453932542592713</v>
      </c>
      <c r="AE94" s="96">
        <f t="shared" si="80"/>
        <v>441.97047109314457</v>
      </c>
      <c r="AF94" s="98">
        <f t="shared" si="81"/>
        <v>3.4133622466355085E-5</v>
      </c>
      <c r="AG94" s="22">
        <v>17000</v>
      </c>
      <c r="AH94" s="8"/>
      <c r="AI94" s="162">
        <v>0.02</v>
      </c>
      <c r="AJ94" s="167">
        <f t="shared" si="82"/>
        <v>14620.095286672622</v>
      </c>
      <c r="AK94" s="168">
        <f t="shared" si="83"/>
        <v>13.233462222923007</v>
      </c>
      <c r="AL94" s="151">
        <f t="shared" si="84"/>
        <v>1.1627831191700133</v>
      </c>
      <c r="AM94" s="177">
        <f t="shared" si="85"/>
        <v>731004.76433363103</v>
      </c>
      <c r="AN94" s="134">
        <f t="shared" si="86"/>
        <v>5.8639202074873582</v>
      </c>
      <c r="AO94" s="119">
        <f t="shared" si="87"/>
        <v>0.10661687555455229</v>
      </c>
      <c r="AP94">
        <f t="shared" si="88"/>
        <v>60</v>
      </c>
      <c r="AQ94" s="124">
        <f t="shared" si="89"/>
        <v>0.9916666666666667</v>
      </c>
      <c r="AR94" s="124"/>
      <c r="AS94" s="124"/>
      <c r="AT94" s="14">
        <f t="shared" si="90"/>
        <v>1</v>
      </c>
      <c r="AZ94" s="83"/>
      <c r="BA94" s="83"/>
      <c r="BB94" s="83"/>
      <c r="BC94" s="83"/>
      <c r="BD94" s="83"/>
      <c r="BE94" s="8">
        <f t="shared" si="91"/>
        <v>1222.6315915436001</v>
      </c>
      <c r="BF94" s="16">
        <f t="shared" si="92"/>
        <v>11.957890985144939</v>
      </c>
      <c r="BG94" s="16"/>
      <c r="BH94" s="189"/>
      <c r="BI94" s="6">
        <f t="shared" si="93"/>
        <v>1.1066719239506939</v>
      </c>
      <c r="BJ94" s="151">
        <f t="shared" si="94"/>
        <v>13.904433778401811</v>
      </c>
      <c r="BK94" s="177">
        <f t="shared" si="95"/>
        <v>61131.579577180004</v>
      </c>
      <c r="BL94" s="134">
        <f t="shared" si="96"/>
        <v>4.7862656176577687</v>
      </c>
      <c r="BM94" s="119">
        <f t="shared" si="97"/>
        <v>0.10661687555455229</v>
      </c>
      <c r="BN94">
        <f t="shared" si="98"/>
        <v>60</v>
      </c>
      <c r="BO94" s="124">
        <f t="shared" si="99"/>
        <v>0.9916666666666667</v>
      </c>
      <c r="BP94" s="124"/>
      <c r="BQ94" s="124"/>
      <c r="BR94" s="14">
        <f t="shared" si="100"/>
        <v>1</v>
      </c>
      <c r="BX94" s="83"/>
      <c r="BY94" s="83"/>
      <c r="BZ94" s="83"/>
      <c r="CA94" s="83"/>
      <c r="CB94" s="83"/>
      <c r="CC94" s="151"/>
      <c r="CD94" s="177">
        <f t="shared" si="101"/>
        <v>850000</v>
      </c>
      <c r="CE94" s="134">
        <f t="shared" si="102"/>
        <v>5.9294189257142929</v>
      </c>
      <c r="CF94" s="119">
        <f t="shared" si="103"/>
        <v>0.10661687555455229</v>
      </c>
      <c r="CG94">
        <f t="shared" si="104"/>
        <v>60</v>
      </c>
      <c r="CH94" s="124">
        <f t="shared" si="105"/>
        <v>0.9916666666666667</v>
      </c>
      <c r="CI94" s="124"/>
      <c r="CJ94" s="124"/>
      <c r="CK94" s="14">
        <f t="shared" si="106"/>
        <v>3</v>
      </c>
      <c r="CL94" s="16"/>
    </row>
    <row r="95" spans="1:90" x14ac:dyDescent="0.2">
      <c r="A95" s="8"/>
      <c r="B95" t="s">
        <v>149</v>
      </c>
      <c r="C95">
        <v>5</v>
      </c>
      <c r="D95" t="s">
        <v>131</v>
      </c>
      <c r="F95" s="9"/>
      <c r="G95" t="s">
        <v>111</v>
      </c>
      <c r="H95" s="1">
        <v>14</v>
      </c>
      <c r="I95" s="8">
        <v>310</v>
      </c>
      <c r="J95" t="s">
        <v>35</v>
      </c>
      <c r="K95" s="9">
        <v>0</v>
      </c>
      <c r="L95" s="1">
        <v>0.1</v>
      </c>
      <c r="M95" s="6">
        <v>70</v>
      </c>
      <c r="N95" s="1">
        <v>128.19</v>
      </c>
      <c r="O95" s="18">
        <v>31800.000000000004</v>
      </c>
      <c r="P95" s="30">
        <v>3.3</v>
      </c>
      <c r="R95" s="1"/>
      <c r="S95" s="1"/>
      <c r="T95" s="1"/>
      <c r="U95" s="1"/>
      <c r="V95" s="197"/>
      <c r="W95" s="238">
        <f t="shared" si="77"/>
        <v>-12.350170305663069</v>
      </c>
      <c r="X95" s="118">
        <f t="shared" si="78"/>
        <v>3.8578331161879212E-8</v>
      </c>
      <c r="Y95" s="1"/>
      <c r="Z95" s="1"/>
      <c r="AA95" s="1"/>
      <c r="AB95" s="1"/>
      <c r="AC95" s="197"/>
      <c r="AD95" s="238">
        <f t="shared" si="79"/>
        <v>2.7938932542592712</v>
      </c>
      <c r="AE95" s="96">
        <f t="shared" si="80"/>
        <v>622.14734806165097</v>
      </c>
      <c r="AF95" s="98">
        <f t="shared" si="81"/>
        <v>2.4001406425007302E-5</v>
      </c>
      <c r="AG95" s="22">
        <v>11000</v>
      </c>
      <c r="AH95" s="8"/>
      <c r="AI95" s="162">
        <v>0.02</v>
      </c>
      <c r="AJ95" s="167">
        <f t="shared" si="82"/>
        <v>6651.9392964242952</v>
      </c>
      <c r="AK95" s="168">
        <f t="shared" si="83"/>
        <v>6.0210406062573787</v>
      </c>
      <c r="AL95" s="151">
        <f t="shared" si="84"/>
        <v>1.6536530942056213</v>
      </c>
      <c r="AM95" s="177">
        <f t="shared" si="85"/>
        <v>332596.96482121473</v>
      </c>
      <c r="AN95" s="134">
        <f t="shared" si="86"/>
        <v>5.5219182816621757</v>
      </c>
      <c r="AO95" s="119">
        <f t="shared" si="87"/>
        <v>0.34591194968553457</v>
      </c>
      <c r="AP95">
        <f t="shared" si="88"/>
        <v>58</v>
      </c>
      <c r="AQ95" s="124">
        <f t="shared" si="89"/>
        <v>0.95833333333333337</v>
      </c>
      <c r="AR95" s="124"/>
      <c r="AS95" s="124"/>
      <c r="AT95" s="14">
        <f t="shared" si="90"/>
        <v>1</v>
      </c>
      <c r="AZ95" s="83"/>
      <c r="BA95" s="83"/>
      <c r="BB95" s="83"/>
      <c r="BC95" s="83"/>
      <c r="BD95" s="83"/>
      <c r="BE95" s="8">
        <f t="shared" si="91"/>
        <v>558.38011752436489</v>
      </c>
      <c r="BF95" s="16">
        <f t="shared" si="92"/>
        <v>11.912922913366515</v>
      </c>
      <c r="BG95" s="16"/>
      <c r="BH95" s="189"/>
      <c r="BI95" s="6">
        <f t="shared" si="93"/>
        <v>0.50542093238105834</v>
      </c>
      <c r="BJ95" s="151">
        <f t="shared" si="94"/>
        <v>19.699841836721586</v>
      </c>
      <c r="BK95" s="177">
        <f t="shared" si="95"/>
        <v>27919.005876218245</v>
      </c>
      <c r="BL95" s="134">
        <f t="shared" si="96"/>
        <v>4.4458999501202037</v>
      </c>
      <c r="BM95" s="119">
        <f t="shared" si="97"/>
        <v>0.34591194968553457</v>
      </c>
      <c r="BN95">
        <f t="shared" si="98"/>
        <v>58</v>
      </c>
      <c r="BO95" s="124">
        <f t="shared" si="99"/>
        <v>0.95833333333333337</v>
      </c>
      <c r="BP95" s="124"/>
      <c r="BQ95" s="124"/>
      <c r="BR95" s="14">
        <f t="shared" si="100"/>
        <v>1</v>
      </c>
      <c r="BX95" s="83"/>
      <c r="BY95" s="83"/>
      <c r="BZ95" s="83"/>
      <c r="CA95" s="83"/>
      <c r="CB95" s="83"/>
      <c r="CC95" s="151"/>
      <c r="CD95" s="177">
        <f t="shared" si="101"/>
        <v>550000</v>
      </c>
      <c r="CE95" s="134">
        <f t="shared" si="102"/>
        <v>5.7403626894942441</v>
      </c>
      <c r="CF95" s="119">
        <f t="shared" si="103"/>
        <v>0.34591194968553457</v>
      </c>
      <c r="CG95">
        <f t="shared" si="104"/>
        <v>59</v>
      </c>
      <c r="CH95" s="124">
        <f t="shared" si="105"/>
        <v>0.97499999999999998</v>
      </c>
      <c r="CI95" s="124"/>
      <c r="CJ95" s="124"/>
      <c r="CK95" s="14">
        <f t="shared" si="106"/>
        <v>3</v>
      </c>
      <c r="CL95" s="16"/>
    </row>
    <row r="96" spans="1:90" x14ac:dyDescent="0.2">
      <c r="A96" s="8"/>
      <c r="B96" t="s">
        <v>149</v>
      </c>
      <c r="C96">
        <v>6</v>
      </c>
      <c r="D96" t="s">
        <v>133</v>
      </c>
      <c r="F96" s="9"/>
      <c r="G96" t="s">
        <v>111</v>
      </c>
      <c r="H96" s="1">
        <v>14</v>
      </c>
      <c r="I96" s="8">
        <v>310</v>
      </c>
      <c r="J96" t="s">
        <v>35</v>
      </c>
      <c r="K96" s="9">
        <v>0</v>
      </c>
      <c r="L96" s="1">
        <v>0.1</v>
      </c>
      <c r="M96" s="6">
        <v>70</v>
      </c>
      <c r="N96" s="1">
        <v>128.19</v>
      </c>
      <c r="O96" s="18">
        <v>31800.000000000004</v>
      </c>
      <c r="P96" s="30">
        <v>3.3</v>
      </c>
      <c r="R96" s="1"/>
      <c r="S96" s="1"/>
      <c r="T96" s="1"/>
      <c r="U96" s="1"/>
      <c r="V96" s="197"/>
      <c r="W96" s="238">
        <f t="shared" si="77"/>
        <v>-12.350170305663069</v>
      </c>
      <c r="X96" s="118">
        <f t="shared" si="78"/>
        <v>3.8578331161879212E-8</v>
      </c>
      <c r="Y96" s="1"/>
      <c r="Z96" s="1"/>
      <c r="AA96" s="1"/>
      <c r="AB96" s="1"/>
      <c r="AC96" s="197"/>
      <c r="AD96" s="238">
        <f t="shared" si="79"/>
        <v>2.7938932542592712</v>
      </c>
      <c r="AE96" s="96">
        <f t="shared" si="80"/>
        <v>622.14734806165097</v>
      </c>
      <c r="AF96" s="98">
        <f t="shared" si="81"/>
        <v>2.4001406425007302E-5</v>
      </c>
      <c r="AG96" s="22">
        <v>7100</v>
      </c>
      <c r="AH96" s="8"/>
      <c r="AI96" s="162">
        <v>0.02</v>
      </c>
      <c r="AJ96" s="167">
        <f t="shared" si="82"/>
        <v>4293.5244549647723</v>
      </c>
      <c r="AK96" s="168">
        <f t="shared" si="83"/>
        <v>3.8863080276752169</v>
      </c>
      <c r="AL96" s="151">
        <f t="shared" si="84"/>
        <v>1.6536530942056213</v>
      </c>
      <c r="AM96" s="177">
        <f t="shared" si="85"/>
        <v>214676.22274823862</v>
      </c>
      <c r="AN96" s="134">
        <f t="shared" si="86"/>
        <v>5.3317839452230258</v>
      </c>
      <c r="AO96" s="119">
        <f t="shared" si="87"/>
        <v>0.22327044025157231</v>
      </c>
      <c r="AP96">
        <f t="shared" si="88"/>
        <v>57</v>
      </c>
      <c r="AQ96" s="124">
        <f t="shared" si="89"/>
        <v>0.94166666666666665</v>
      </c>
      <c r="AR96" s="124"/>
      <c r="AS96" s="124"/>
      <c r="AT96" s="14">
        <f t="shared" si="90"/>
        <v>1</v>
      </c>
      <c r="AZ96" s="83"/>
      <c r="BA96" s="83"/>
      <c r="BB96" s="83"/>
      <c r="BC96" s="83"/>
      <c r="BD96" s="83"/>
      <c r="BE96" s="8">
        <f t="shared" si="91"/>
        <v>360.4089849475447</v>
      </c>
      <c r="BF96" s="16">
        <f t="shared" si="92"/>
        <v>11.912922913366515</v>
      </c>
      <c r="BG96" s="16"/>
      <c r="BH96" s="189"/>
      <c r="BI96" s="6">
        <f t="shared" si="93"/>
        <v>0.3262262381732286</v>
      </c>
      <c r="BJ96" s="151">
        <f t="shared" si="94"/>
        <v>19.699841836721582</v>
      </c>
      <c r="BK96" s="177">
        <f t="shared" si="95"/>
        <v>18020.449247377233</v>
      </c>
      <c r="BL96" s="134">
        <f t="shared" si="96"/>
        <v>4.2557656136810547</v>
      </c>
      <c r="BM96" s="119">
        <f t="shared" si="97"/>
        <v>0.22327044025157231</v>
      </c>
      <c r="BN96">
        <f t="shared" si="98"/>
        <v>57</v>
      </c>
      <c r="BO96" s="124">
        <f t="shared" si="99"/>
        <v>0.94166666666666665</v>
      </c>
      <c r="BP96" s="124"/>
      <c r="BQ96" s="124"/>
      <c r="BR96" s="14">
        <f t="shared" si="100"/>
        <v>1</v>
      </c>
      <c r="BX96" s="83"/>
      <c r="BY96" s="83"/>
      <c r="BZ96" s="83"/>
      <c r="CA96" s="83"/>
      <c r="CB96" s="83"/>
      <c r="CC96" s="151"/>
      <c r="CD96" s="177">
        <f t="shared" si="101"/>
        <v>355000</v>
      </c>
      <c r="CE96" s="134">
        <f t="shared" si="102"/>
        <v>5.5502283530550942</v>
      </c>
      <c r="CF96" s="119">
        <f t="shared" si="103"/>
        <v>0.22327044025157231</v>
      </c>
      <c r="CG96">
        <f t="shared" si="104"/>
        <v>57</v>
      </c>
      <c r="CH96" s="124">
        <f t="shared" si="105"/>
        <v>0.94166666666666665</v>
      </c>
      <c r="CI96" s="124"/>
      <c r="CJ96" s="124"/>
      <c r="CK96" s="14">
        <f t="shared" si="106"/>
        <v>3</v>
      </c>
      <c r="CL96" s="16"/>
    </row>
    <row r="97" spans="1:90" x14ac:dyDescent="0.2">
      <c r="A97" s="8"/>
      <c r="B97" t="s">
        <v>149</v>
      </c>
      <c r="C97">
        <v>7</v>
      </c>
      <c r="D97" t="s">
        <v>132</v>
      </c>
      <c r="F97" s="9"/>
      <c r="G97" t="s">
        <v>111</v>
      </c>
      <c r="H97" s="1">
        <v>14</v>
      </c>
      <c r="I97" s="8">
        <v>310</v>
      </c>
      <c r="J97" t="s">
        <v>35</v>
      </c>
      <c r="K97" s="9">
        <v>0</v>
      </c>
      <c r="L97" s="1">
        <v>0.1</v>
      </c>
      <c r="M97" s="6">
        <v>70</v>
      </c>
      <c r="N97" s="1">
        <v>128.19</v>
      </c>
      <c r="O97" s="18">
        <v>31800.000000000004</v>
      </c>
      <c r="P97" s="30">
        <v>3.3</v>
      </c>
      <c r="R97" s="1"/>
      <c r="S97" s="1"/>
      <c r="T97" s="1"/>
      <c r="U97" s="1"/>
      <c r="V97" s="197"/>
      <c r="W97" s="238">
        <f t="shared" si="77"/>
        <v>-12.350170305663069</v>
      </c>
      <c r="X97" s="118">
        <f t="shared" si="78"/>
        <v>3.8578331161879212E-8</v>
      </c>
      <c r="Y97" s="1"/>
      <c r="Z97" s="1"/>
      <c r="AA97" s="1"/>
      <c r="AB97" s="1"/>
      <c r="AC97" s="197"/>
      <c r="AD97" s="238">
        <f t="shared" si="79"/>
        <v>2.7938932542592712</v>
      </c>
      <c r="AE97" s="96">
        <f t="shared" si="80"/>
        <v>622.14734806165097</v>
      </c>
      <c r="AF97" s="98">
        <f t="shared" si="81"/>
        <v>2.4001406425007302E-5</v>
      </c>
      <c r="AG97" s="22">
        <v>2500</v>
      </c>
      <c r="AH97" s="8"/>
      <c r="AI97" s="162">
        <v>0.02</v>
      </c>
      <c r="AJ97" s="167">
        <f t="shared" si="82"/>
        <v>1511.8043855509763</v>
      </c>
      <c r="AK97" s="168">
        <f t="shared" si="83"/>
        <v>1.3684183196039497</v>
      </c>
      <c r="AL97" s="151">
        <f t="shared" si="84"/>
        <v>1.6536530942056211</v>
      </c>
      <c r="AM97" s="177">
        <f t="shared" si="85"/>
        <v>75590.219277548822</v>
      </c>
      <c r="AN97" s="134">
        <f t="shared" si="86"/>
        <v>4.8784656051759887</v>
      </c>
      <c r="AO97" s="119">
        <f t="shared" si="87"/>
        <v>7.8616352201257858E-2</v>
      </c>
      <c r="AP97">
        <f t="shared" si="88"/>
        <v>55</v>
      </c>
      <c r="AQ97" s="124">
        <f t="shared" si="89"/>
        <v>0.90833333333333333</v>
      </c>
      <c r="AR97" s="124"/>
      <c r="AS97" s="124"/>
      <c r="AT97" s="14">
        <f t="shared" si="90"/>
        <v>1</v>
      </c>
      <c r="AZ97" s="83"/>
      <c r="BA97" s="83"/>
      <c r="BB97" s="83"/>
      <c r="BC97" s="83"/>
      <c r="BD97" s="83"/>
      <c r="BE97" s="8">
        <f t="shared" si="91"/>
        <v>126.90457216462841</v>
      </c>
      <c r="BF97" s="16">
        <f t="shared" si="92"/>
        <v>11.912922913366515</v>
      </c>
      <c r="BG97" s="16"/>
      <c r="BH97" s="189"/>
      <c r="BI97" s="6">
        <f t="shared" si="93"/>
        <v>0.1148683937229678</v>
      </c>
      <c r="BJ97" s="151">
        <f t="shared" si="94"/>
        <v>19.699841836721582</v>
      </c>
      <c r="BK97" s="177">
        <f t="shared" si="95"/>
        <v>6345.2286082314204</v>
      </c>
      <c r="BL97" s="134">
        <f t="shared" si="96"/>
        <v>3.8024472736340167</v>
      </c>
      <c r="BM97" s="119">
        <f t="shared" si="97"/>
        <v>7.8616352201257858E-2</v>
      </c>
      <c r="BN97">
        <f t="shared" si="98"/>
        <v>54</v>
      </c>
      <c r="BO97" s="124">
        <f t="shared" si="99"/>
        <v>0.89166666666666672</v>
      </c>
      <c r="BP97" s="124"/>
      <c r="BQ97" s="124"/>
      <c r="BR97" s="14">
        <f t="shared" si="100"/>
        <v>1</v>
      </c>
      <c r="BX97" s="83"/>
      <c r="BY97" s="83"/>
      <c r="BZ97" s="83"/>
      <c r="CA97" s="83"/>
      <c r="CB97" s="83"/>
      <c r="CC97" s="151"/>
      <c r="CD97" s="177">
        <f t="shared" si="101"/>
        <v>125000</v>
      </c>
      <c r="CE97" s="134">
        <f t="shared" si="102"/>
        <v>5.0969100130080562</v>
      </c>
      <c r="CF97" s="119">
        <f t="shared" si="103"/>
        <v>7.8616352201257858E-2</v>
      </c>
      <c r="CG97">
        <f t="shared" si="104"/>
        <v>51</v>
      </c>
      <c r="CH97" s="124">
        <f t="shared" si="105"/>
        <v>0.84166666666666667</v>
      </c>
      <c r="CI97" s="124"/>
      <c r="CJ97" s="124"/>
      <c r="CK97" s="14">
        <f t="shared" si="106"/>
        <v>3</v>
      </c>
      <c r="CL97" s="16"/>
    </row>
    <row r="98" spans="1:90" x14ac:dyDescent="0.2">
      <c r="A98" s="8"/>
      <c r="B98" t="s">
        <v>149</v>
      </c>
      <c r="C98">
        <v>8</v>
      </c>
      <c r="D98" t="s">
        <v>131</v>
      </c>
      <c r="F98" s="9"/>
      <c r="G98" t="s">
        <v>111</v>
      </c>
      <c r="H98" s="1">
        <v>14</v>
      </c>
      <c r="I98" s="8">
        <v>310</v>
      </c>
      <c r="J98" t="s">
        <v>35</v>
      </c>
      <c r="K98" s="9">
        <v>0</v>
      </c>
      <c r="L98" s="1">
        <v>0.1</v>
      </c>
      <c r="M98" s="6">
        <v>70</v>
      </c>
      <c r="N98" s="1">
        <v>128.19</v>
      </c>
      <c r="O98" s="18">
        <v>31800.000000000004</v>
      </c>
      <c r="P98" s="30">
        <v>3.3</v>
      </c>
      <c r="R98" s="1"/>
      <c r="S98" s="1"/>
      <c r="T98" s="1"/>
      <c r="U98" s="1"/>
      <c r="V98" s="197"/>
      <c r="W98" s="238">
        <f t="shared" si="77"/>
        <v>-12.350170305663069</v>
      </c>
      <c r="X98" s="118">
        <f t="shared" si="78"/>
        <v>3.8578331161879212E-8</v>
      </c>
      <c r="Y98" s="1"/>
      <c r="Z98" s="1"/>
      <c r="AA98" s="1"/>
      <c r="AB98" s="1"/>
      <c r="AC98" s="197"/>
      <c r="AD98" s="238">
        <f t="shared" si="79"/>
        <v>2.7938932542592712</v>
      </c>
      <c r="AE98" s="96">
        <f t="shared" si="80"/>
        <v>622.14734806165097</v>
      </c>
      <c r="AF98" s="98">
        <f t="shared" si="81"/>
        <v>2.4001406425007302E-5</v>
      </c>
      <c r="AG98" s="22">
        <v>1200</v>
      </c>
      <c r="AH98" s="8"/>
      <c r="AI98" s="162">
        <v>0.02</v>
      </c>
      <c r="AJ98" s="167">
        <f t="shared" si="82"/>
        <v>725.66610506446864</v>
      </c>
      <c r="AK98" s="168">
        <f t="shared" si="83"/>
        <v>0.65684079340989587</v>
      </c>
      <c r="AL98" s="151">
        <f t="shared" si="84"/>
        <v>1.6536530942056213</v>
      </c>
      <c r="AM98" s="177">
        <f t="shared" si="85"/>
        <v>36283.305253223429</v>
      </c>
      <c r="AN98" s="134">
        <f t="shared" si="86"/>
        <v>4.5597068425515754</v>
      </c>
      <c r="AO98" s="119">
        <f t="shared" si="87"/>
        <v>3.7735849056603772E-2</v>
      </c>
      <c r="AP98">
        <f t="shared" si="88"/>
        <v>53</v>
      </c>
      <c r="AQ98" s="124">
        <f t="shared" si="89"/>
        <v>0.875</v>
      </c>
      <c r="AR98" s="124"/>
      <c r="AS98" s="124"/>
      <c r="AT98" s="14">
        <f t="shared" si="90"/>
        <v>1</v>
      </c>
      <c r="AZ98" s="83"/>
      <c r="BA98" s="83"/>
      <c r="BB98" s="83"/>
      <c r="BC98" s="83"/>
      <c r="BD98" s="83"/>
      <c r="BE98" s="8">
        <f t="shared" si="91"/>
        <v>60.914194639021645</v>
      </c>
      <c r="BF98" s="16">
        <f t="shared" si="92"/>
        <v>11.912922913366515</v>
      </c>
      <c r="BG98" s="16"/>
      <c r="BH98" s="189"/>
      <c r="BI98" s="6">
        <f t="shared" si="93"/>
        <v>5.5136828987024551E-2</v>
      </c>
      <c r="BJ98" s="151">
        <f t="shared" si="94"/>
        <v>19.699841836721582</v>
      </c>
      <c r="BK98" s="177">
        <f t="shared" si="95"/>
        <v>3045.7097319510822</v>
      </c>
      <c r="BL98" s="134">
        <f t="shared" si="96"/>
        <v>3.4836885110096039</v>
      </c>
      <c r="BM98" s="119">
        <f t="shared" si="97"/>
        <v>3.7735849056603772E-2</v>
      </c>
      <c r="BN98">
        <f t="shared" si="98"/>
        <v>49</v>
      </c>
      <c r="BO98" s="124">
        <f t="shared" si="99"/>
        <v>0.80833333333333335</v>
      </c>
      <c r="BP98" s="124"/>
      <c r="BQ98" s="124"/>
      <c r="BR98" s="14">
        <f t="shared" si="100"/>
        <v>1</v>
      </c>
      <c r="BX98" s="83"/>
      <c r="BY98" s="83"/>
      <c r="BZ98" s="83"/>
      <c r="CA98" s="83"/>
      <c r="CB98" s="83"/>
      <c r="CC98" s="151"/>
      <c r="CD98" s="177">
        <f t="shared" si="101"/>
        <v>60000</v>
      </c>
      <c r="CE98" s="134">
        <f t="shared" si="102"/>
        <v>4.7781512503836439</v>
      </c>
      <c r="CF98" s="119">
        <f t="shared" si="103"/>
        <v>3.7735849056603772E-2</v>
      </c>
      <c r="CG98">
        <f t="shared" si="104"/>
        <v>48</v>
      </c>
      <c r="CH98" s="124">
        <f t="shared" si="105"/>
        <v>0.79166666666666663</v>
      </c>
      <c r="CI98" s="124"/>
      <c r="CJ98" s="124"/>
      <c r="CK98" s="14">
        <f t="shared" si="106"/>
        <v>3</v>
      </c>
      <c r="CL98" s="16"/>
    </row>
    <row r="99" spans="1:90" x14ac:dyDescent="0.2">
      <c r="A99" s="8"/>
      <c r="B99" t="s">
        <v>149</v>
      </c>
      <c r="C99">
        <v>11</v>
      </c>
      <c r="D99" t="s">
        <v>119</v>
      </c>
      <c r="F99" s="9"/>
      <c r="G99" t="s">
        <v>111</v>
      </c>
      <c r="H99" s="1">
        <v>14</v>
      </c>
      <c r="I99" s="8">
        <v>310</v>
      </c>
      <c r="J99" t="s">
        <v>35</v>
      </c>
      <c r="K99" s="9">
        <v>0</v>
      </c>
      <c r="L99" s="1">
        <v>0.1</v>
      </c>
      <c r="M99" s="6">
        <v>70</v>
      </c>
      <c r="N99" s="1">
        <v>128.19</v>
      </c>
      <c r="O99" s="18">
        <v>31800.000000000004</v>
      </c>
      <c r="P99" s="30">
        <v>3.3</v>
      </c>
      <c r="R99" s="1"/>
      <c r="S99" s="1"/>
      <c r="T99" s="1"/>
      <c r="U99" s="1"/>
      <c r="V99" s="197"/>
      <c r="W99" s="238">
        <f t="shared" si="77"/>
        <v>-12.350170305663069</v>
      </c>
      <c r="X99" s="118">
        <f t="shared" si="78"/>
        <v>3.8578331161879212E-8</v>
      </c>
      <c r="Y99" s="1"/>
      <c r="Z99" s="1"/>
      <c r="AA99" s="1"/>
      <c r="AB99" s="1"/>
      <c r="AC99" s="197"/>
      <c r="AD99" s="238">
        <f t="shared" si="79"/>
        <v>2.7938932542592712</v>
      </c>
      <c r="AE99" s="96">
        <f t="shared" si="80"/>
        <v>622.14734806165097</v>
      </c>
      <c r="AF99" s="98">
        <f t="shared" si="81"/>
        <v>2.4001406425007302E-5</v>
      </c>
      <c r="AG99" s="22">
        <v>370</v>
      </c>
      <c r="AH99" s="8"/>
      <c r="AI99" s="162">
        <v>0.02</v>
      </c>
      <c r="AJ99" s="167">
        <f t="shared" si="82"/>
        <v>223.74704906154449</v>
      </c>
      <c r="AK99" s="168">
        <f t="shared" si="83"/>
        <v>0.20252591130138456</v>
      </c>
      <c r="AL99" s="151">
        <f t="shared" si="84"/>
        <v>1.6536530942056213</v>
      </c>
      <c r="AM99" s="177">
        <f t="shared" si="85"/>
        <v>11187.352453077225</v>
      </c>
      <c r="AN99" s="134">
        <f t="shared" si="86"/>
        <v>4.0487273205709462</v>
      </c>
      <c r="AO99" s="119">
        <f t="shared" si="87"/>
        <v>1.1635220125786163E-2</v>
      </c>
      <c r="AP99">
        <f t="shared" si="88"/>
        <v>47</v>
      </c>
      <c r="AQ99" s="124">
        <f t="shared" si="89"/>
        <v>0.77500000000000002</v>
      </c>
      <c r="AR99" s="124"/>
      <c r="AS99" s="124"/>
      <c r="AT99" s="14">
        <f t="shared" si="90"/>
        <v>1</v>
      </c>
      <c r="AZ99" s="83"/>
      <c r="BA99" s="83"/>
      <c r="BB99" s="83"/>
      <c r="BC99" s="83"/>
      <c r="BD99" s="83"/>
      <c r="BE99" s="8">
        <f t="shared" si="91"/>
        <v>18.781876680365002</v>
      </c>
      <c r="BF99" s="16">
        <f t="shared" si="92"/>
        <v>11.912922913366515</v>
      </c>
      <c r="BG99" s="16"/>
      <c r="BH99" s="189"/>
      <c r="BI99" s="6">
        <f t="shared" si="93"/>
        <v>1.7000522270999234E-2</v>
      </c>
      <c r="BJ99" s="151">
        <f t="shared" si="94"/>
        <v>19.699841836721586</v>
      </c>
      <c r="BK99" s="177">
        <f t="shared" si="95"/>
        <v>939.09383401825005</v>
      </c>
      <c r="BL99" s="134">
        <f t="shared" si="96"/>
        <v>2.9727089890289742</v>
      </c>
      <c r="BM99" s="119">
        <f t="shared" si="97"/>
        <v>1.1635220125786163E-2</v>
      </c>
      <c r="BN99">
        <f t="shared" si="98"/>
        <v>38</v>
      </c>
      <c r="BO99" s="124">
        <f t="shared" si="99"/>
        <v>0.625</v>
      </c>
      <c r="BP99" s="124"/>
      <c r="BQ99" s="124"/>
      <c r="BR99" s="14">
        <f t="shared" si="100"/>
        <v>1</v>
      </c>
      <c r="BX99" s="83"/>
      <c r="BY99" s="83"/>
      <c r="BZ99" s="83"/>
      <c r="CA99" s="83"/>
      <c r="CB99" s="83"/>
      <c r="CC99" s="151"/>
      <c r="CD99" s="177">
        <f t="shared" si="101"/>
        <v>18500</v>
      </c>
      <c r="CE99" s="134">
        <f t="shared" si="102"/>
        <v>4.2671717284030137</v>
      </c>
      <c r="CF99" s="119">
        <f t="shared" si="103"/>
        <v>1.1635220125786163E-2</v>
      </c>
      <c r="CG99">
        <f t="shared" si="104"/>
        <v>36</v>
      </c>
      <c r="CH99" s="124">
        <f t="shared" si="105"/>
        <v>0.59166666666666667</v>
      </c>
      <c r="CI99" s="124"/>
      <c r="CJ99" s="124"/>
      <c r="CK99" s="14">
        <f t="shared" si="106"/>
        <v>3</v>
      </c>
      <c r="CL99" s="16"/>
    </row>
    <row r="100" spans="1:90" x14ac:dyDescent="0.2">
      <c r="A100" s="8"/>
      <c r="B100" t="s">
        <v>149</v>
      </c>
      <c r="C100">
        <v>13</v>
      </c>
      <c r="D100" t="s">
        <v>131</v>
      </c>
      <c r="F100" s="9"/>
      <c r="G100" t="s">
        <v>111</v>
      </c>
      <c r="H100" s="1">
        <v>14</v>
      </c>
      <c r="I100" s="8">
        <v>310</v>
      </c>
      <c r="J100" t="s">
        <v>35</v>
      </c>
      <c r="K100" s="9">
        <v>0</v>
      </c>
      <c r="L100" s="1">
        <v>0.1</v>
      </c>
      <c r="M100" s="6">
        <v>70</v>
      </c>
      <c r="N100" s="1">
        <v>128.19</v>
      </c>
      <c r="O100" s="18">
        <v>31800.000000000004</v>
      </c>
      <c r="P100" s="30">
        <v>3.3</v>
      </c>
      <c r="R100" s="1"/>
      <c r="S100" s="1"/>
      <c r="T100" s="1"/>
      <c r="U100" s="1"/>
      <c r="V100" s="197"/>
      <c r="W100" s="238">
        <f t="shared" si="77"/>
        <v>-12.350170305663069</v>
      </c>
      <c r="X100" s="118">
        <f t="shared" si="78"/>
        <v>3.8578331161879212E-8</v>
      </c>
      <c r="Y100" s="1"/>
      <c r="Z100" s="1"/>
      <c r="AA100" s="1"/>
      <c r="AB100" s="1"/>
      <c r="AC100" s="197"/>
      <c r="AD100" s="238">
        <f t="shared" si="79"/>
        <v>2.7938932542592712</v>
      </c>
      <c r="AE100" s="96">
        <f t="shared" si="80"/>
        <v>622.14734806165097</v>
      </c>
      <c r="AF100" s="98">
        <f t="shared" si="81"/>
        <v>2.4001406425007302E-5</v>
      </c>
      <c r="AG100" s="22">
        <v>190</v>
      </c>
      <c r="AH100" s="8"/>
      <c r="AI100" s="162">
        <v>0.02</v>
      </c>
      <c r="AJ100" s="167">
        <f t="shared" si="82"/>
        <v>114.89713330187419</v>
      </c>
      <c r="AK100" s="168">
        <f t="shared" si="83"/>
        <v>0.10399979228990017</v>
      </c>
      <c r="AL100" s="151">
        <f t="shared" si="84"/>
        <v>1.6536530942056213</v>
      </c>
      <c r="AM100" s="177">
        <f t="shared" si="85"/>
        <v>5744.8566650937091</v>
      </c>
      <c r="AN100" s="134">
        <f t="shared" si="86"/>
        <v>3.7592791974567796</v>
      </c>
      <c r="AO100" s="119">
        <f t="shared" si="87"/>
        <v>5.974842767295597E-3</v>
      </c>
      <c r="AP100">
        <f t="shared" si="88"/>
        <v>42</v>
      </c>
      <c r="AQ100" s="124">
        <f t="shared" si="89"/>
        <v>0.69166666666666665</v>
      </c>
      <c r="AR100" s="124"/>
      <c r="AS100" s="124"/>
      <c r="AT100" s="14">
        <f t="shared" si="90"/>
        <v>1</v>
      </c>
      <c r="AZ100" s="83"/>
      <c r="BA100" s="83"/>
      <c r="BB100" s="83"/>
      <c r="BC100" s="83"/>
      <c r="BD100" s="83"/>
      <c r="BE100" s="8">
        <f t="shared" si="91"/>
        <v>9.6447474845117593</v>
      </c>
      <c r="BF100" s="16">
        <f t="shared" si="92"/>
        <v>11.912922913366515</v>
      </c>
      <c r="BG100" s="16"/>
      <c r="BH100" s="189"/>
      <c r="BI100" s="6">
        <f t="shared" si="93"/>
        <v>8.7299979229455531E-3</v>
      </c>
      <c r="BJ100" s="151">
        <f t="shared" si="94"/>
        <v>19.699841836721582</v>
      </c>
      <c r="BK100" s="177">
        <f t="shared" si="95"/>
        <v>482.23737422558798</v>
      </c>
      <c r="BL100" s="134">
        <f t="shared" si="96"/>
        <v>2.6832608659148081</v>
      </c>
      <c r="BM100" s="119">
        <f t="shared" si="97"/>
        <v>5.974842767295597E-3</v>
      </c>
      <c r="BN100">
        <f t="shared" si="98"/>
        <v>31</v>
      </c>
      <c r="BO100" s="124">
        <f t="shared" si="99"/>
        <v>0.5083333333333333</v>
      </c>
      <c r="BP100" s="124"/>
      <c r="BQ100" s="124"/>
      <c r="BR100" s="14">
        <f t="shared" si="100"/>
        <v>1</v>
      </c>
      <c r="BX100" s="83"/>
      <c r="BY100" s="83"/>
      <c r="BZ100" s="83"/>
      <c r="CA100" s="83"/>
      <c r="CB100" s="83"/>
      <c r="CC100" s="151"/>
      <c r="CD100" s="177">
        <f t="shared" si="101"/>
        <v>9500</v>
      </c>
      <c r="CE100" s="134">
        <f t="shared" si="102"/>
        <v>3.9777236052888476</v>
      </c>
      <c r="CF100" s="119">
        <f t="shared" si="103"/>
        <v>5.974842767295597E-3</v>
      </c>
      <c r="CG100">
        <f t="shared" si="104"/>
        <v>30</v>
      </c>
      <c r="CH100" s="124">
        <f t="shared" si="105"/>
        <v>0.49166666666666664</v>
      </c>
      <c r="CI100" s="124"/>
      <c r="CJ100" s="124"/>
      <c r="CK100" s="14">
        <f t="shared" si="106"/>
        <v>3</v>
      </c>
      <c r="CL100" s="16"/>
    </row>
    <row r="101" spans="1:90" x14ac:dyDescent="0.2">
      <c r="A101" s="8"/>
      <c r="B101" t="s">
        <v>149</v>
      </c>
      <c r="C101">
        <v>14</v>
      </c>
      <c r="D101" t="s">
        <v>131</v>
      </c>
      <c r="F101" s="9"/>
      <c r="G101" t="s">
        <v>111</v>
      </c>
      <c r="H101" s="1">
        <v>14</v>
      </c>
      <c r="I101" s="8">
        <v>310</v>
      </c>
      <c r="J101" t="s">
        <v>35</v>
      </c>
      <c r="K101" s="9">
        <v>0</v>
      </c>
      <c r="L101" s="1">
        <v>0.1</v>
      </c>
      <c r="M101" s="6">
        <v>70</v>
      </c>
      <c r="N101" s="1">
        <v>128.19</v>
      </c>
      <c r="O101" s="18">
        <v>31800.000000000004</v>
      </c>
      <c r="P101" s="30">
        <v>3.3</v>
      </c>
      <c r="R101" s="1"/>
      <c r="S101" s="1"/>
      <c r="T101" s="1"/>
      <c r="U101" s="1"/>
      <c r="V101" s="197"/>
      <c r="W101" s="238">
        <f t="shared" si="77"/>
        <v>-12.350170305663069</v>
      </c>
      <c r="X101" s="118">
        <f t="shared" si="78"/>
        <v>3.8578331161879212E-8</v>
      </c>
      <c r="Y101" s="1"/>
      <c r="Z101" s="1"/>
      <c r="AA101" s="1"/>
      <c r="AB101" s="1"/>
      <c r="AC101" s="197"/>
      <c r="AD101" s="238">
        <f t="shared" si="79"/>
        <v>2.7938932542592712</v>
      </c>
      <c r="AE101" s="96">
        <f t="shared" si="80"/>
        <v>622.14734806165097</v>
      </c>
      <c r="AF101" s="98">
        <f t="shared" si="81"/>
        <v>2.4001406425007302E-5</v>
      </c>
      <c r="AG101" s="22">
        <v>180</v>
      </c>
      <c r="AH101" s="8"/>
      <c r="AI101" s="162">
        <v>0.02</v>
      </c>
      <c r="AJ101" s="167">
        <f t="shared" si="82"/>
        <v>108.84991575967028</v>
      </c>
      <c r="AK101" s="168">
        <f t="shared" si="83"/>
        <v>9.8526119011484378E-2</v>
      </c>
      <c r="AL101" s="151">
        <f t="shared" si="84"/>
        <v>1.6536530942056216</v>
      </c>
      <c r="AM101" s="177">
        <f t="shared" si="85"/>
        <v>5442.4957879835138</v>
      </c>
      <c r="AN101" s="134">
        <f t="shared" si="86"/>
        <v>3.7357981016072568</v>
      </c>
      <c r="AO101" s="119">
        <f t="shared" si="87"/>
        <v>5.6603773584905656E-3</v>
      </c>
      <c r="AP101">
        <f t="shared" si="88"/>
        <v>41</v>
      </c>
      <c r="AQ101" s="124">
        <f t="shared" si="89"/>
        <v>0.67500000000000004</v>
      </c>
      <c r="AR101" s="124"/>
      <c r="AS101" s="124"/>
      <c r="AT101" s="14">
        <f t="shared" si="90"/>
        <v>1</v>
      </c>
      <c r="AZ101" s="83"/>
      <c r="BA101" s="83"/>
      <c r="BB101" s="83"/>
      <c r="BC101" s="83"/>
      <c r="BD101" s="83"/>
      <c r="BE101" s="8">
        <f t="shared" si="91"/>
        <v>9.1371291958532463</v>
      </c>
      <c r="BF101" s="16">
        <f t="shared" si="92"/>
        <v>11.912922913366515</v>
      </c>
      <c r="BG101" s="16"/>
      <c r="BH101" s="189"/>
      <c r="BI101" s="6">
        <f t="shared" si="93"/>
        <v>8.2705243480536827E-3</v>
      </c>
      <c r="BJ101" s="151">
        <f t="shared" si="94"/>
        <v>19.699841836721582</v>
      </c>
      <c r="BK101" s="177">
        <f t="shared" si="95"/>
        <v>456.85645979266229</v>
      </c>
      <c r="BL101" s="134">
        <f t="shared" si="96"/>
        <v>2.6597797700652852</v>
      </c>
      <c r="BM101" s="119">
        <f t="shared" si="97"/>
        <v>5.6603773584905656E-3</v>
      </c>
      <c r="BN101">
        <f t="shared" si="98"/>
        <v>30</v>
      </c>
      <c r="BO101" s="124">
        <f t="shared" si="99"/>
        <v>0.49166666666666664</v>
      </c>
      <c r="BP101" s="124"/>
      <c r="BQ101" s="124"/>
      <c r="BR101" s="14">
        <f t="shared" si="100"/>
        <v>1</v>
      </c>
      <c r="BX101" s="83"/>
      <c r="BY101" s="83"/>
      <c r="BZ101" s="83"/>
      <c r="CA101" s="83"/>
      <c r="CB101" s="83"/>
      <c r="CC101" s="151"/>
      <c r="CD101" s="177">
        <f t="shared" si="101"/>
        <v>9000</v>
      </c>
      <c r="CE101" s="134">
        <f t="shared" si="102"/>
        <v>3.9542425094393248</v>
      </c>
      <c r="CF101" s="119">
        <f t="shared" si="103"/>
        <v>5.6603773584905656E-3</v>
      </c>
      <c r="CG101">
        <f t="shared" si="104"/>
        <v>29</v>
      </c>
      <c r="CH101" s="124">
        <f t="shared" si="105"/>
        <v>0.47499999999999998</v>
      </c>
      <c r="CI101" s="124"/>
      <c r="CJ101" s="124"/>
      <c r="CK101" s="14">
        <f t="shared" si="106"/>
        <v>3</v>
      </c>
      <c r="CL101" s="16"/>
    </row>
    <row r="102" spans="1:90" x14ac:dyDescent="0.2">
      <c r="A102" s="8"/>
      <c r="B102" t="s">
        <v>149</v>
      </c>
      <c r="C102">
        <v>17</v>
      </c>
      <c r="D102" t="s">
        <v>130</v>
      </c>
      <c r="F102" s="9"/>
      <c r="G102" t="s">
        <v>111</v>
      </c>
      <c r="H102" s="1">
        <v>14</v>
      </c>
      <c r="I102" s="8">
        <v>310</v>
      </c>
      <c r="J102" t="s">
        <v>35</v>
      </c>
      <c r="K102" s="9">
        <v>0</v>
      </c>
      <c r="L102" s="1">
        <v>0.1</v>
      </c>
      <c r="M102" s="6">
        <v>70</v>
      </c>
      <c r="N102" s="1">
        <v>128.19</v>
      </c>
      <c r="O102" s="18">
        <v>31800.000000000004</v>
      </c>
      <c r="P102" s="30">
        <v>3.3</v>
      </c>
      <c r="R102" s="1"/>
      <c r="S102" s="1"/>
      <c r="T102" s="1"/>
      <c r="U102" s="1"/>
      <c r="V102" s="197"/>
      <c r="W102" s="238">
        <f t="shared" si="77"/>
        <v>-12.350170305663069</v>
      </c>
      <c r="X102" s="118">
        <f t="shared" si="78"/>
        <v>3.8578331161879212E-8</v>
      </c>
      <c r="Y102" s="1"/>
      <c r="Z102" s="1"/>
      <c r="AA102" s="1"/>
      <c r="AB102" s="1"/>
      <c r="AC102" s="197"/>
      <c r="AD102" s="238">
        <f t="shared" si="79"/>
        <v>2.7938932542592712</v>
      </c>
      <c r="AE102" s="96">
        <f t="shared" si="80"/>
        <v>622.14734806165097</v>
      </c>
      <c r="AF102" s="98">
        <f t="shared" si="81"/>
        <v>2.4001406425007302E-5</v>
      </c>
      <c r="AG102" s="22">
        <v>93</v>
      </c>
      <c r="AH102" s="8"/>
      <c r="AI102" s="162">
        <v>0.02</v>
      </c>
      <c r="AJ102" s="167">
        <f t="shared" si="82"/>
        <v>56.239123142496318</v>
      </c>
      <c r="AK102" s="168">
        <f t="shared" si="83"/>
        <v>5.0905161489266923E-2</v>
      </c>
      <c r="AL102" s="151">
        <f t="shared" si="84"/>
        <v>1.6536530942056213</v>
      </c>
      <c r="AM102" s="177">
        <f t="shared" si="85"/>
        <v>2811.9561571248159</v>
      </c>
      <c r="AN102" s="134">
        <f t="shared" si="86"/>
        <v>3.449008545057886</v>
      </c>
      <c r="AO102" s="119">
        <f t="shared" si="87"/>
        <v>2.9245283018867921E-3</v>
      </c>
      <c r="AP102">
        <f t="shared" si="88"/>
        <v>34</v>
      </c>
      <c r="AQ102" s="124">
        <f t="shared" si="89"/>
        <v>0.55833333333333335</v>
      </c>
      <c r="AR102" s="124"/>
      <c r="AS102" s="124"/>
      <c r="AT102" s="14">
        <f t="shared" si="90"/>
        <v>1</v>
      </c>
      <c r="AZ102" s="83"/>
      <c r="BA102" s="83"/>
      <c r="BB102" s="83"/>
      <c r="BC102" s="83"/>
      <c r="BD102" s="83"/>
      <c r="BE102" s="8">
        <f t="shared" si="91"/>
        <v>4.7208500845241774</v>
      </c>
      <c r="BF102" s="16">
        <f t="shared" si="92"/>
        <v>11.912922913366515</v>
      </c>
      <c r="BG102" s="16"/>
      <c r="BH102" s="189"/>
      <c r="BI102" s="6">
        <f t="shared" si="93"/>
        <v>4.2731042464944028E-3</v>
      </c>
      <c r="BJ102" s="151">
        <f t="shared" si="94"/>
        <v>19.699841836721582</v>
      </c>
      <c r="BK102" s="177">
        <f t="shared" si="95"/>
        <v>236.04250422620888</v>
      </c>
      <c r="BL102" s="134">
        <f t="shared" si="96"/>
        <v>2.3729902135159144</v>
      </c>
      <c r="BM102" s="119">
        <f t="shared" si="97"/>
        <v>2.9245283018867921E-3</v>
      </c>
      <c r="BN102">
        <f t="shared" si="98"/>
        <v>25</v>
      </c>
      <c r="BO102" s="124">
        <f t="shared" si="99"/>
        <v>0.40833333333333333</v>
      </c>
      <c r="BP102" s="124"/>
      <c r="BQ102" s="124"/>
      <c r="BR102" s="14">
        <f t="shared" si="100"/>
        <v>1</v>
      </c>
      <c r="BX102" s="83"/>
      <c r="BY102" s="83"/>
      <c r="BZ102" s="83"/>
      <c r="CA102" s="83"/>
      <c r="CB102" s="83"/>
      <c r="CC102" s="151"/>
      <c r="CD102" s="177">
        <f t="shared" si="101"/>
        <v>4650</v>
      </c>
      <c r="CE102" s="134">
        <f t="shared" si="102"/>
        <v>3.667452952889954</v>
      </c>
      <c r="CF102" s="119">
        <f t="shared" si="103"/>
        <v>2.9245283018867921E-3</v>
      </c>
      <c r="CG102">
        <f t="shared" si="104"/>
        <v>24</v>
      </c>
      <c r="CH102" s="124">
        <f t="shared" si="105"/>
        <v>0.39166666666666666</v>
      </c>
      <c r="CI102" s="124"/>
      <c r="CJ102" s="124"/>
      <c r="CK102" s="14">
        <f t="shared" si="106"/>
        <v>3</v>
      </c>
      <c r="CL102" s="16"/>
    </row>
    <row r="103" spans="1:90" x14ac:dyDescent="0.2">
      <c r="A103" s="8"/>
      <c r="B103" t="s">
        <v>149</v>
      </c>
      <c r="C103">
        <v>18</v>
      </c>
      <c r="D103" t="s">
        <v>126</v>
      </c>
      <c r="F103" s="9"/>
      <c r="G103" t="s">
        <v>111</v>
      </c>
      <c r="H103" s="1">
        <v>14</v>
      </c>
      <c r="I103" s="8">
        <v>310</v>
      </c>
      <c r="J103" t="s">
        <v>35</v>
      </c>
      <c r="K103" s="9">
        <v>0</v>
      </c>
      <c r="L103" s="1">
        <v>0.1</v>
      </c>
      <c r="M103" s="6">
        <v>70</v>
      </c>
      <c r="N103" s="1">
        <v>128.19</v>
      </c>
      <c r="O103" s="18">
        <v>31800.000000000004</v>
      </c>
      <c r="P103" s="30">
        <v>3.3</v>
      </c>
      <c r="R103" s="1"/>
      <c r="S103" s="1"/>
      <c r="T103" s="1"/>
      <c r="U103" s="1"/>
      <c r="V103" s="197"/>
      <c r="W103" s="238">
        <f t="shared" si="77"/>
        <v>-12.350170305663069</v>
      </c>
      <c r="X103" s="118">
        <f t="shared" si="78"/>
        <v>3.8578331161879212E-8</v>
      </c>
      <c r="Y103" s="1"/>
      <c r="Z103" s="1"/>
      <c r="AA103" s="1"/>
      <c r="AB103" s="1"/>
      <c r="AC103" s="197"/>
      <c r="AD103" s="238">
        <f t="shared" si="79"/>
        <v>2.7938932542592712</v>
      </c>
      <c r="AE103" s="96">
        <f t="shared" si="80"/>
        <v>622.14734806165097</v>
      </c>
      <c r="AF103" s="98">
        <f t="shared" si="81"/>
        <v>2.4001406425007302E-5</v>
      </c>
      <c r="AG103" s="22">
        <v>84</v>
      </c>
      <c r="AH103" s="8"/>
      <c r="AI103" s="162">
        <v>0.02</v>
      </c>
      <c r="AJ103" s="167">
        <f t="shared" si="82"/>
        <v>50.796627354512808</v>
      </c>
      <c r="AK103" s="168">
        <f t="shared" si="83"/>
        <v>4.5978855538692714E-2</v>
      </c>
      <c r="AL103" s="151">
        <f t="shared" si="84"/>
        <v>1.6536530942056211</v>
      </c>
      <c r="AM103" s="177">
        <f t="shared" si="85"/>
        <v>2539.8313677256401</v>
      </c>
      <c r="AN103" s="134">
        <f t="shared" si="86"/>
        <v>3.4048048825658324</v>
      </c>
      <c r="AO103" s="119">
        <f t="shared" si="87"/>
        <v>2.6415094339622639E-3</v>
      </c>
      <c r="AP103">
        <f t="shared" si="88"/>
        <v>32</v>
      </c>
      <c r="AQ103" s="124">
        <f t="shared" si="89"/>
        <v>0.52500000000000002</v>
      </c>
      <c r="AR103" s="124"/>
      <c r="AS103" s="124"/>
      <c r="AT103" s="14">
        <f t="shared" si="90"/>
        <v>1</v>
      </c>
      <c r="AZ103" s="83"/>
      <c r="BA103" s="83"/>
      <c r="BB103" s="83"/>
      <c r="BC103" s="83"/>
      <c r="BD103" s="83"/>
      <c r="BE103" s="8">
        <f t="shared" si="91"/>
        <v>4.2639936247315138</v>
      </c>
      <c r="BF103" s="16">
        <f t="shared" si="92"/>
        <v>11.912922913366515</v>
      </c>
      <c r="BG103" s="16"/>
      <c r="BH103" s="189"/>
      <c r="BI103" s="6">
        <f t="shared" si="93"/>
        <v>3.859578029091718E-3</v>
      </c>
      <c r="BJ103" s="151">
        <f t="shared" si="94"/>
        <v>19.699841836721586</v>
      </c>
      <c r="BK103" s="177">
        <f t="shared" si="95"/>
        <v>213.19968123657569</v>
      </c>
      <c r="BL103" s="134">
        <f t="shared" si="96"/>
        <v>2.3287865510238608</v>
      </c>
      <c r="BM103" s="119">
        <f t="shared" si="97"/>
        <v>2.6415094339622639E-3</v>
      </c>
      <c r="BN103">
        <f t="shared" si="98"/>
        <v>24</v>
      </c>
      <c r="BO103" s="124">
        <f t="shared" si="99"/>
        <v>0.39166666666666666</v>
      </c>
      <c r="BP103" s="124"/>
      <c r="BQ103" s="124"/>
      <c r="BR103" s="14">
        <f t="shared" si="100"/>
        <v>1</v>
      </c>
      <c r="BX103" s="83"/>
      <c r="BY103" s="83"/>
      <c r="BZ103" s="83"/>
      <c r="CA103" s="83"/>
      <c r="CB103" s="83"/>
      <c r="CC103" s="151"/>
      <c r="CD103" s="177">
        <f t="shared" si="101"/>
        <v>4200</v>
      </c>
      <c r="CE103" s="134">
        <f t="shared" si="102"/>
        <v>3.6232492903979003</v>
      </c>
      <c r="CF103" s="119">
        <f t="shared" si="103"/>
        <v>2.6415094339622639E-3</v>
      </c>
      <c r="CG103">
        <f t="shared" si="104"/>
        <v>23</v>
      </c>
      <c r="CH103" s="124">
        <f t="shared" si="105"/>
        <v>0.375</v>
      </c>
      <c r="CI103" s="124"/>
      <c r="CJ103" s="124"/>
      <c r="CK103" s="14">
        <f t="shared" si="106"/>
        <v>3</v>
      </c>
      <c r="CL103" s="16"/>
    </row>
    <row r="104" spans="1:90" x14ac:dyDescent="0.2">
      <c r="A104" s="8"/>
      <c r="B104" t="s">
        <v>149</v>
      </c>
      <c r="C104">
        <v>20</v>
      </c>
      <c r="D104" t="s">
        <v>129</v>
      </c>
      <c r="F104" s="9"/>
      <c r="G104" t="s">
        <v>111</v>
      </c>
      <c r="H104" s="1">
        <v>14</v>
      </c>
      <c r="I104" s="8">
        <v>310</v>
      </c>
      <c r="J104" t="s">
        <v>35</v>
      </c>
      <c r="K104" s="9">
        <v>0</v>
      </c>
      <c r="L104" s="1">
        <v>0.1</v>
      </c>
      <c r="M104" s="6">
        <v>70</v>
      </c>
      <c r="N104" s="1">
        <v>128.19</v>
      </c>
      <c r="O104" s="18">
        <v>31800.000000000004</v>
      </c>
      <c r="P104" s="30">
        <v>3.3</v>
      </c>
      <c r="R104" s="1"/>
      <c r="S104" s="1"/>
      <c r="T104" s="1"/>
      <c r="U104" s="1"/>
      <c r="V104" s="197"/>
      <c r="W104" s="238">
        <f t="shared" si="77"/>
        <v>-12.350170305663069</v>
      </c>
      <c r="X104" s="118">
        <f t="shared" si="78"/>
        <v>3.8578331161879212E-8</v>
      </c>
      <c r="Y104" s="1"/>
      <c r="Z104" s="1"/>
      <c r="AA104" s="1"/>
      <c r="AB104" s="1"/>
      <c r="AC104" s="197"/>
      <c r="AD104" s="238">
        <f t="shared" si="79"/>
        <v>2.7938932542592712</v>
      </c>
      <c r="AE104" s="96">
        <f t="shared" si="80"/>
        <v>622.14734806165097</v>
      </c>
      <c r="AF104" s="98">
        <f t="shared" si="81"/>
        <v>2.4001406425007302E-5</v>
      </c>
      <c r="AG104" s="22">
        <v>74</v>
      </c>
      <c r="AH104" s="8"/>
      <c r="AI104" s="162">
        <v>0.02</v>
      </c>
      <c r="AJ104" s="167">
        <f t="shared" si="82"/>
        <v>44.749409812308897</v>
      </c>
      <c r="AK104" s="168">
        <f t="shared" si="83"/>
        <v>4.0505182260276912E-2</v>
      </c>
      <c r="AL104" s="151">
        <f t="shared" si="84"/>
        <v>1.6536530942056213</v>
      </c>
      <c r="AM104" s="177">
        <f t="shared" si="85"/>
        <v>2237.4704906154448</v>
      </c>
      <c r="AN104" s="134">
        <f t="shared" si="86"/>
        <v>3.349757316234927</v>
      </c>
      <c r="AO104" s="119">
        <f t="shared" si="87"/>
        <v>2.3270440251572325E-3</v>
      </c>
      <c r="AP104">
        <f t="shared" si="88"/>
        <v>30</v>
      </c>
      <c r="AQ104" s="124">
        <f t="shared" si="89"/>
        <v>0.49166666666666664</v>
      </c>
      <c r="AR104" s="124"/>
      <c r="AS104" s="124"/>
      <c r="AT104" s="14">
        <f t="shared" si="90"/>
        <v>1</v>
      </c>
      <c r="AZ104" s="83"/>
      <c r="BA104" s="83"/>
      <c r="BB104" s="83"/>
      <c r="BC104" s="83"/>
      <c r="BD104" s="83"/>
      <c r="BE104" s="8">
        <f t="shared" si="91"/>
        <v>3.7563753360730012</v>
      </c>
      <c r="BF104" s="16">
        <f t="shared" si="92"/>
        <v>11.912922913366515</v>
      </c>
      <c r="BG104" s="16"/>
      <c r="BH104" s="189"/>
      <c r="BI104" s="6">
        <f t="shared" si="93"/>
        <v>3.4001044541998476E-3</v>
      </c>
      <c r="BJ104" s="151">
        <f t="shared" si="94"/>
        <v>19.699841836721582</v>
      </c>
      <c r="BK104" s="177">
        <f t="shared" si="95"/>
        <v>187.81876680365005</v>
      </c>
      <c r="BL104" s="134">
        <f t="shared" si="96"/>
        <v>2.2737389846929554</v>
      </c>
      <c r="BM104" s="119">
        <f t="shared" si="97"/>
        <v>2.3270440251572325E-3</v>
      </c>
      <c r="BN104">
        <f t="shared" si="98"/>
        <v>23</v>
      </c>
      <c r="BO104" s="124">
        <f t="shared" si="99"/>
        <v>0.375</v>
      </c>
      <c r="BP104" s="124"/>
      <c r="BQ104" s="124"/>
      <c r="BR104" s="14">
        <f t="shared" si="100"/>
        <v>1</v>
      </c>
      <c r="BX104" s="83"/>
      <c r="BY104" s="83"/>
      <c r="BZ104" s="83"/>
      <c r="CA104" s="83"/>
      <c r="CB104" s="83"/>
      <c r="CC104" s="151"/>
      <c r="CD104" s="177">
        <f t="shared" si="101"/>
        <v>3700</v>
      </c>
      <c r="CE104" s="134">
        <f t="shared" si="102"/>
        <v>3.568201724066995</v>
      </c>
      <c r="CF104" s="119">
        <f t="shared" si="103"/>
        <v>2.3270440251572325E-3</v>
      </c>
      <c r="CG104">
        <f t="shared" si="104"/>
        <v>22</v>
      </c>
      <c r="CH104" s="124">
        <f t="shared" si="105"/>
        <v>0.35833333333333334</v>
      </c>
      <c r="CI104" s="124"/>
      <c r="CJ104" s="124"/>
      <c r="CK104" s="14">
        <f t="shared" si="106"/>
        <v>3</v>
      </c>
      <c r="CL104" s="16"/>
    </row>
    <row r="105" spans="1:90" x14ac:dyDescent="0.2">
      <c r="A105" s="8"/>
      <c r="B105" t="s">
        <v>149</v>
      </c>
      <c r="C105">
        <v>21</v>
      </c>
      <c r="D105" t="s">
        <v>128</v>
      </c>
      <c r="F105" s="9"/>
      <c r="G105" t="s">
        <v>111</v>
      </c>
      <c r="H105" s="1">
        <v>14</v>
      </c>
      <c r="I105" s="8">
        <v>310</v>
      </c>
      <c r="J105" t="s">
        <v>35</v>
      </c>
      <c r="K105" s="9">
        <v>0</v>
      </c>
      <c r="L105" s="1">
        <v>0.1</v>
      </c>
      <c r="M105" s="6">
        <v>70</v>
      </c>
      <c r="N105" s="1">
        <v>128.19</v>
      </c>
      <c r="O105" s="18">
        <v>31800.000000000004</v>
      </c>
      <c r="P105" s="30">
        <v>3.3</v>
      </c>
      <c r="R105" s="1"/>
      <c r="S105" s="1"/>
      <c r="T105" s="1"/>
      <c r="U105" s="1"/>
      <c r="V105" s="197"/>
      <c r="W105" s="238">
        <f t="shared" si="77"/>
        <v>-12.350170305663069</v>
      </c>
      <c r="X105" s="118">
        <f t="shared" si="78"/>
        <v>3.8578331161879212E-8</v>
      </c>
      <c r="Y105" s="1"/>
      <c r="Z105" s="1"/>
      <c r="AA105" s="1"/>
      <c r="AB105" s="1"/>
      <c r="AC105" s="197"/>
      <c r="AD105" s="238">
        <f t="shared" si="79"/>
        <v>2.7938932542592712</v>
      </c>
      <c r="AE105" s="96">
        <f t="shared" si="80"/>
        <v>622.14734806165097</v>
      </c>
      <c r="AF105" s="98">
        <f t="shared" si="81"/>
        <v>2.4001406425007302E-5</v>
      </c>
      <c r="AG105" s="22">
        <v>70</v>
      </c>
      <c r="AH105" s="8"/>
      <c r="AI105" s="162">
        <v>0.02</v>
      </c>
      <c r="AJ105" s="167">
        <f t="shared" si="82"/>
        <v>42.330522795427335</v>
      </c>
      <c r="AK105" s="168">
        <f t="shared" si="83"/>
        <v>3.8315712948910591E-2</v>
      </c>
      <c r="AL105" s="151">
        <f t="shared" si="84"/>
        <v>1.6536530942056213</v>
      </c>
      <c r="AM105" s="177">
        <f t="shared" si="85"/>
        <v>2116.5261397713666</v>
      </c>
      <c r="AN105" s="134">
        <f t="shared" si="86"/>
        <v>3.3256236365182077</v>
      </c>
      <c r="AO105" s="119">
        <f t="shared" si="87"/>
        <v>2.2012578616352201E-3</v>
      </c>
      <c r="AP105">
        <f t="shared" si="88"/>
        <v>29</v>
      </c>
      <c r="AQ105" s="124">
        <f t="shared" si="89"/>
        <v>0.47499999999999998</v>
      </c>
      <c r="AR105" s="124"/>
      <c r="AS105" s="124"/>
      <c r="AT105" s="14">
        <f t="shared" si="90"/>
        <v>1</v>
      </c>
      <c r="AZ105" s="83"/>
      <c r="BA105" s="83"/>
      <c r="BB105" s="83"/>
      <c r="BC105" s="83"/>
      <c r="BD105" s="83"/>
      <c r="BE105" s="8">
        <f t="shared" si="91"/>
        <v>3.553328020609595</v>
      </c>
      <c r="BF105" s="16">
        <f t="shared" si="92"/>
        <v>11.912922913366515</v>
      </c>
      <c r="BG105" s="16"/>
      <c r="BH105" s="189"/>
      <c r="BI105" s="6">
        <f t="shared" si="93"/>
        <v>3.2163150242430984E-3</v>
      </c>
      <c r="BJ105" s="151">
        <f t="shared" si="94"/>
        <v>19.699841836721586</v>
      </c>
      <c r="BK105" s="177">
        <f t="shared" si="95"/>
        <v>177.66640103047973</v>
      </c>
      <c r="BL105" s="134">
        <f t="shared" si="96"/>
        <v>2.2496053049762357</v>
      </c>
      <c r="BM105" s="119">
        <f t="shared" si="97"/>
        <v>2.2012578616352201E-3</v>
      </c>
      <c r="BN105">
        <f t="shared" si="98"/>
        <v>22</v>
      </c>
      <c r="BO105" s="124">
        <f t="shared" si="99"/>
        <v>0.35833333333333334</v>
      </c>
      <c r="BP105" s="124"/>
      <c r="BQ105" s="124"/>
      <c r="BR105" s="14">
        <f t="shared" si="100"/>
        <v>1</v>
      </c>
      <c r="BX105" s="83"/>
      <c r="BY105" s="83"/>
      <c r="BZ105" s="83"/>
      <c r="CA105" s="83"/>
      <c r="CB105" s="83"/>
      <c r="CC105" s="151"/>
      <c r="CD105" s="177">
        <f t="shared" si="101"/>
        <v>3500</v>
      </c>
      <c r="CE105" s="134">
        <f t="shared" si="102"/>
        <v>3.5440680443502757</v>
      </c>
      <c r="CF105" s="119">
        <f t="shared" si="103"/>
        <v>2.2012578616352201E-3</v>
      </c>
      <c r="CG105">
        <f t="shared" si="104"/>
        <v>21</v>
      </c>
      <c r="CH105" s="124">
        <f t="shared" si="105"/>
        <v>0.34166666666666667</v>
      </c>
      <c r="CI105" s="124"/>
      <c r="CJ105" s="124"/>
      <c r="CK105" s="14">
        <f t="shared" si="106"/>
        <v>3</v>
      </c>
      <c r="CL105" s="16"/>
    </row>
    <row r="106" spans="1:90" x14ac:dyDescent="0.2">
      <c r="A106" s="8"/>
      <c r="B106" t="s">
        <v>149</v>
      </c>
      <c r="C106">
        <v>22</v>
      </c>
      <c r="D106" t="s">
        <v>127</v>
      </c>
      <c r="F106" s="9"/>
      <c r="G106" t="s">
        <v>111</v>
      </c>
      <c r="H106" s="1">
        <v>14</v>
      </c>
      <c r="I106" s="8">
        <v>310</v>
      </c>
      <c r="J106" t="s">
        <v>35</v>
      </c>
      <c r="K106" s="9">
        <v>0</v>
      </c>
      <c r="L106" s="1">
        <v>0.1</v>
      </c>
      <c r="M106" s="6">
        <v>70</v>
      </c>
      <c r="N106" s="1">
        <v>128.19</v>
      </c>
      <c r="O106" s="18">
        <v>31800.000000000004</v>
      </c>
      <c r="P106" s="30">
        <v>3.3</v>
      </c>
      <c r="R106" s="1"/>
      <c r="S106" s="1"/>
      <c r="T106" s="1"/>
      <c r="U106" s="1"/>
      <c r="V106" s="197"/>
      <c r="W106" s="238">
        <f t="shared" si="77"/>
        <v>-12.350170305663069</v>
      </c>
      <c r="X106" s="118">
        <f t="shared" si="78"/>
        <v>3.8578331161879212E-8</v>
      </c>
      <c r="Y106" s="1"/>
      <c r="Z106" s="1"/>
      <c r="AA106" s="1"/>
      <c r="AB106" s="1"/>
      <c r="AC106" s="197"/>
      <c r="AD106" s="238">
        <f t="shared" si="79"/>
        <v>2.7938932542592712</v>
      </c>
      <c r="AE106" s="96">
        <f t="shared" si="80"/>
        <v>622.14734806165097</v>
      </c>
      <c r="AF106" s="98">
        <f t="shared" si="81"/>
        <v>2.4001406425007302E-5</v>
      </c>
      <c r="AG106" s="22">
        <v>40</v>
      </c>
      <c r="AH106" s="8"/>
      <c r="AI106" s="162">
        <v>0.02</v>
      </c>
      <c r="AJ106" s="167">
        <f t="shared" si="82"/>
        <v>24.188870168815619</v>
      </c>
      <c r="AK106" s="168">
        <f t="shared" si="83"/>
        <v>2.1894693113663193E-2</v>
      </c>
      <c r="AL106" s="151">
        <f t="shared" si="84"/>
        <v>1.6536530942056213</v>
      </c>
      <c r="AM106" s="177">
        <f t="shared" si="85"/>
        <v>1209.443508440781</v>
      </c>
      <c r="AN106" s="134">
        <f t="shared" si="86"/>
        <v>3.0825855878319133</v>
      </c>
      <c r="AO106" s="119">
        <f t="shared" si="87"/>
        <v>1.2578616352201257E-3</v>
      </c>
      <c r="AP106">
        <f t="shared" si="88"/>
        <v>23</v>
      </c>
      <c r="AQ106" s="124">
        <f t="shared" si="89"/>
        <v>0.375</v>
      </c>
      <c r="AR106" s="124"/>
      <c r="AS106" s="124"/>
      <c r="AT106" s="14">
        <f t="shared" si="90"/>
        <v>1</v>
      </c>
      <c r="AZ106" s="83"/>
      <c r="BA106" s="83"/>
      <c r="BB106" s="83"/>
      <c r="BC106" s="83"/>
      <c r="BD106" s="83"/>
      <c r="BE106" s="8">
        <f t="shared" si="91"/>
        <v>2.0304731546340546</v>
      </c>
      <c r="BF106" s="16">
        <f t="shared" si="92"/>
        <v>11.912922913366515</v>
      </c>
      <c r="BG106" s="16"/>
      <c r="BH106" s="189"/>
      <c r="BI106" s="6">
        <f t="shared" si="93"/>
        <v>1.8378942995674848E-3</v>
      </c>
      <c r="BJ106" s="151">
        <f t="shared" si="94"/>
        <v>19.699841836721582</v>
      </c>
      <c r="BK106" s="177">
        <f t="shared" si="95"/>
        <v>101.52365773170273</v>
      </c>
      <c r="BL106" s="134">
        <f t="shared" si="96"/>
        <v>2.0065672562899413</v>
      </c>
      <c r="BM106" s="119">
        <f t="shared" si="97"/>
        <v>1.2578616352201257E-3</v>
      </c>
      <c r="BN106">
        <f t="shared" si="98"/>
        <v>21</v>
      </c>
      <c r="BO106" s="124">
        <f t="shared" si="99"/>
        <v>0.34166666666666667</v>
      </c>
      <c r="BP106" s="124"/>
      <c r="BQ106" s="124"/>
      <c r="BR106" s="14">
        <f t="shared" si="100"/>
        <v>1</v>
      </c>
      <c r="BX106" s="83"/>
      <c r="BY106" s="83"/>
      <c r="BZ106" s="83"/>
      <c r="CA106" s="83"/>
      <c r="CB106" s="83"/>
      <c r="CC106" s="151"/>
      <c r="CD106" s="177">
        <f t="shared" si="101"/>
        <v>2000</v>
      </c>
      <c r="CE106" s="134">
        <f t="shared" si="102"/>
        <v>3.3010299956639813</v>
      </c>
      <c r="CF106" s="119">
        <f t="shared" si="103"/>
        <v>1.2578616352201257E-3</v>
      </c>
      <c r="CG106">
        <f t="shared" si="104"/>
        <v>18</v>
      </c>
      <c r="CH106" s="124">
        <f t="shared" si="105"/>
        <v>0.29166666666666669</v>
      </c>
      <c r="CI106" s="124"/>
      <c r="CJ106" s="124"/>
      <c r="CK106" s="14">
        <f t="shared" si="106"/>
        <v>3</v>
      </c>
      <c r="CL106" s="16"/>
    </row>
    <row r="107" spans="1:90" x14ac:dyDescent="0.2">
      <c r="A107" s="8"/>
      <c r="B107" t="s">
        <v>149</v>
      </c>
      <c r="C107">
        <v>28</v>
      </c>
      <c r="D107" t="s">
        <v>124</v>
      </c>
      <c r="F107" s="9"/>
      <c r="G107" t="s">
        <v>111</v>
      </c>
      <c r="H107" s="1">
        <v>14</v>
      </c>
      <c r="I107" s="8">
        <v>403</v>
      </c>
      <c r="J107" t="s">
        <v>14</v>
      </c>
      <c r="K107" s="9" t="s">
        <v>153</v>
      </c>
      <c r="L107" s="1">
        <v>10</v>
      </c>
      <c r="M107" s="6">
        <v>40</v>
      </c>
      <c r="N107" s="1">
        <v>165.80749949115744</v>
      </c>
      <c r="O107" s="18">
        <v>118882.50367033854</v>
      </c>
      <c r="P107" s="30">
        <v>3.4</v>
      </c>
      <c r="R107" s="1"/>
      <c r="S107" s="1"/>
      <c r="T107" s="1"/>
      <c r="U107" s="1"/>
      <c r="V107" s="197"/>
      <c r="W107" s="238">
        <f t="shared" si="77"/>
        <v>-12.865530048691927</v>
      </c>
      <c r="X107" s="118">
        <f t="shared" si="78"/>
        <v>1.1775617594352262E-8</v>
      </c>
      <c r="Y107" s="1"/>
      <c r="Z107" s="1"/>
      <c r="AA107" s="1"/>
      <c r="AB107" s="1"/>
      <c r="AC107" s="197"/>
      <c r="AD107" s="238">
        <f t="shared" si="79"/>
        <v>2.8928932542592714</v>
      </c>
      <c r="AE107" s="96">
        <f t="shared" si="80"/>
        <v>781.43571099873827</v>
      </c>
      <c r="AF107" s="98">
        <f t="shared" si="81"/>
        <v>9.2018881072919114E-6</v>
      </c>
      <c r="AG107" s="22">
        <v>920</v>
      </c>
      <c r="AH107" s="8"/>
      <c r="AI107" s="162">
        <v>0.02</v>
      </c>
      <c r="AJ107" s="167">
        <f t="shared" si="82"/>
        <v>213.2964741423169</v>
      </c>
      <c r="AK107" s="168">
        <f t="shared" si="83"/>
        <v>0.19306651410255138</v>
      </c>
      <c r="AL107" s="151">
        <f t="shared" si="84"/>
        <v>4.313245231546361</v>
      </c>
      <c r="AM107" s="177">
        <f t="shared" si="85"/>
        <v>10664.823707115844</v>
      </c>
      <c r="AN107" s="134">
        <f t="shared" si="86"/>
        <v>4.027953680820648</v>
      </c>
      <c r="AO107" s="119">
        <f t="shared" si="87"/>
        <v>7.7387333846127785E-3</v>
      </c>
      <c r="AP107">
        <f t="shared" si="88"/>
        <v>45</v>
      </c>
      <c r="AQ107" s="124">
        <f t="shared" si="89"/>
        <v>0.7416666666666667</v>
      </c>
      <c r="AR107" s="124"/>
      <c r="AS107" s="124"/>
      <c r="AT107" s="14">
        <f t="shared" si="90"/>
        <v>1</v>
      </c>
      <c r="AZ107" s="83"/>
      <c r="BA107" s="83"/>
      <c r="BB107" s="83"/>
      <c r="BC107" s="83"/>
      <c r="BD107" s="83"/>
      <c r="BE107" s="8">
        <f t="shared" si="91"/>
        <v>23.429940470296962</v>
      </c>
      <c r="BF107" s="16">
        <f t="shared" si="92"/>
        <v>9.1035858333793485</v>
      </c>
      <c r="BG107" s="16"/>
      <c r="BH107" s="189"/>
      <c r="BI107" s="6">
        <f t="shared" si="93"/>
        <v>2.1207743589855627E-2</v>
      </c>
      <c r="BJ107" s="151">
        <f t="shared" si="94"/>
        <v>39.265998185796477</v>
      </c>
      <c r="BK107" s="177">
        <f t="shared" si="95"/>
        <v>1171.497023514848</v>
      </c>
      <c r="BL107" s="134">
        <f t="shared" si="96"/>
        <v>3.0687411894991623</v>
      </c>
      <c r="BM107" s="119">
        <f t="shared" si="97"/>
        <v>7.7387333846127785E-3</v>
      </c>
      <c r="BN107">
        <f t="shared" si="98"/>
        <v>39</v>
      </c>
      <c r="BO107" s="124">
        <f t="shared" si="99"/>
        <v>0.64166666666666672</v>
      </c>
      <c r="BP107" s="124"/>
      <c r="BQ107" s="124"/>
      <c r="BR107" s="14">
        <f t="shared" si="100"/>
        <v>1</v>
      </c>
      <c r="BX107" s="83"/>
      <c r="BY107" s="83"/>
      <c r="BZ107" s="83"/>
      <c r="CA107" s="83"/>
      <c r="CB107" s="83"/>
      <c r="CC107" s="151"/>
      <c r="CD107" s="177">
        <f t="shared" si="101"/>
        <v>46000</v>
      </c>
      <c r="CE107" s="134">
        <f t="shared" si="102"/>
        <v>4.6627578316815743</v>
      </c>
      <c r="CF107" s="119">
        <f t="shared" si="103"/>
        <v>7.7387333846127785E-3</v>
      </c>
      <c r="CG107">
        <f t="shared" si="104"/>
        <v>42</v>
      </c>
      <c r="CH107" s="124">
        <f t="shared" si="105"/>
        <v>0.69166666666666665</v>
      </c>
      <c r="CI107" s="124"/>
      <c r="CJ107" s="124"/>
      <c r="CK107" s="14">
        <f t="shared" si="106"/>
        <v>3</v>
      </c>
      <c r="CL107" s="16"/>
    </row>
    <row r="108" spans="1:90" x14ac:dyDescent="0.2">
      <c r="A108" s="8"/>
      <c r="B108" t="s">
        <v>149</v>
      </c>
      <c r="C108">
        <v>30</v>
      </c>
      <c r="D108" t="s">
        <v>117</v>
      </c>
      <c r="F108" s="9"/>
      <c r="G108" t="s">
        <v>111</v>
      </c>
      <c r="H108" s="1">
        <v>14</v>
      </c>
      <c r="I108" s="8">
        <v>403</v>
      </c>
      <c r="J108" t="s">
        <v>14</v>
      </c>
      <c r="K108" s="9" t="s">
        <v>153</v>
      </c>
      <c r="L108" s="1">
        <v>10</v>
      </c>
      <c r="M108" s="6">
        <v>40</v>
      </c>
      <c r="N108" s="1">
        <v>165.80749949115744</v>
      </c>
      <c r="O108" s="18">
        <v>118882.50367033854</v>
      </c>
      <c r="P108" s="30">
        <v>3.4</v>
      </c>
      <c r="R108" s="1"/>
      <c r="S108" s="1"/>
      <c r="T108" s="1"/>
      <c r="U108" s="1"/>
      <c r="V108" s="197"/>
      <c r="W108" s="238">
        <f t="shared" si="77"/>
        <v>-12.865530048691927</v>
      </c>
      <c r="X108" s="118">
        <f t="shared" si="78"/>
        <v>1.1775617594352262E-8</v>
      </c>
      <c r="Y108" s="1"/>
      <c r="Z108" s="1"/>
      <c r="AA108" s="1"/>
      <c r="AB108" s="1"/>
      <c r="AC108" s="197"/>
      <c r="AD108" s="238">
        <f t="shared" si="79"/>
        <v>2.8928932542592714</v>
      </c>
      <c r="AE108" s="96">
        <f t="shared" si="80"/>
        <v>781.43571099873827</v>
      </c>
      <c r="AF108" s="98">
        <f t="shared" si="81"/>
        <v>9.2018881072919114E-6</v>
      </c>
      <c r="AG108" s="22">
        <v>260</v>
      </c>
      <c r="AH108" s="8"/>
      <c r="AI108" s="162">
        <v>0.02</v>
      </c>
      <c r="AJ108" s="167">
        <f t="shared" si="82"/>
        <v>60.279438344567815</v>
      </c>
      <c r="AK108" s="168">
        <f t="shared" si="83"/>
        <v>5.4562275724634082E-2</v>
      </c>
      <c r="AL108" s="151">
        <f t="shared" si="84"/>
        <v>4.313245231546361</v>
      </c>
      <c r="AM108" s="177">
        <f t="shared" si="85"/>
        <v>3013.9719172283908</v>
      </c>
      <c r="AN108" s="134">
        <f t="shared" si="86"/>
        <v>3.4791392014459106</v>
      </c>
      <c r="AO108" s="119">
        <f t="shared" si="87"/>
        <v>2.1870333478253502E-3</v>
      </c>
      <c r="AP108">
        <f t="shared" si="88"/>
        <v>35</v>
      </c>
      <c r="AQ108" s="124">
        <f t="shared" si="89"/>
        <v>0.57499999999999996</v>
      </c>
      <c r="AR108" s="124"/>
      <c r="AS108" s="124"/>
      <c r="AT108" s="14">
        <f t="shared" si="90"/>
        <v>1</v>
      </c>
      <c r="AZ108" s="83"/>
      <c r="BA108" s="83"/>
      <c r="BB108" s="83"/>
      <c r="BC108" s="83"/>
      <c r="BD108" s="83"/>
      <c r="BE108" s="8">
        <f t="shared" si="91"/>
        <v>6.621504915518706</v>
      </c>
      <c r="BF108" s="16">
        <f t="shared" si="92"/>
        <v>9.1035858333793485</v>
      </c>
      <c r="BG108" s="16"/>
      <c r="BH108" s="189"/>
      <c r="BI108" s="6">
        <f t="shared" si="93"/>
        <v>5.9934927536548508E-3</v>
      </c>
      <c r="BJ108" s="151">
        <f t="shared" si="94"/>
        <v>39.265998185796484</v>
      </c>
      <c r="BK108" s="177">
        <f t="shared" si="95"/>
        <v>331.07524577593529</v>
      </c>
      <c r="BL108" s="134">
        <f t="shared" si="96"/>
        <v>2.5199267101244249</v>
      </c>
      <c r="BM108" s="119">
        <f t="shared" si="97"/>
        <v>2.1870333478253502E-3</v>
      </c>
      <c r="BN108">
        <f t="shared" si="98"/>
        <v>28</v>
      </c>
      <c r="BO108" s="124">
        <f t="shared" si="99"/>
        <v>0.45833333333333331</v>
      </c>
      <c r="BP108" s="124"/>
      <c r="BQ108" s="124"/>
      <c r="BR108" s="14">
        <f t="shared" si="100"/>
        <v>1</v>
      </c>
      <c r="BX108" s="83"/>
      <c r="BY108" s="83"/>
      <c r="BZ108" s="83"/>
      <c r="CA108" s="83"/>
      <c r="CB108" s="83"/>
      <c r="CC108" s="151"/>
      <c r="CD108" s="177">
        <f t="shared" si="101"/>
        <v>13000</v>
      </c>
      <c r="CE108" s="134">
        <f t="shared" si="102"/>
        <v>4.1139433523068369</v>
      </c>
      <c r="CF108" s="119">
        <f t="shared" si="103"/>
        <v>2.1870333478253502E-3</v>
      </c>
      <c r="CG108">
        <f t="shared" si="104"/>
        <v>34</v>
      </c>
      <c r="CH108" s="124">
        <f t="shared" si="105"/>
        <v>0.55833333333333335</v>
      </c>
      <c r="CI108" s="124"/>
      <c r="CJ108" s="124"/>
      <c r="CK108" s="14">
        <f t="shared" si="106"/>
        <v>3</v>
      </c>
      <c r="CL108" s="16"/>
    </row>
    <row r="109" spans="1:90" x14ac:dyDescent="0.2">
      <c r="A109" s="8"/>
      <c r="B109" t="s">
        <v>149</v>
      </c>
      <c r="C109">
        <v>16</v>
      </c>
      <c r="D109" t="s">
        <v>124</v>
      </c>
      <c r="F109" s="9"/>
      <c r="G109" t="s">
        <v>111</v>
      </c>
      <c r="H109" s="1">
        <v>14</v>
      </c>
      <c r="I109" s="8">
        <v>406</v>
      </c>
      <c r="J109" t="s">
        <v>125</v>
      </c>
      <c r="K109" s="9">
        <v>0</v>
      </c>
      <c r="L109" s="1">
        <v>0.1</v>
      </c>
      <c r="M109" s="6">
        <v>5</v>
      </c>
      <c r="N109" s="1">
        <v>62.5</v>
      </c>
      <c r="O109" s="18">
        <v>428000</v>
      </c>
      <c r="P109" s="30">
        <v>1.52</v>
      </c>
      <c r="R109" s="1"/>
      <c r="S109" s="1"/>
      <c r="T109" s="1"/>
      <c r="U109" s="1"/>
      <c r="V109" s="197"/>
      <c r="W109" s="238">
        <f t="shared" si="77"/>
        <v>-11.450217305663069</v>
      </c>
      <c r="X109" s="118">
        <f t="shared" si="78"/>
        <v>3.064054154564076E-7</v>
      </c>
      <c r="Y109" s="1"/>
      <c r="Z109" s="1"/>
      <c r="AA109" s="1"/>
      <c r="AB109" s="1"/>
      <c r="AC109" s="197"/>
      <c r="AD109" s="238">
        <f t="shared" si="79"/>
        <v>1.0316932542592707</v>
      </c>
      <c r="AE109" s="96">
        <f t="shared" si="80"/>
        <v>10.757051659003467</v>
      </c>
      <c r="AF109" s="98">
        <f t="shared" si="81"/>
        <v>3.2960188826629959E-6</v>
      </c>
      <c r="AG109" s="22">
        <v>2700</v>
      </c>
      <c r="AH109" s="8"/>
      <c r="AI109" s="162">
        <v>0.2</v>
      </c>
      <c r="AJ109" s="167">
        <f t="shared" si="82"/>
        <v>224.21897160972762</v>
      </c>
      <c r="AK109" s="168">
        <f t="shared" si="83"/>
        <v>0.20295307467419921</v>
      </c>
      <c r="AL109" s="151">
        <f t="shared" si="84"/>
        <v>12.041799945009034</v>
      </c>
      <c r="AM109" s="177">
        <f t="shared" si="85"/>
        <v>1121.0948580486381</v>
      </c>
      <c r="AN109" s="134">
        <f t="shared" si="86"/>
        <v>3.0496423606629368</v>
      </c>
      <c r="AO109" s="119">
        <f t="shared" si="87"/>
        <v>6.3084112149532712E-3</v>
      </c>
      <c r="AP109">
        <f t="shared" si="88"/>
        <v>22</v>
      </c>
      <c r="AQ109" s="124">
        <f t="shared" si="89"/>
        <v>0.35833333333333334</v>
      </c>
      <c r="AR109" s="124"/>
      <c r="AS109" s="124"/>
      <c r="AT109" s="14">
        <f t="shared" si="90"/>
        <v>1</v>
      </c>
      <c r="AZ109" s="83"/>
      <c r="BA109" s="83"/>
      <c r="BB109" s="83"/>
      <c r="BC109" s="83"/>
      <c r="BD109" s="83"/>
      <c r="BE109" s="8">
        <f t="shared" si="91"/>
        <v>174.01827743709296</v>
      </c>
      <c r="BF109" s="16">
        <f t="shared" si="92"/>
        <v>1.2884794339536085</v>
      </c>
      <c r="BG109" s="16"/>
      <c r="BH109" s="189"/>
      <c r="BI109" s="6">
        <f t="shared" si="93"/>
        <v>0.15751363143721428</v>
      </c>
      <c r="BJ109" s="151">
        <f t="shared" si="94"/>
        <v>15.515611576927839</v>
      </c>
      <c r="BK109" s="177">
        <f t="shared" si="95"/>
        <v>870.09138718546478</v>
      </c>
      <c r="BL109" s="134">
        <f t="shared" si="96"/>
        <v>2.9395648697059658</v>
      </c>
      <c r="BM109" s="119">
        <f t="shared" si="97"/>
        <v>6.3084112149532712E-3</v>
      </c>
      <c r="BN109">
        <f t="shared" si="98"/>
        <v>37</v>
      </c>
      <c r="BO109" s="124">
        <f t="shared" si="99"/>
        <v>0.60833333333333328</v>
      </c>
      <c r="BP109" s="124"/>
      <c r="BQ109" s="124"/>
      <c r="BR109" s="14">
        <f t="shared" si="100"/>
        <v>1</v>
      </c>
      <c r="BX109" s="83"/>
      <c r="BY109" s="83"/>
      <c r="BZ109" s="83"/>
      <c r="CA109" s="83"/>
      <c r="CB109" s="83"/>
      <c r="CC109" s="151"/>
      <c r="CD109" s="177">
        <f t="shared" si="101"/>
        <v>13500</v>
      </c>
      <c r="CE109" s="134">
        <f t="shared" si="102"/>
        <v>4.1303337684950066</v>
      </c>
      <c r="CF109" s="119">
        <f t="shared" si="103"/>
        <v>6.3084112149532712E-3</v>
      </c>
      <c r="CG109">
        <f t="shared" si="104"/>
        <v>35</v>
      </c>
      <c r="CH109" s="124">
        <f t="shared" si="105"/>
        <v>0.57499999999999996</v>
      </c>
      <c r="CI109" s="124"/>
      <c r="CJ109" s="124"/>
      <c r="CK109" s="14">
        <f t="shared" si="106"/>
        <v>3</v>
      </c>
      <c r="CL109" s="16"/>
    </row>
    <row r="110" spans="1:90" x14ac:dyDescent="0.2">
      <c r="A110" s="8"/>
      <c r="B110" t="s">
        <v>149</v>
      </c>
      <c r="C110">
        <v>31</v>
      </c>
      <c r="D110" t="s">
        <v>126</v>
      </c>
      <c r="F110" s="9"/>
      <c r="G110" t="s">
        <v>111</v>
      </c>
      <c r="H110" s="1">
        <v>14</v>
      </c>
      <c r="I110" s="8">
        <v>406</v>
      </c>
      <c r="J110" t="s">
        <v>125</v>
      </c>
      <c r="K110" s="9">
        <v>0</v>
      </c>
      <c r="L110" s="1">
        <v>0.1</v>
      </c>
      <c r="M110" s="6">
        <v>5</v>
      </c>
      <c r="N110" s="1">
        <v>62.5</v>
      </c>
      <c r="O110" s="18">
        <v>428000</v>
      </c>
      <c r="P110" s="30">
        <v>1.52</v>
      </c>
      <c r="R110" s="1"/>
      <c r="S110" s="1"/>
      <c r="T110" s="1"/>
      <c r="U110" s="1"/>
      <c r="V110" s="197"/>
      <c r="W110" s="238">
        <f t="shared" si="77"/>
        <v>-11.450217305663069</v>
      </c>
      <c r="X110" s="118">
        <f t="shared" si="78"/>
        <v>3.064054154564076E-7</v>
      </c>
      <c r="Y110" s="1"/>
      <c r="Z110" s="1"/>
      <c r="AA110" s="1"/>
      <c r="AB110" s="1"/>
      <c r="AC110" s="197"/>
      <c r="AD110" s="238">
        <f t="shared" si="79"/>
        <v>1.0316932542592707</v>
      </c>
      <c r="AE110" s="96">
        <f t="shared" si="80"/>
        <v>10.757051659003467</v>
      </c>
      <c r="AF110" s="98">
        <f t="shared" si="81"/>
        <v>3.2960188826629959E-6</v>
      </c>
      <c r="AG110" s="22">
        <v>11</v>
      </c>
      <c r="AH110" s="8"/>
      <c r="AI110" s="162">
        <v>0.2</v>
      </c>
      <c r="AJ110" s="167">
        <f t="shared" si="82"/>
        <v>0.91348469915074204</v>
      </c>
      <c r="AK110" s="168">
        <f t="shared" si="83"/>
        <v>8.2684585978377444E-4</v>
      </c>
      <c r="AL110" s="151">
        <f t="shared" si="84"/>
        <v>12.041799945009034</v>
      </c>
      <c r="AM110" s="177">
        <f t="shared" si="85"/>
        <v>4.5674234957537099</v>
      </c>
      <c r="AN110" s="134">
        <f t="shared" si="86"/>
        <v>0.65967128166217437</v>
      </c>
      <c r="AO110" s="119">
        <f t="shared" si="87"/>
        <v>2.5700934579439254E-5</v>
      </c>
      <c r="AP110">
        <f t="shared" si="88"/>
        <v>1</v>
      </c>
      <c r="AQ110" s="124">
        <f t="shared" si="89"/>
        <v>8.3333333333333332E-3</v>
      </c>
      <c r="AR110" s="124"/>
      <c r="AS110" s="124"/>
      <c r="AT110" s="14">
        <f t="shared" si="90"/>
        <v>1</v>
      </c>
      <c r="AZ110" s="83"/>
      <c r="BA110" s="83"/>
      <c r="BB110" s="83"/>
      <c r="BC110" s="83"/>
      <c r="BD110" s="83"/>
      <c r="BE110" s="8">
        <f t="shared" si="91"/>
        <v>0.70896335252149001</v>
      </c>
      <c r="BF110" s="16">
        <f t="shared" si="92"/>
        <v>1.2884794339536085</v>
      </c>
      <c r="BG110" s="16"/>
      <c r="BH110" s="189"/>
      <c r="BI110" s="6">
        <f t="shared" si="93"/>
        <v>6.4172220215161376E-4</v>
      </c>
      <c r="BJ110" s="151">
        <f t="shared" si="94"/>
        <v>15.515611576927835</v>
      </c>
      <c r="BK110" s="177">
        <f t="shared" si="95"/>
        <v>3.54481676260745</v>
      </c>
      <c r="BL110" s="134">
        <f t="shared" si="96"/>
        <v>0.54959379070520342</v>
      </c>
      <c r="BM110" s="119">
        <f t="shared" si="97"/>
        <v>2.5700934579439254E-5</v>
      </c>
      <c r="BN110">
        <f t="shared" si="98"/>
        <v>4</v>
      </c>
      <c r="BO110" s="124">
        <f t="shared" si="99"/>
        <v>5.8333333333333334E-2</v>
      </c>
      <c r="BP110" s="124"/>
      <c r="BQ110" s="124"/>
      <c r="BR110" s="14">
        <f t="shared" si="100"/>
        <v>1</v>
      </c>
      <c r="BX110" s="83"/>
      <c r="BY110" s="83"/>
      <c r="BZ110" s="83"/>
      <c r="CA110" s="83"/>
      <c r="CB110" s="83"/>
      <c r="CC110" s="151"/>
      <c r="CD110" s="177">
        <f t="shared" si="101"/>
        <v>55</v>
      </c>
      <c r="CE110" s="134">
        <f t="shared" si="102"/>
        <v>1.7403626894942439</v>
      </c>
      <c r="CF110" s="119">
        <f t="shared" si="103"/>
        <v>2.5700934579439254E-5</v>
      </c>
      <c r="CG110">
        <f t="shared" si="104"/>
        <v>4</v>
      </c>
      <c r="CH110" s="124">
        <f t="shared" si="105"/>
        <v>5.8333333333333334E-2</v>
      </c>
      <c r="CI110" s="124"/>
      <c r="CJ110" s="124"/>
      <c r="CK110" s="14">
        <f t="shared" si="106"/>
        <v>3</v>
      </c>
      <c r="CL110" s="16"/>
    </row>
    <row r="111" spans="1:90" x14ac:dyDescent="0.2">
      <c r="A111" s="8"/>
      <c r="B111" t="s">
        <v>149</v>
      </c>
      <c r="C111">
        <v>10</v>
      </c>
      <c r="D111" t="s">
        <v>124</v>
      </c>
      <c r="F111" s="9"/>
      <c r="G111" t="s">
        <v>111</v>
      </c>
      <c r="H111" s="1">
        <v>14</v>
      </c>
      <c r="I111" s="8">
        <v>-200</v>
      </c>
      <c r="J111" t="s">
        <v>24</v>
      </c>
      <c r="K111" s="9" t="s">
        <v>154</v>
      </c>
      <c r="L111" s="1">
        <v>1</v>
      </c>
      <c r="M111" s="6">
        <v>70</v>
      </c>
      <c r="N111" s="1">
        <v>106.18777634762812</v>
      </c>
      <c r="O111" s="18">
        <v>209092.85927557945</v>
      </c>
      <c r="P111" s="30">
        <v>3.1566666666666667</v>
      </c>
      <c r="R111" s="1"/>
      <c r="S111" s="1"/>
      <c r="T111" s="1"/>
      <c r="U111" s="1"/>
      <c r="V111" s="197"/>
      <c r="W111" s="238">
        <f t="shared" si="77"/>
        <v>-12.048739841625574</v>
      </c>
      <c r="X111" s="118">
        <f t="shared" si="78"/>
        <v>7.7227842260001863E-8</v>
      </c>
      <c r="Y111" s="1"/>
      <c r="Z111" s="1"/>
      <c r="AA111" s="1"/>
      <c r="AB111" s="1"/>
      <c r="AC111" s="197"/>
      <c r="AD111" s="238">
        <f t="shared" si="79"/>
        <v>2.6519932542592715</v>
      </c>
      <c r="AE111" s="96">
        <f t="shared" si="80"/>
        <v>448.73841978575496</v>
      </c>
      <c r="AF111" s="98">
        <f t="shared" si="81"/>
        <v>3.465509989921678E-5</v>
      </c>
      <c r="AG111" s="22">
        <v>10000</v>
      </c>
      <c r="AH111" s="8"/>
      <c r="AI111" s="162">
        <v>0.02</v>
      </c>
      <c r="AJ111" s="167">
        <f t="shared" si="82"/>
        <v>8731.4436631939461</v>
      </c>
      <c r="AK111" s="168">
        <f t="shared" si="83"/>
        <v>7.9033157857588003</v>
      </c>
      <c r="AL111" s="151">
        <f t="shared" si="84"/>
        <v>1.1452859785551224</v>
      </c>
      <c r="AM111" s="177">
        <f t="shared" si="85"/>
        <v>436572.18315969728</v>
      </c>
      <c r="AN111" s="134">
        <f t="shared" si="86"/>
        <v>5.640056060541446</v>
      </c>
      <c r="AO111" s="119">
        <f t="shared" si="87"/>
        <v>4.7825640888196165E-2</v>
      </c>
      <c r="AP111">
        <f t="shared" si="88"/>
        <v>59</v>
      </c>
      <c r="AQ111" s="124">
        <f t="shared" si="89"/>
        <v>0.97499999999999998</v>
      </c>
      <c r="AR111" s="124"/>
      <c r="AS111" s="124"/>
      <c r="AT111" s="14">
        <f t="shared" si="90"/>
        <v>1</v>
      </c>
      <c r="AZ111" s="83"/>
      <c r="BA111" s="83"/>
      <c r="BB111" s="83"/>
      <c r="BC111" s="83"/>
      <c r="BD111" s="83"/>
      <c r="BE111" s="8">
        <f t="shared" si="91"/>
        <v>722.06907321923234</v>
      </c>
      <c r="BF111" s="16">
        <f t="shared" si="92"/>
        <v>12.092255418537963</v>
      </c>
      <c r="BG111" s="16"/>
      <c r="BH111" s="189"/>
      <c r="BI111" s="6">
        <f t="shared" si="93"/>
        <v>0.65358491962075727</v>
      </c>
      <c r="BJ111" s="151">
        <f t="shared" si="94"/>
        <v>13.849090579958728</v>
      </c>
      <c r="BK111" s="177">
        <f t="shared" si="95"/>
        <v>36103.453660961619</v>
      </c>
      <c r="BL111" s="134">
        <f t="shared" si="96"/>
        <v>4.5575487485581538</v>
      </c>
      <c r="BM111" s="119">
        <f t="shared" si="97"/>
        <v>4.7825640888196165E-2</v>
      </c>
      <c r="BN111">
        <f t="shared" si="98"/>
        <v>59</v>
      </c>
      <c r="BO111" s="124">
        <f t="shared" si="99"/>
        <v>0.97499999999999998</v>
      </c>
      <c r="BP111" s="124"/>
      <c r="BQ111" s="124"/>
      <c r="BR111" s="14">
        <f t="shared" si="100"/>
        <v>1</v>
      </c>
      <c r="BX111" s="83"/>
      <c r="BY111" s="83"/>
      <c r="BZ111" s="83"/>
      <c r="CA111" s="83"/>
      <c r="CB111" s="83"/>
      <c r="CC111" s="151"/>
      <c r="CD111" s="177">
        <f t="shared" si="101"/>
        <v>500000</v>
      </c>
      <c r="CE111" s="134">
        <f t="shared" si="102"/>
        <v>5.6989700043360187</v>
      </c>
      <c r="CF111" s="119">
        <f t="shared" si="103"/>
        <v>4.7825640888196165E-2</v>
      </c>
      <c r="CG111">
        <f t="shared" si="104"/>
        <v>58</v>
      </c>
      <c r="CH111" s="124">
        <f t="shared" si="105"/>
        <v>0.95833333333333337</v>
      </c>
      <c r="CI111" s="124"/>
      <c r="CJ111" s="124"/>
      <c r="CK111" s="14">
        <f t="shared" si="106"/>
        <v>3</v>
      </c>
      <c r="CL111" s="16"/>
    </row>
    <row r="112" spans="1:90" x14ac:dyDescent="0.2">
      <c r="A112" s="8"/>
      <c r="B112" t="s">
        <v>149</v>
      </c>
      <c r="C112">
        <v>12</v>
      </c>
      <c r="D112" t="s">
        <v>123</v>
      </c>
      <c r="F112" s="9"/>
      <c r="G112" t="s">
        <v>111</v>
      </c>
      <c r="H112" s="1">
        <v>14</v>
      </c>
      <c r="I112" s="8">
        <v>-200</v>
      </c>
      <c r="J112" t="s">
        <v>24</v>
      </c>
      <c r="K112" s="9" t="s">
        <v>154</v>
      </c>
      <c r="L112" s="1">
        <v>1</v>
      </c>
      <c r="M112" s="6">
        <v>70</v>
      </c>
      <c r="N112" s="1">
        <v>106.18777634762812</v>
      </c>
      <c r="O112" s="18">
        <v>209092.85927557945</v>
      </c>
      <c r="P112" s="30">
        <v>3.1566666666666667</v>
      </c>
      <c r="R112" s="1"/>
      <c r="S112" s="1"/>
      <c r="T112" s="1"/>
      <c r="U112" s="1"/>
      <c r="V112" s="197"/>
      <c r="W112" s="238">
        <f t="shared" si="77"/>
        <v>-12.048739841625574</v>
      </c>
      <c r="X112" s="118">
        <f t="shared" si="78"/>
        <v>7.7227842260001863E-8</v>
      </c>
      <c r="Y112" s="1"/>
      <c r="Z112" s="1"/>
      <c r="AA112" s="1"/>
      <c r="AB112" s="1"/>
      <c r="AC112" s="197"/>
      <c r="AD112" s="238">
        <f t="shared" si="79"/>
        <v>2.6519932542592715</v>
      </c>
      <c r="AE112" s="96">
        <f t="shared" si="80"/>
        <v>448.73841978575496</v>
      </c>
      <c r="AF112" s="98">
        <f t="shared" si="81"/>
        <v>3.465509989921678E-5</v>
      </c>
      <c r="AG112" s="22">
        <v>4300</v>
      </c>
      <c r="AH112" s="8"/>
      <c r="AI112" s="162">
        <v>0.02</v>
      </c>
      <c r="AJ112" s="167">
        <f t="shared" si="82"/>
        <v>3754.5207751733974</v>
      </c>
      <c r="AK112" s="168">
        <f t="shared" si="83"/>
        <v>3.3984257878762847</v>
      </c>
      <c r="AL112" s="151">
        <f t="shared" si="84"/>
        <v>1.1452859785551222</v>
      </c>
      <c r="AM112" s="177">
        <f t="shared" si="85"/>
        <v>187726.03875866986</v>
      </c>
      <c r="AN112" s="134">
        <f t="shared" si="86"/>
        <v>5.2735245161210322</v>
      </c>
      <c r="AO112" s="119">
        <f t="shared" si="87"/>
        <v>2.0565025581924353E-2</v>
      </c>
      <c r="AP112">
        <f t="shared" si="88"/>
        <v>56</v>
      </c>
      <c r="AQ112" s="124">
        <f t="shared" si="89"/>
        <v>0.92500000000000004</v>
      </c>
      <c r="AR112" s="124"/>
      <c r="AS112" s="124"/>
      <c r="AT112" s="14">
        <f t="shared" si="90"/>
        <v>1</v>
      </c>
      <c r="AZ112" s="83"/>
      <c r="BA112" s="83"/>
      <c r="BB112" s="83"/>
      <c r="BC112" s="83"/>
      <c r="BD112" s="83"/>
      <c r="BE112" s="8">
        <f t="shared" si="91"/>
        <v>310.48970148426991</v>
      </c>
      <c r="BF112" s="16">
        <f t="shared" si="92"/>
        <v>12.092255418537963</v>
      </c>
      <c r="BG112" s="16"/>
      <c r="BH112" s="189"/>
      <c r="BI112" s="6">
        <f t="shared" si="93"/>
        <v>0.28104151543692563</v>
      </c>
      <c r="BJ112" s="151">
        <f t="shared" si="94"/>
        <v>13.849090579958728</v>
      </c>
      <c r="BK112" s="177">
        <f t="shared" si="95"/>
        <v>15524.485074213495</v>
      </c>
      <c r="BL112" s="134">
        <f t="shared" si="96"/>
        <v>4.1910172041377409</v>
      </c>
      <c r="BM112" s="119">
        <f t="shared" si="97"/>
        <v>2.0565025581924353E-2</v>
      </c>
      <c r="BN112">
        <f t="shared" si="98"/>
        <v>56</v>
      </c>
      <c r="BO112" s="124">
        <f t="shared" si="99"/>
        <v>0.92500000000000004</v>
      </c>
      <c r="BP112" s="124"/>
      <c r="BQ112" s="124"/>
      <c r="BR112" s="14">
        <f t="shared" si="100"/>
        <v>1</v>
      </c>
      <c r="BX112" s="83"/>
      <c r="BY112" s="83"/>
      <c r="BZ112" s="83"/>
      <c r="CA112" s="83"/>
      <c r="CB112" s="83"/>
      <c r="CC112" s="151"/>
      <c r="CD112" s="177">
        <f t="shared" si="101"/>
        <v>215000</v>
      </c>
      <c r="CE112" s="134">
        <f t="shared" si="102"/>
        <v>5.3324384599156049</v>
      </c>
      <c r="CF112" s="119">
        <f t="shared" si="103"/>
        <v>2.0565025581924353E-2</v>
      </c>
      <c r="CG112">
        <f t="shared" si="104"/>
        <v>56</v>
      </c>
      <c r="CH112" s="124">
        <f t="shared" si="105"/>
        <v>0.92500000000000004</v>
      </c>
      <c r="CI112" s="124"/>
      <c r="CJ112" s="124"/>
      <c r="CK112" s="14">
        <f t="shared" si="106"/>
        <v>3</v>
      </c>
      <c r="CL112" s="16"/>
    </row>
    <row r="113" spans="1:90" x14ac:dyDescent="0.2">
      <c r="A113" s="8"/>
      <c r="B113" t="s">
        <v>149</v>
      </c>
      <c r="C113">
        <v>19</v>
      </c>
      <c r="D113" t="s">
        <v>122</v>
      </c>
      <c r="F113" s="9"/>
      <c r="G113" t="s">
        <v>111</v>
      </c>
      <c r="H113" s="1">
        <v>14</v>
      </c>
      <c r="I113" s="8">
        <v>-200</v>
      </c>
      <c r="J113" t="s">
        <v>24</v>
      </c>
      <c r="K113" s="9" t="s">
        <v>154</v>
      </c>
      <c r="L113" s="1">
        <v>1</v>
      </c>
      <c r="M113" s="6">
        <v>70</v>
      </c>
      <c r="N113" s="1">
        <v>106.18777634762812</v>
      </c>
      <c r="O113" s="18">
        <v>209092.85927557945</v>
      </c>
      <c r="P113" s="30">
        <v>3.1566666666666667</v>
      </c>
      <c r="R113" s="1"/>
      <c r="S113" s="1"/>
      <c r="T113" s="1"/>
      <c r="U113" s="1"/>
      <c r="V113" s="197"/>
      <c r="W113" s="238">
        <f t="shared" si="77"/>
        <v>-12.048739841625574</v>
      </c>
      <c r="X113" s="118">
        <f t="shared" si="78"/>
        <v>7.7227842260001863E-8</v>
      </c>
      <c r="Y113" s="1"/>
      <c r="Z113" s="1"/>
      <c r="AA113" s="1"/>
      <c r="AB113" s="1"/>
      <c r="AC113" s="197"/>
      <c r="AD113" s="238">
        <f t="shared" si="79"/>
        <v>2.6519932542592715</v>
      </c>
      <c r="AE113" s="96">
        <f t="shared" si="80"/>
        <v>448.73841978575496</v>
      </c>
      <c r="AF113" s="98">
        <f t="shared" si="81"/>
        <v>3.465509989921678E-5</v>
      </c>
      <c r="AG113" s="22">
        <v>1600</v>
      </c>
      <c r="AH113" s="8"/>
      <c r="AI113" s="162">
        <v>0.02</v>
      </c>
      <c r="AJ113" s="167">
        <f t="shared" si="82"/>
        <v>1397.0309861110316</v>
      </c>
      <c r="AK113" s="168">
        <f t="shared" si="83"/>
        <v>1.2645305257214081</v>
      </c>
      <c r="AL113" s="151">
        <f t="shared" si="84"/>
        <v>1.1452859785551222</v>
      </c>
      <c r="AM113" s="177">
        <f t="shared" si="85"/>
        <v>69851.549305551569</v>
      </c>
      <c r="AN113" s="134">
        <f t="shared" si="86"/>
        <v>4.8441760431973711</v>
      </c>
      <c r="AO113" s="119">
        <f t="shared" si="87"/>
        <v>7.6521025421113871E-3</v>
      </c>
      <c r="AP113">
        <f t="shared" si="88"/>
        <v>54</v>
      </c>
      <c r="AQ113" s="124">
        <f t="shared" si="89"/>
        <v>0.89166666666666672</v>
      </c>
      <c r="AR113" s="124"/>
      <c r="AS113" s="124"/>
      <c r="AT113" s="14">
        <f t="shared" si="90"/>
        <v>1</v>
      </c>
      <c r="AZ113" s="83"/>
      <c r="BA113" s="83"/>
      <c r="BB113" s="83"/>
      <c r="BC113" s="83"/>
      <c r="BD113" s="83"/>
      <c r="BE113" s="8">
        <f t="shared" si="91"/>
        <v>115.53105171507715</v>
      </c>
      <c r="BF113" s="16">
        <f t="shared" si="92"/>
        <v>12.092255418537963</v>
      </c>
      <c r="BG113" s="16"/>
      <c r="BH113" s="189"/>
      <c r="BI113" s="6">
        <f t="shared" si="93"/>
        <v>0.10457358713932116</v>
      </c>
      <c r="BJ113" s="151">
        <f t="shared" si="94"/>
        <v>13.84909057995873</v>
      </c>
      <c r="BK113" s="177">
        <f t="shared" si="95"/>
        <v>5776.5525857538578</v>
      </c>
      <c r="BL113" s="134">
        <f t="shared" si="96"/>
        <v>3.7616687312140789</v>
      </c>
      <c r="BM113" s="119">
        <f t="shared" si="97"/>
        <v>7.6521025421113871E-3</v>
      </c>
      <c r="BN113">
        <f t="shared" si="98"/>
        <v>53</v>
      </c>
      <c r="BO113" s="124">
        <f t="shared" si="99"/>
        <v>0.875</v>
      </c>
      <c r="BP113" s="124"/>
      <c r="BQ113" s="124"/>
      <c r="BR113" s="14">
        <f t="shared" si="100"/>
        <v>1</v>
      </c>
      <c r="BX113" s="83"/>
      <c r="BY113" s="83"/>
      <c r="BZ113" s="83"/>
      <c r="CA113" s="83"/>
      <c r="CB113" s="83"/>
      <c r="CC113" s="151"/>
      <c r="CD113" s="177">
        <f t="shared" si="101"/>
        <v>80000</v>
      </c>
      <c r="CE113" s="134">
        <f t="shared" si="102"/>
        <v>4.9030899869919438</v>
      </c>
      <c r="CF113" s="119">
        <f t="shared" si="103"/>
        <v>7.6521025421113871E-3</v>
      </c>
      <c r="CG113">
        <f t="shared" si="104"/>
        <v>49</v>
      </c>
      <c r="CH113" s="124">
        <f t="shared" si="105"/>
        <v>0.80833333333333335</v>
      </c>
      <c r="CI113" s="124"/>
      <c r="CJ113" s="124"/>
      <c r="CK113" s="14">
        <f t="shared" si="106"/>
        <v>3</v>
      </c>
      <c r="CL113" s="16"/>
    </row>
    <row r="114" spans="1:90" x14ac:dyDescent="0.2">
      <c r="A114" s="8"/>
      <c r="B114" t="s">
        <v>149</v>
      </c>
      <c r="C114">
        <v>23</v>
      </c>
      <c r="D114" t="s">
        <v>121</v>
      </c>
      <c r="F114" s="9"/>
      <c r="G114" t="s">
        <v>111</v>
      </c>
      <c r="H114" s="1">
        <v>14</v>
      </c>
      <c r="I114" s="8">
        <v>-200</v>
      </c>
      <c r="J114" t="s">
        <v>24</v>
      </c>
      <c r="K114" s="9" t="s">
        <v>154</v>
      </c>
      <c r="L114" s="1">
        <v>1</v>
      </c>
      <c r="M114" s="6">
        <v>70</v>
      </c>
      <c r="N114" s="1">
        <v>106.18777634762812</v>
      </c>
      <c r="O114" s="18">
        <v>209092.85927557945</v>
      </c>
      <c r="P114" s="30">
        <v>3.1566666666666667</v>
      </c>
      <c r="R114" s="1"/>
      <c r="S114" s="1"/>
      <c r="T114" s="1"/>
      <c r="U114" s="1"/>
      <c r="V114" s="197"/>
      <c r="W114" s="238">
        <f t="shared" si="77"/>
        <v>-12.048739841625574</v>
      </c>
      <c r="X114" s="118">
        <f t="shared" si="78"/>
        <v>7.7227842260001863E-8</v>
      </c>
      <c r="Y114" s="1"/>
      <c r="Z114" s="1"/>
      <c r="AA114" s="1"/>
      <c r="AB114" s="1"/>
      <c r="AC114" s="197"/>
      <c r="AD114" s="238">
        <f t="shared" si="79"/>
        <v>2.6519932542592715</v>
      </c>
      <c r="AE114" s="96">
        <f t="shared" si="80"/>
        <v>448.73841978575496</v>
      </c>
      <c r="AF114" s="98">
        <f t="shared" si="81"/>
        <v>3.465509989921678E-5</v>
      </c>
      <c r="AG114" s="22">
        <v>690</v>
      </c>
      <c r="AH114" s="8"/>
      <c r="AI114" s="162">
        <v>0.02</v>
      </c>
      <c r="AJ114" s="167">
        <f t="shared" si="82"/>
        <v>602.46961276038235</v>
      </c>
      <c r="AK114" s="168">
        <f t="shared" si="83"/>
        <v>0.54532878921735728</v>
      </c>
      <c r="AL114" s="151">
        <f t="shared" si="84"/>
        <v>1.1452859785551222</v>
      </c>
      <c r="AM114" s="177">
        <f t="shared" si="85"/>
        <v>30123.480638019118</v>
      </c>
      <c r="AN114" s="134">
        <f t="shared" si="86"/>
        <v>4.4789051512787017</v>
      </c>
      <c r="AO114" s="119">
        <f t="shared" si="87"/>
        <v>3.2999692212855357E-3</v>
      </c>
      <c r="AP114">
        <f t="shared" si="88"/>
        <v>52</v>
      </c>
      <c r="AQ114" s="124">
        <f t="shared" si="89"/>
        <v>0.85833333333333328</v>
      </c>
      <c r="AR114" s="124"/>
      <c r="AS114" s="124"/>
      <c r="AT114" s="14">
        <f t="shared" si="90"/>
        <v>1</v>
      </c>
      <c r="AZ114" s="83"/>
      <c r="BA114" s="83"/>
      <c r="BB114" s="83"/>
      <c r="BC114" s="83"/>
      <c r="BD114" s="83"/>
      <c r="BE114" s="8">
        <f t="shared" si="91"/>
        <v>49.822766052127029</v>
      </c>
      <c r="BF114" s="16">
        <f t="shared" si="92"/>
        <v>12.092255418537963</v>
      </c>
      <c r="BG114" s="16"/>
      <c r="BH114" s="189"/>
      <c r="BI114" s="6">
        <f t="shared" si="93"/>
        <v>4.5097359453832253E-2</v>
      </c>
      <c r="BJ114" s="151">
        <f t="shared" si="94"/>
        <v>13.849090579958728</v>
      </c>
      <c r="BK114" s="177">
        <f t="shared" si="95"/>
        <v>2491.1383026063513</v>
      </c>
      <c r="BL114" s="134">
        <f t="shared" si="96"/>
        <v>3.3963978392954095</v>
      </c>
      <c r="BM114" s="119">
        <f t="shared" si="97"/>
        <v>3.2999692212855357E-3</v>
      </c>
      <c r="BN114">
        <f t="shared" si="98"/>
        <v>48</v>
      </c>
      <c r="BO114" s="124">
        <f t="shared" si="99"/>
        <v>0.79166666666666663</v>
      </c>
      <c r="BP114" s="124"/>
      <c r="BQ114" s="124"/>
      <c r="BR114" s="14">
        <f t="shared" si="100"/>
        <v>1</v>
      </c>
      <c r="BX114" s="83"/>
      <c r="BY114" s="83"/>
      <c r="BZ114" s="83"/>
      <c r="CA114" s="83"/>
      <c r="CB114" s="83"/>
      <c r="CC114" s="151"/>
      <c r="CD114" s="177">
        <f t="shared" si="101"/>
        <v>34500</v>
      </c>
      <c r="CE114" s="134">
        <f t="shared" si="102"/>
        <v>4.5378190950732744</v>
      </c>
      <c r="CF114" s="119">
        <f t="shared" si="103"/>
        <v>3.2999692212855357E-3</v>
      </c>
      <c r="CG114">
        <f t="shared" si="104"/>
        <v>40</v>
      </c>
      <c r="CH114" s="124">
        <f t="shared" si="105"/>
        <v>0.65833333333333333</v>
      </c>
      <c r="CI114" s="124"/>
      <c r="CJ114" s="124"/>
      <c r="CK114" s="14">
        <f t="shared" si="106"/>
        <v>3</v>
      </c>
      <c r="CL114" s="16"/>
    </row>
    <row r="115" spans="1:90" x14ac:dyDescent="0.2">
      <c r="A115" s="8"/>
      <c r="B115" t="s">
        <v>149</v>
      </c>
      <c r="C115">
        <v>24</v>
      </c>
      <c r="D115" t="s">
        <v>120</v>
      </c>
      <c r="F115" s="9"/>
      <c r="G115" t="s">
        <v>111</v>
      </c>
      <c r="H115" s="1">
        <v>14</v>
      </c>
      <c r="I115" s="8">
        <v>-200</v>
      </c>
      <c r="J115" t="s">
        <v>24</v>
      </c>
      <c r="K115" s="9" t="s">
        <v>154</v>
      </c>
      <c r="L115" s="1">
        <v>1</v>
      </c>
      <c r="M115" s="6">
        <v>70</v>
      </c>
      <c r="N115" s="1">
        <v>106.18777634762812</v>
      </c>
      <c r="O115" s="18">
        <v>209092.85927557945</v>
      </c>
      <c r="P115" s="30">
        <v>3.1566666666666667</v>
      </c>
      <c r="R115" s="1"/>
      <c r="S115" s="1"/>
      <c r="T115" s="1"/>
      <c r="U115" s="1"/>
      <c r="V115" s="197"/>
      <c r="W115" s="238">
        <f t="shared" si="77"/>
        <v>-12.048739841625574</v>
      </c>
      <c r="X115" s="118">
        <f t="shared" si="78"/>
        <v>7.7227842260001863E-8</v>
      </c>
      <c r="Y115" s="1"/>
      <c r="Z115" s="1"/>
      <c r="AA115" s="1"/>
      <c r="AB115" s="1"/>
      <c r="AC115" s="197"/>
      <c r="AD115" s="238">
        <f t="shared" si="79"/>
        <v>2.6519932542592715</v>
      </c>
      <c r="AE115" s="96">
        <f t="shared" si="80"/>
        <v>448.73841978575496</v>
      </c>
      <c r="AF115" s="98">
        <f t="shared" si="81"/>
        <v>3.465509989921678E-5</v>
      </c>
      <c r="AG115" s="22">
        <v>590</v>
      </c>
      <c r="AH115" s="8"/>
      <c r="AI115" s="162">
        <v>0.02</v>
      </c>
      <c r="AJ115" s="167">
        <f t="shared" si="82"/>
        <v>515.1551761284428</v>
      </c>
      <c r="AK115" s="168">
        <f t="shared" si="83"/>
        <v>0.4662956313597692</v>
      </c>
      <c r="AL115" s="151">
        <f t="shared" si="84"/>
        <v>1.1452859785551224</v>
      </c>
      <c r="AM115" s="177">
        <f t="shared" si="85"/>
        <v>25757.758806422138</v>
      </c>
      <c r="AN115" s="134">
        <f t="shared" si="86"/>
        <v>4.4109080721835898</v>
      </c>
      <c r="AO115" s="119">
        <f t="shared" si="87"/>
        <v>2.8217128124035738E-3</v>
      </c>
      <c r="AP115">
        <f t="shared" si="88"/>
        <v>51</v>
      </c>
      <c r="AQ115" s="124">
        <f t="shared" si="89"/>
        <v>0.84166666666666667</v>
      </c>
      <c r="AR115" s="124"/>
      <c r="AS115" s="124"/>
      <c r="AT115" s="14">
        <f t="shared" si="90"/>
        <v>1</v>
      </c>
      <c r="AZ115" s="83"/>
      <c r="BA115" s="83"/>
      <c r="BB115" s="83"/>
      <c r="BC115" s="83"/>
      <c r="BD115" s="83"/>
      <c r="BE115" s="8">
        <f t="shared" si="91"/>
        <v>42.602075319934706</v>
      </c>
      <c r="BF115" s="16">
        <f t="shared" si="92"/>
        <v>12.092255418537963</v>
      </c>
      <c r="BG115" s="16"/>
      <c r="BH115" s="189"/>
      <c r="BI115" s="6">
        <f t="shared" si="93"/>
        <v>3.8561510257624679E-2</v>
      </c>
      <c r="BJ115" s="151">
        <f t="shared" si="94"/>
        <v>13.849090579958728</v>
      </c>
      <c r="BK115" s="177">
        <f t="shared" si="95"/>
        <v>2130.1037659967351</v>
      </c>
      <c r="BL115" s="134">
        <f t="shared" si="96"/>
        <v>3.3284007602002981</v>
      </c>
      <c r="BM115" s="119">
        <f t="shared" si="97"/>
        <v>2.8217128124035738E-3</v>
      </c>
      <c r="BN115">
        <f t="shared" si="98"/>
        <v>45</v>
      </c>
      <c r="BO115" s="124">
        <f t="shared" si="99"/>
        <v>0.7416666666666667</v>
      </c>
      <c r="BP115" s="124"/>
      <c r="BQ115" s="124"/>
      <c r="BR115" s="14">
        <f t="shared" si="100"/>
        <v>1</v>
      </c>
      <c r="BX115" s="83"/>
      <c r="BY115" s="83"/>
      <c r="BZ115" s="83"/>
      <c r="CA115" s="83"/>
      <c r="CB115" s="83"/>
      <c r="CC115" s="151"/>
      <c r="CD115" s="177">
        <f t="shared" si="101"/>
        <v>29500</v>
      </c>
      <c r="CE115" s="134">
        <f t="shared" si="102"/>
        <v>4.4698220159781634</v>
      </c>
      <c r="CF115" s="119">
        <f t="shared" si="103"/>
        <v>2.8217128124035738E-3</v>
      </c>
      <c r="CG115">
        <f t="shared" si="104"/>
        <v>39</v>
      </c>
      <c r="CH115" s="124">
        <f t="shared" si="105"/>
        <v>0.64166666666666672</v>
      </c>
      <c r="CI115" s="124"/>
      <c r="CJ115" s="124"/>
      <c r="CK115" s="14">
        <f t="shared" si="106"/>
        <v>3</v>
      </c>
      <c r="CL115" s="16"/>
    </row>
    <row r="116" spans="1:90" x14ac:dyDescent="0.2">
      <c r="A116" s="8"/>
      <c r="B116" t="s">
        <v>149</v>
      </c>
      <c r="C116">
        <v>25</v>
      </c>
      <c r="D116" t="s">
        <v>117</v>
      </c>
      <c r="F116" s="9"/>
      <c r="G116" t="s">
        <v>111</v>
      </c>
      <c r="H116" s="1">
        <v>14</v>
      </c>
      <c r="I116" s="8">
        <v>-200</v>
      </c>
      <c r="J116" t="s">
        <v>24</v>
      </c>
      <c r="K116" s="9"/>
      <c r="L116" s="1">
        <v>1</v>
      </c>
      <c r="M116" s="6">
        <v>70</v>
      </c>
      <c r="N116" s="1">
        <v>106.18777634762812</v>
      </c>
      <c r="O116" s="18">
        <v>209092.85927557945</v>
      </c>
      <c r="P116" s="30">
        <v>3.1566666666666667</v>
      </c>
      <c r="R116" s="1"/>
      <c r="S116" s="1"/>
      <c r="T116" s="1"/>
      <c r="U116" s="1"/>
      <c r="V116" s="197"/>
      <c r="W116" s="238">
        <f t="shared" si="77"/>
        <v>-12.048739841625574</v>
      </c>
      <c r="X116" s="118">
        <f t="shared" si="78"/>
        <v>7.7227842260001863E-8</v>
      </c>
      <c r="Y116" s="1"/>
      <c r="Z116" s="1"/>
      <c r="AA116" s="1"/>
      <c r="AB116" s="1"/>
      <c r="AC116" s="197"/>
      <c r="AD116" s="238">
        <f t="shared" si="79"/>
        <v>2.6519932542592715</v>
      </c>
      <c r="AE116" s="96">
        <f t="shared" si="80"/>
        <v>448.73841978575496</v>
      </c>
      <c r="AF116" s="98">
        <f t="shared" si="81"/>
        <v>3.465509989921678E-5</v>
      </c>
      <c r="AG116" s="22">
        <v>570</v>
      </c>
      <c r="AH116" s="8"/>
      <c r="AI116" s="162">
        <v>0.02</v>
      </c>
      <c r="AJ116" s="167">
        <f t="shared" si="82"/>
        <v>497.69228880205503</v>
      </c>
      <c r="AK116" s="168">
        <f t="shared" si="83"/>
        <v>0.45048899978825169</v>
      </c>
      <c r="AL116" s="151">
        <f t="shared" si="84"/>
        <v>1.1452859785551219</v>
      </c>
      <c r="AM116" s="177">
        <f t="shared" si="85"/>
        <v>24884.614440102752</v>
      </c>
      <c r="AN116" s="134">
        <f t="shared" si="86"/>
        <v>4.3959309162139375</v>
      </c>
      <c r="AO116" s="119">
        <f t="shared" si="87"/>
        <v>2.7260615306271816E-3</v>
      </c>
      <c r="AP116">
        <f t="shared" si="88"/>
        <v>50</v>
      </c>
      <c r="AQ116" s="124">
        <f t="shared" si="89"/>
        <v>0.82499999999999996</v>
      </c>
      <c r="AR116" s="124"/>
      <c r="AS116" s="124"/>
      <c r="AT116" s="14">
        <f t="shared" si="90"/>
        <v>1</v>
      </c>
      <c r="AZ116" s="83"/>
      <c r="BA116" s="83"/>
      <c r="BB116" s="83"/>
      <c r="BC116" s="83"/>
      <c r="BD116" s="83"/>
      <c r="BE116" s="8">
        <f t="shared" si="91"/>
        <v>41.157937173496244</v>
      </c>
      <c r="BF116" s="16">
        <f t="shared" si="92"/>
        <v>12.092255418537963</v>
      </c>
      <c r="BG116" s="16"/>
      <c r="BH116" s="189"/>
      <c r="BI116" s="6">
        <f t="shared" si="93"/>
        <v>3.7254340418383165E-2</v>
      </c>
      <c r="BJ116" s="151">
        <f t="shared" si="94"/>
        <v>13.849090579958728</v>
      </c>
      <c r="BK116" s="177">
        <f t="shared" si="95"/>
        <v>2057.8968586748119</v>
      </c>
      <c r="BL116" s="134">
        <f t="shared" si="96"/>
        <v>3.3134236042306453</v>
      </c>
      <c r="BM116" s="119">
        <f t="shared" si="97"/>
        <v>2.7260615306271816E-3</v>
      </c>
      <c r="BN116">
        <f t="shared" si="98"/>
        <v>44</v>
      </c>
      <c r="BO116" s="124">
        <f t="shared" si="99"/>
        <v>0.72499999999999998</v>
      </c>
      <c r="BP116" s="124"/>
      <c r="BQ116" s="124"/>
      <c r="BR116" s="14">
        <f t="shared" si="100"/>
        <v>1</v>
      </c>
      <c r="BX116" s="83"/>
      <c r="BY116" s="83"/>
      <c r="BZ116" s="83"/>
      <c r="CA116" s="83"/>
      <c r="CB116" s="83"/>
      <c r="CC116" s="151"/>
      <c r="CD116" s="177">
        <f t="shared" si="101"/>
        <v>28500</v>
      </c>
      <c r="CE116" s="134">
        <f t="shared" si="102"/>
        <v>4.4548448600085102</v>
      </c>
      <c r="CF116" s="119">
        <f t="shared" si="103"/>
        <v>2.7260615306271816E-3</v>
      </c>
      <c r="CG116">
        <f t="shared" si="104"/>
        <v>38</v>
      </c>
      <c r="CH116" s="124">
        <f t="shared" si="105"/>
        <v>0.625</v>
      </c>
      <c r="CI116" s="124"/>
      <c r="CJ116" s="124"/>
      <c r="CK116" s="14">
        <f t="shared" si="106"/>
        <v>3</v>
      </c>
      <c r="CL116" s="16"/>
    </row>
    <row r="117" spans="1:90" x14ac:dyDescent="0.2">
      <c r="A117" s="8"/>
      <c r="B117" t="s">
        <v>149</v>
      </c>
      <c r="C117">
        <v>29</v>
      </c>
      <c r="D117" t="s">
        <v>119</v>
      </c>
      <c r="F117" s="9"/>
      <c r="G117" t="s">
        <v>111</v>
      </c>
      <c r="H117" s="1">
        <v>14</v>
      </c>
      <c r="I117" s="8">
        <v>-200</v>
      </c>
      <c r="J117" t="s">
        <v>24</v>
      </c>
      <c r="K117" s="9" t="s">
        <v>154</v>
      </c>
      <c r="L117" s="1">
        <v>1</v>
      </c>
      <c r="M117" s="6">
        <v>70</v>
      </c>
      <c r="N117" s="1">
        <v>106.18777634762812</v>
      </c>
      <c r="O117" s="18">
        <v>209092.85927557945</v>
      </c>
      <c r="P117" s="30">
        <v>3.1566666666666667</v>
      </c>
      <c r="R117" s="1"/>
      <c r="S117" s="1"/>
      <c r="T117" s="1"/>
      <c r="U117" s="1"/>
      <c r="V117" s="197"/>
      <c r="W117" s="238">
        <f t="shared" si="77"/>
        <v>-12.048739841625574</v>
      </c>
      <c r="X117" s="118">
        <f t="shared" si="78"/>
        <v>7.7227842260001863E-8</v>
      </c>
      <c r="Y117" s="1"/>
      <c r="Z117" s="1"/>
      <c r="AA117" s="1"/>
      <c r="AB117" s="1"/>
      <c r="AC117" s="197"/>
      <c r="AD117" s="238">
        <f t="shared" si="79"/>
        <v>2.6519932542592715</v>
      </c>
      <c r="AE117" s="96">
        <f t="shared" si="80"/>
        <v>448.73841978575496</v>
      </c>
      <c r="AF117" s="98">
        <f t="shared" si="81"/>
        <v>3.465509989921678E-5</v>
      </c>
      <c r="AG117" s="22">
        <v>220</v>
      </c>
      <c r="AH117" s="8"/>
      <c r="AI117" s="162">
        <v>0.02</v>
      </c>
      <c r="AJ117" s="167">
        <f t="shared" si="82"/>
        <v>192.09176059026683</v>
      </c>
      <c r="AK117" s="168">
        <f t="shared" si="83"/>
        <v>0.17387294728669361</v>
      </c>
      <c r="AL117" s="151">
        <f t="shared" si="84"/>
        <v>1.1452859785551222</v>
      </c>
      <c r="AM117" s="177">
        <f t="shared" si="85"/>
        <v>9604.5880295133411</v>
      </c>
      <c r="AN117" s="134">
        <f t="shared" si="86"/>
        <v>3.9824787413636522</v>
      </c>
      <c r="AO117" s="119">
        <f t="shared" si="87"/>
        <v>1.0521640995403156E-3</v>
      </c>
      <c r="AP117">
        <f t="shared" si="88"/>
        <v>43</v>
      </c>
      <c r="AQ117" s="124">
        <f t="shared" si="89"/>
        <v>0.70833333333333337</v>
      </c>
      <c r="AR117" s="124"/>
      <c r="AS117" s="124"/>
      <c r="AT117" s="14">
        <f t="shared" si="90"/>
        <v>1</v>
      </c>
      <c r="AZ117" s="83"/>
      <c r="BA117" s="83"/>
      <c r="BB117" s="83"/>
      <c r="BC117" s="83"/>
      <c r="BD117" s="83"/>
      <c r="BE117" s="8">
        <f t="shared" si="91"/>
        <v>15.885519610823112</v>
      </c>
      <c r="BF117" s="16">
        <f t="shared" si="92"/>
        <v>12.092255418537963</v>
      </c>
      <c r="BG117" s="16"/>
      <c r="BH117" s="189"/>
      <c r="BI117" s="6">
        <f t="shared" si="93"/>
        <v>1.437886823165666E-2</v>
      </c>
      <c r="BJ117" s="151">
        <f t="shared" si="94"/>
        <v>13.849090579958728</v>
      </c>
      <c r="BK117" s="177">
        <f t="shared" si="95"/>
        <v>794.2759805411556</v>
      </c>
      <c r="BL117" s="134">
        <f t="shared" si="96"/>
        <v>2.8999714293803605</v>
      </c>
      <c r="BM117" s="119">
        <f t="shared" si="97"/>
        <v>1.0521640995403156E-3</v>
      </c>
      <c r="BN117">
        <f t="shared" si="98"/>
        <v>36</v>
      </c>
      <c r="BO117" s="124">
        <f t="shared" si="99"/>
        <v>0.59166666666666667</v>
      </c>
      <c r="BP117" s="124"/>
      <c r="BQ117" s="124"/>
      <c r="BR117" s="14">
        <f t="shared" si="100"/>
        <v>1</v>
      </c>
      <c r="BX117" s="83"/>
      <c r="BY117" s="83"/>
      <c r="BZ117" s="83"/>
      <c r="CA117" s="83"/>
      <c r="CB117" s="83"/>
      <c r="CC117" s="151"/>
      <c r="CD117" s="177">
        <f t="shared" si="101"/>
        <v>11000</v>
      </c>
      <c r="CE117" s="134">
        <f t="shared" si="102"/>
        <v>4.0413926851582254</v>
      </c>
      <c r="CF117" s="119">
        <f t="shared" si="103"/>
        <v>1.0521640995403156E-3</v>
      </c>
      <c r="CG117">
        <f t="shared" si="104"/>
        <v>31</v>
      </c>
      <c r="CH117" s="124">
        <f t="shared" si="105"/>
        <v>0.5083333333333333</v>
      </c>
      <c r="CI117" s="124"/>
      <c r="CJ117" s="124"/>
      <c r="CK117" s="14">
        <f t="shared" si="106"/>
        <v>3</v>
      </c>
      <c r="CL117" s="16"/>
    </row>
    <row r="118" spans="1:90" x14ac:dyDescent="0.2">
      <c r="A118" s="8"/>
      <c r="F118" s="9"/>
      <c r="I118" s="8"/>
      <c r="K118" s="9"/>
      <c r="M118" s="9"/>
      <c r="N118"/>
      <c r="O118"/>
      <c r="X118" s="9"/>
      <c r="AG118" s="10"/>
      <c r="AJ118" s="8"/>
      <c r="AK118" s="9"/>
      <c r="AL118" s="8"/>
      <c r="AP118"/>
      <c r="AQ118" s="14"/>
      <c r="AR118" s="16"/>
      <c r="AS118" s="16"/>
      <c r="BE118" s="8"/>
      <c r="BF118"/>
      <c r="BG118"/>
      <c r="BH118"/>
      <c r="BI118" s="9"/>
      <c r="BJ118" s="8"/>
      <c r="BN118"/>
      <c r="BO118" s="14"/>
      <c r="BP118" s="16"/>
      <c r="BQ118" s="16"/>
      <c r="CC118" s="8"/>
      <c r="CG118"/>
      <c r="CH118" s="14"/>
      <c r="CI118" s="16"/>
      <c r="CJ118" s="16"/>
    </row>
    <row r="119" spans="1:90" x14ac:dyDescent="0.2">
      <c r="A119" s="8"/>
      <c r="F119" s="9"/>
      <c r="I119" s="8"/>
      <c r="K119" s="9"/>
      <c r="M119" s="9"/>
      <c r="N119"/>
      <c r="O119"/>
      <c r="X119" s="9"/>
      <c r="AG119" s="27"/>
      <c r="AI119" s="13"/>
      <c r="AJ119" s="8"/>
      <c r="AK119" s="9"/>
      <c r="AL119" s="8"/>
      <c r="AP119"/>
      <c r="AQ119" s="14"/>
      <c r="AR119" s="16"/>
      <c r="AS119" s="16"/>
      <c r="BE119" s="8"/>
      <c r="BF119"/>
      <c r="BG119"/>
      <c r="BH119"/>
      <c r="BI119" s="9"/>
      <c r="BJ119" s="8"/>
      <c r="BN119"/>
      <c r="BO119" s="14"/>
      <c r="BP119" s="16"/>
      <c r="BQ119" s="16"/>
      <c r="CC119" s="8"/>
      <c r="CG119"/>
      <c r="CH119" s="14"/>
      <c r="CI119" s="16"/>
      <c r="CJ119" s="16"/>
    </row>
    <row r="120" spans="1:90" x14ac:dyDescent="0.2">
      <c r="A120" s="8"/>
      <c r="F120" s="9"/>
      <c r="I120" s="8"/>
      <c r="K120" s="9"/>
      <c r="M120" s="9"/>
      <c r="N120"/>
      <c r="O120"/>
      <c r="X120" s="9"/>
      <c r="AG120" s="27"/>
      <c r="AI120" s="13"/>
      <c r="AJ120" s="8"/>
      <c r="AK120" s="9"/>
      <c r="AL120" s="8"/>
      <c r="AP120"/>
      <c r="AQ120" s="14"/>
      <c r="AR120" s="16"/>
      <c r="AS120" s="16"/>
      <c r="BE120" s="8"/>
      <c r="BF120"/>
      <c r="BG120"/>
      <c r="BH120"/>
      <c r="BI120" s="9"/>
      <c r="BJ120" s="8"/>
      <c r="BN120"/>
      <c r="BO120" s="14"/>
      <c r="BP120" s="16"/>
      <c r="BQ120" s="16"/>
      <c r="CC120" s="8"/>
      <c r="CG120"/>
      <c r="CH120" s="14"/>
      <c r="CI120" s="16"/>
      <c r="CJ120" s="16"/>
    </row>
    <row r="121" spans="1:90" x14ac:dyDescent="0.2">
      <c r="A121" s="8"/>
      <c r="F121" s="9"/>
      <c r="I121" s="8"/>
      <c r="K121" s="9"/>
      <c r="M121" s="9"/>
      <c r="N121"/>
      <c r="O121"/>
      <c r="X121" s="9"/>
      <c r="AG121" s="27"/>
      <c r="AI121" s="13"/>
      <c r="AJ121" s="8"/>
      <c r="AK121" s="9"/>
      <c r="AL121" s="8"/>
      <c r="AP121"/>
      <c r="AQ121" s="14"/>
      <c r="AR121" s="16"/>
      <c r="AS121" s="16"/>
      <c r="BE121" s="8"/>
      <c r="BF121"/>
      <c r="BG121"/>
      <c r="BH121"/>
      <c r="BI121" s="9"/>
      <c r="BJ121" s="8"/>
      <c r="BN121"/>
      <c r="BO121" s="14"/>
      <c r="BP121" s="16"/>
      <c r="BQ121" s="16"/>
      <c r="CC121" s="8"/>
      <c r="CG121"/>
      <c r="CH121" s="14"/>
      <c r="CI121" s="16"/>
      <c r="CJ121" s="16"/>
    </row>
    <row r="122" spans="1:90" x14ac:dyDescent="0.2">
      <c r="A122" s="8"/>
      <c r="F122" s="9"/>
      <c r="I122" s="8"/>
      <c r="K122" s="9"/>
      <c r="M122" s="9"/>
      <c r="N122"/>
      <c r="O122"/>
      <c r="X122" s="9"/>
      <c r="AG122" s="27"/>
      <c r="AJ122" s="8"/>
      <c r="AK122" s="9"/>
      <c r="AL122" s="8"/>
      <c r="AP122"/>
      <c r="AQ122" s="14"/>
      <c r="AR122" s="16"/>
      <c r="AS122" s="16"/>
      <c r="BE122" s="8"/>
      <c r="BF122"/>
      <c r="BG122"/>
      <c r="BH122"/>
      <c r="BI122" s="9"/>
      <c r="BJ122" s="8"/>
      <c r="BN122"/>
      <c r="BO122" s="14"/>
      <c r="BP122" s="16"/>
      <c r="BQ122" s="16"/>
      <c r="CC122" s="8"/>
      <c r="CG122"/>
      <c r="CH122" s="14"/>
      <c r="CI122" s="16"/>
      <c r="CJ122" s="16"/>
    </row>
    <row r="123" spans="1:90" x14ac:dyDescent="0.2">
      <c r="A123" s="8"/>
      <c r="F123" s="9"/>
      <c r="I123" s="8"/>
      <c r="K123" s="9"/>
      <c r="M123" s="9"/>
      <c r="N123"/>
      <c r="O123"/>
      <c r="X123" s="9"/>
      <c r="AG123" s="27"/>
      <c r="AJ123" s="8"/>
      <c r="AK123" s="9"/>
      <c r="AL123" s="8"/>
      <c r="AP123"/>
      <c r="AQ123" s="14"/>
      <c r="AR123" s="16"/>
      <c r="AS123" s="16"/>
      <c r="BE123" s="8"/>
      <c r="BF123"/>
      <c r="BG123"/>
      <c r="BH123"/>
      <c r="BI123" s="9"/>
      <c r="BJ123" s="8"/>
      <c r="BN123"/>
      <c r="BO123" s="14"/>
      <c r="BP123" s="16"/>
      <c r="BQ123" s="16"/>
      <c r="CC123" s="8"/>
      <c r="CG123"/>
      <c r="CH123" s="14"/>
      <c r="CI123" s="16"/>
      <c r="CJ123" s="16"/>
    </row>
    <row r="124" spans="1:90" x14ac:dyDescent="0.2">
      <c r="A124" s="8"/>
      <c r="F124" s="9"/>
      <c r="I124" s="8"/>
      <c r="K124" s="9"/>
      <c r="M124" s="9"/>
      <c r="N124"/>
      <c r="O124"/>
      <c r="X124" s="9"/>
      <c r="AG124" s="27"/>
      <c r="AJ124" s="8"/>
      <c r="AK124" s="9"/>
      <c r="AL124" s="8"/>
      <c r="AP124"/>
      <c r="AQ124" s="14"/>
      <c r="AR124" s="16"/>
      <c r="AS124" s="16"/>
      <c r="BE124" s="8"/>
      <c r="BF124"/>
      <c r="BG124"/>
      <c r="BH124"/>
      <c r="BI124" s="9"/>
      <c r="BJ124" s="8"/>
      <c r="BN124"/>
      <c r="BO124" s="14"/>
      <c r="BP124" s="16"/>
      <c r="BQ124" s="16"/>
      <c r="CC124" s="8"/>
      <c r="CG124"/>
      <c r="CH124" s="14"/>
      <c r="CI124" s="16"/>
      <c r="CJ124" s="16"/>
    </row>
    <row r="125" spans="1:90" x14ac:dyDescent="0.2">
      <c r="A125" s="8"/>
      <c r="F125" s="9"/>
      <c r="I125" s="8"/>
      <c r="K125" s="9"/>
      <c r="M125" s="9"/>
      <c r="N125"/>
      <c r="O125"/>
      <c r="X125" s="9"/>
      <c r="AG125" s="27"/>
      <c r="AJ125" s="8"/>
      <c r="AK125" s="9"/>
      <c r="AL125" s="8"/>
      <c r="AP125"/>
      <c r="AQ125" s="14"/>
      <c r="AR125" s="16"/>
      <c r="AS125" s="16"/>
      <c r="BE125" s="8"/>
      <c r="BF125"/>
      <c r="BG125"/>
      <c r="BH125"/>
      <c r="BI125" s="9"/>
      <c r="BJ125" s="8"/>
      <c r="BN125"/>
      <c r="BO125" s="14"/>
      <c r="BP125" s="16"/>
      <c r="BQ125" s="16"/>
      <c r="CC125" s="8"/>
      <c r="CG125"/>
      <c r="CH125" s="14"/>
      <c r="CI125" s="16"/>
      <c r="CJ125" s="16"/>
    </row>
    <row r="126" spans="1:90" x14ac:dyDescent="0.2">
      <c r="A126" s="8"/>
      <c r="F126" s="9"/>
      <c r="I126" s="8"/>
      <c r="K126" s="9"/>
      <c r="M126" s="9"/>
      <c r="N126"/>
      <c r="O126"/>
      <c r="X126" s="9"/>
      <c r="AG126" s="27"/>
      <c r="AJ126" s="8"/>
      <c r="AK126" s="9"/>
      <c r="AL126" s="8"/>
      <c r="AP126"/>
      <c r="AQ126" s="14"/>
      <c r="AR126" s="16"/>
      <c r="AS126" s="16"/>
      <c r="BE126" s="8"/>
      <c r="BF126"/>
      <c r="BG126"/>
      <c r="BH126"/>
      <c r="BI126" s="9"/>
      <c r="BJ126" s="8"/>
      <c r="BN126"/>
      <c r="BO126" s="14"/>
      <c r="BP126" s="16"/>
      <c r="BQ126" s="16"/>
      <c r="CC126" s="8"/>
      <c r="CG126"/>
      <c r="CH126" s="14"/>
      <c r="CI126" s="16"/>
      <c r="CJ126" s="16"/>
    </row>
    <row r="127" spans="1:90" x14ac:dyDescent="0.2">
      <c r="A127" s="8"/>
      <c r="F127" s="9"/>
      <c r="I127" s="8"/>
      <c r="K127" s="9"/>
      <c r="M127" s="9"/>
      <c r="N127"/>
      <c r="O127"/>
      <c r="X127" s="9"/>
      <c r="AG127" s="27"/>
      <c r="AJ127" s="8"/>
      <c r="AK127" s="9"/>
      <c r="AL127" s="8"/>
      <c r="AP127"/>
      <c r="AQ127" s="14"/>
      <c r="AR127" s="16"/>
      <c r="AS127" s="16"/>
      <c r="BE127" s="8"/>
      <c r="BF127"/>
      <c r="BG127"/>
      <c r="BH127"/>
      <c r="BI127" s="9"/>
      <c r="BJ127" s="8"/>
      <c r="BN127"/>
      <c r="BO127" s="14"/>
      <c r="BP127" s="16"/>
      <c r="BQ127" s="16"/>
      <c r="CC127" s="8"/>
      <c r="CG127"/>
      <c r="CH127" s="14"/>
      <c r="CI127" s="16"/>
      <c r="CJ127" s="16"/>
    </row>
    <row r="128" spans="1:90" x14ac:dyDescent="0.2">
      <c r="A128" s="8"/>
      <c r="F128" s="9"/>
      <c r="I128" s="8"/>
      <c r="K128" s="9"/>
      <c r="M128" s="9"/>
      <c r="N128"/>
      <c r="O128"/>
      <c r="X128" s="9"/>
      <c r="AG128" s="27"/>
      <c r="AJ128" s="8"/>
      <c r="AK128" s="9"/>
      <c r="AL128" s="8"/>
      <c r="AP128"/>
      <c r="AQ128" s="14"/>
      <c r="AR128" s="16"/>
      <c r="AS128" s="16"/>
      <c r="BE128" s="8"/>
      <c r="BF128"/>
      <c r="BG128"/>
      <c r="BH128"/>
      <c r="BI128" s="9"/>
      <c r="BJ128" s="8"/>
      <c r="BN128"/>
      <c r="BO128" s="14"/>
      <c r="BP128" s="16"/>
      <c r="BQ128" s="16"/>
      <c r="CC128" s="8"/>
      <c r="CG128"/>
      <c r="CH128" s="14"/>
      <c r="CI128" s="16"/>
      <c r="CJ128" s="16"/>
    </row>
    <row r="129" spans="1:88" x14ac:dyDescent="0.2">
      <c r="A129" s="8"/>
      <c r="F129" s="9"/>
      <c r="I129" s="8"/>
      <c r="K129" s="9"/>
      <c r="M129" s="9"/>
      <c r="N129"/>
      <c r="O129"/>
      <c r="X129" s="9"/>
      <c r="AG129" s="27"/>
      <c r="AJ129" s="8"/>
      <c r="AK129" s="9"/>
      <c r="AL129" s="8"/>
      <c r="AP129"/>
      <c r="AQ129" s="14"/>
      <c r="AR129" s="16"/>
      <c r="AS129" s="16"/>
      <c r="BE129" s="8"/>
      <c r="BF129"/>
      <c r="BG129"/>
      <c r="BH129"/>
      <c r="BI129" s="9"/>
      <c r="BJ129" s="8"/>
      <c r="BN129"/>
      <c r="BO129" s="14"/>
      <c r="BP129" s="16"/>
      <c r="BQ129" s="16"/>
      <c r="CC129" s="8"/>
      <c r="CG129"/>
      <c r="CH129" s="14"/>
      <c r="CI129" s="16"/>
      <c r="CJ129" s="16"/>
    </row>
    <row r="130" spans="1:88" x14ac:dyDescent="0.2">
      <c r="A130" s="8"/>
      <c r="F130" s="9"/>
      <c r="I130" s="8"/>
      <c r="K130" s="9"/>
      <c r="M130" s="9"/>
      <c r="N130"/>
      <c r="O130"/>
      <c r="X130" s="9"/>
      <c r="AG130" s="27"/>
      <c r="AJ130" s="8"/>
      <c r="AK130" s="9"/>
      <c r="AL130" s="8"/>
      <c r="AP130"/>
      <c r="AQ130" s="14"/>
      <c r="AR130" s="16"/>
      <c r="AS130" s="16"/>
      <c r="BE130" s="8"/>
      <c r="BF130"/>
      <c r="BG130"/>
      <c r="BH130"/>
      <c r="BI130" s="9"/>
      <c r="BJ130" s="8"/>
      <c r="BN130"/>
      <c r="BO130" s="14"/>
      <c r="BP130" s="16"/>
      <c r="BQ130" s="16"/>
      <c r="CC130" s="8"/>
      <c r="CG130"/>
      <c r="CH130" s="14"/>
      <c r="CI130" s="16"/>
      <c r="CJ130" s="16"/>
    </row>
    <row r="131" spans="1:88" x14ac:dyDescent="0.2">
      <c r="A131" s="8"/>
      <c r="F131" s="9"/>
      <c r="I131" s="8"/>
      <c r="K131" s="9"/>
      <c r="M131" s="9"/>
      <c r="N131"/>
      <c r="O131"/>
      <c r="X131" s="9"/>
      <c r="AG131" s="27"/>
      <c r="AJ131" s="8"/>
      <c r="AK131" s="9"/>
      <c r="AL131" s="8"/>
      <c r="AP131"/>
      <c r="AQ131" s="14"/>
      <c r="AR131" s="16"/>
      <c r="AS131" s="16"/>
      <c r="BE131" s="8"/>
      <c r="BF131"/>
      <c r="BG131"/>
      <c r="BH131"/>
      <c r="BI131" s="9"/>
      <c r="BJ131" s="8"/>
      <c r="BN131"/>
      <c r="BO131" s="14"/>
      <c r="BP131" s="16"/>
      <c r="BQ131" s="16"/>
      <c r="CC131" s="8"/>
      <c r="CG131"/>
      <c r="CH131" s="14"/>
      <c r="CI131" s="16"/>
      <c r="CJ131" s="16"/>
    </row>
    <row r="132" spans="1:88" x14ac:dyDescent="0.2">
      <c r="A132" s="8"/>
      <c r="F132" s="9"/>
      <c r="I132" s="8"/>
      <c r="K132" s="9"/>
      <c r="M132" s="9"/>
      <c r="N132"/>
      <c r="O132"/>
      <c r="X132" s="9"/>
      <c r="AG132" s="27"/>
      <c r="AJ132" s="8"/>
      <c r="AK132" s="9"/>
      <c r="AL132" s="8"/>
      <c r="AP132"/>
      <c r="AQ132" s="14"/>
      <c r="AR132" s="16"/>
      <c r="AS132" s="16"/>
      <c r="BE132" s="8"/>
      <c r="BF132"/>
      <c r="BG132"/>
      <c r="BH132"/>
      <c r="BI132" s="9"/>
      <c r="BJ132" s="8"/>
      <c r="BN132"/>
      <c r="BO132" s="14"/>
      <c r="BP132" s="16"/>
      <c r="BQ132" s="16"/>
      <c r="CC132" s="8"/>
      <c r="CG132"/>
      <c r="CH132" s="14"/>
      <c r="CI132" s="16"/>
      <c r="CJ132" s="16"/>
    </row>
    <row r="133" spans="1:88" x14ac:dyDescent="0.2">
      <c r="A133" s="8"/>
      <c r="F133" s="9"/>
      <c r="I133" s="8"/>
      <c r="K133" s="9"/>
      <c r="M133" s="9"/>
      <c r="N133"/>
      <c r="O133"/>
      <c r="X133" s="9"/>
      <c r="AG133" s="27"/>
      <c r="AJ133" s="8"/>
      <c r="AK133" s="9"/>
      <c r="AL133" s="8"/>
      <c r="AP133"/>
      <c r="AQ133" s="14"/>
      <c r="AR133" s="16"/>
      <c r="AS133" s="16"/>
      <c r="BE133" s="8"/>
      <c r="BF133"/>
      <c r="BG133"/>
      <c r="BH133"/>
      <c r="BI133" s="9"/>
      <c r="BJ133" s="8"/>
      <c r="BN133"/>
      <c r="BO133" s="14"/>
      <c r="BP133" s="16"/>
      <c r="BQ133" s="16"/>
      <c r="CC133" s="8"/>
      <c r="CG133"/>
      <c r="CH133" s="14"/>
      <c r="CI133" s="16"/>
      <c r="CJ133" s="16"/>
    </row>
    <row r="134" spans="1:88" x14ac:dyDescent="0.2">
      <c r="A134" s="8"/>
      <c r="F134" s="9"/>
      <c r="I134" s="8"/>
      <c r="K134" s="9"/>
      <c r="M134" s="9"/>
      <c r="N134"/>
      <c r="O134"/>
      <c r="X134" s="9"/>
      <c r="AG134" s="27"/>
      <c r="AJ134" s="8"/>
      <c r="AK134" s="9"/>
      <c r="AL134" s="8"/>
      <c r="AP134"/>
      <c r="AQ134" s="14"/>
      <c r="AR134" s="16"/>
      <c r="AS134" s="16"/>
      <c r="BE134" s="8"/>
      <c r="BF134"/>
      <c r="BG134"/>
      <c r="BH134"/>
      <c r="BI134" s="9"/>
      <c r="BJ134" s="8"/>
      <c r="BN134"/>
      <c r="BO134" s="14"/>
      <c r="BP134" s="16"/>
      <c r="BQ134" s="16"/>
      <c r="CC134" s="8"/>
      <c r="CG134"/>
      <c r="CH134" s="14"/>
      <c r="CI134" s="16"/>
      <c r="CJ134" s="16"/>
    </row>
    <row r="135" spans="1:88" x14ac:dyDescent="0.2">
      <c r="A135" s="8"/>
      <c r="F135" s="9"/>
      <c r="I135" s="8"/>
      <c r="K135" s="9"/>
      <c r="M135" s="9"/>
      <c r="N135"/>
      <c r="O135"/>
      <c r="X135" s="9"/>
      <c r="AG135" s="27"/>
      <c r="AJ135" s="8"/>
      <c r="AK135" s="9"/>
      <c r="AL135" s="8"/>
      <c r="AP135"/>
      <c r="AQ135" s="14"/>
      <c r="AR135" s="16"/>
      <c r="AS135" s="16"/>
      <c r="BE135" s="8"/>
      <c r="BF135"/>
      <c r="BG135"/>
      <c r="BH135"/>
      <c r="BI135" s="9"/>
      <c r="BJ135" s="8"/>
      <c r="BN135"/>
      <c r="BO135" s="14"/>
      <c r="BP135" s="16"/>
      <c r="BQ135" s="16"/>
      <c r="CC135" s="8"/>
      <c r="CG135"/>
      <c r="CH135" s="14"/>
      <c r="CI135" s="16"/>
      <c r="CJ135" s="16"/>
    </row>
    <row r="136" spans="1:88" x14ac:dyDescent="0.2">
      <c r="A136" s="8"/>
      <c r="F136" s="9"/>
      <c r="I136" s="8"/>
      <c r="K136" s="9"/>
      <c r="M136" s="9"/>
      <c r="N136"/>
      <c r="O136"/>
      <c r="X136" s="9"/>
      <c r="AG136" s="27"/>
      <c r="AJ136" s="8"/>
      <c r="AK136" s="9"/>
      <c r="AL136" s="8"/>
      <c r="AP136"/>
      <c r="AQ136" s="14"/>
      <c r="AR136" s="16"/>
      <c r="AS136" s="16"/>
      <c r="BE136" s="8"/>
      <c r="BF136"/>
      <c r="BG136"/>
      <c r="BH136"/>
      <c r="BI136" s="9"/>
      <c r="BJ136" s="8"/>
      <c r="BN136"/>
      <c r="BO136" s="14"/>
      <c r="BP136" s="16"/>
      <c r="BQ136" s="16"/>
      <c r="CC136" s="8"/>
      <c r="CG136"/>
      <c r="CH136" s="14"/>
      <c r="CI136" s="16"/>
      <c r="CJ136" s="16"/>
    </row>
    <row r="137" spans="1:88" x14ac:dyDescent="0.2">
      <c r="A137" s="8"/>
      <c r="F137" s="9"/>
      <c r="I137" s="8"/>
      <c r="K137" s="9"/>
      <c r="M137" s="9"/>
      <c r="N137"/>
      <c r="O137"/>
      <c r="X137" s="9"/>
      <c r="AG137" s="27"/>
      <c r="AJ137" s="8"/>
      <c r="AK137" s="9"/>
      <c r="AL137" s="8"/>
      <c r="AP137"/>
      <c r="AQ137" s="14"/>
      <c r="AR137" s="16"/>
      <c r="AS137" s="16"/>
      <c r="BE137" s="8"/>
      <c r="BF137"/>
      <c r="BG137"/>
      <c r="BH137"/>
      <c r="BI137" s="9"/>
      <c r="BJ137" s="8"/>
      <c r="BN137"/>
      <c r="BO137" s="14"/>
      <c r="BP137" s="16"/>
      <c r="BQ137" s="16"/>
      <c r="CC137" s="8"/>
      <c r="CG137"/>
      <c r="CH137" s="14"/>
      <c r="CI137" s="16"/>
      <c r="CJ137" s="16"/>
    </row>
    <row r="138" spans="1:88" x14ac:dyDescent="0.2">
      <c r="A138" s="8"/>
      <c r="F138" s="9"/>
      <c r="I138" s="8"/>
      <c r="K138" s="9"/>
      <c r="M138" s="9"/>
      <c r="N138"/>
      <c r="O138"/>
      <c r="X138" s="9"/>
      <c r="AG138" s="27"/>
      <c r="AH138" s="8"/>
      <c r="AJ138" s="8"/>
      <c r="AK138" s="9"/>
      <c r="AL138" s="8"/>
      <c r="AP138"/>
      <c r="AQ138" s="14"/>
      <c r="AR138" s="16"/>
      <c r="AS138" s="16"/>
      <c r="BE138" s="8"/>
      <c r="BF138"/>
      <c r="BG138"/>
      <c r="BH138"/>
      <c r="BI138" s="9"/>
      <c r="BJ138" s="8"/>
      <c r="BN138"/>
      <c r="BO138" s="14"/>
      <c r="BP138" s="16"/>
      <c r="BQ138" s="16"/>
      <c r="CC138" s="8"/>
      <c r="CG138"/>
      <c r="CH138" s="14"/>
      <c r="CI138" s="16"/>
      <c r="CJ138" s="16"/>
    </row>
    <row r="139" spans="1:88" x14ac:dyDescent="0.2">
      <c r="A139" s="8"/>
      <c r="F139" s="9"/>
      <c r="I139" s="8"/>
      <c r="K139" s="9"/>
      <c r="M139" s="9"/>
      <c r="N139"/>
      <c r="O139"/>
      <c r="X139" s="9"/>
      <c r="AG139" s="27"/>
      <c r="AH139" s="8"/>
      <c r="AJ139" s="8"/>
      <c r="AK139" s="9"/>
      <c r="AL139" s="8"/>
      <c r="AP139"/>
      <c r="AQ139" s="14"/>
      <c r="AR139" s="16"/>
      <c r="AS139" s="16"/>
      <c r="BE139" s="8"/>
      <c r="BF139"/>
      <c r="BG139"/>
      <c r="BH139"/>
      <c r="BI139" s="9"/>
      <c r="BJ139" s="8"/>
      <c r="BN139"/>
      <c r="BO139" s="14"/>
      <c r="BP139" s="16"/>
      <c r="BQ139" s="16"/>
      <c r="CC139" s="8"/>
      <c r="CG139"/>
      <c r="CH139" s="14"/>
      <c r="CI139" s="16"/>
      <c r="CJ139" s="16"/>
    </row>
    <row r="140" spans="1:88" x14ac:dyDescent="0.2">
      <c r="A140" s="8"/>
      <c r="F140" s="9"/>
      <c r="I140" s="8"/>
      <c r="K140" s="9"/>
      <c r="M140" s="9"/>
      <c r="N140"/>
      <c r="O140"/>
      <c r="X140" s="9"/>
      <c r="AG140" s="27"/>
      <c r="AH140" s="8"/>
      <c r="AJ140" s="8"/>
      <c r="AK140" s="9"/>
      <c r="AL140" s="8"/>
      <c r="AP140"/>
      <c r="AQ140" s="14"/>
      <c r="AR140" s="16"/>
      <c r="AS140" s="16"/>
      <c r="BE140" s="8"/>
      <c r="BF140"/>
      <c r="BG140"/>
      <c r="BH140"/>
      <c r="BI140" s="9"/>
      <c r="BJ140" s="8"/>
      <c r="BN140"/>
      <c r="BO140" s="14"/>
      <c r="BP140" s="16"/>
      <c r="BQ140" s="16"/>
      <c r="CC140" s="8"/>
      <c r="CG140"/>
      <c r="CH140" s="14"/>
      <c r="CI140" s="16"/>
      <c r="CJ140" s="16"/>
    </row>
    <row r="141" spans="1:88" x14ac:dyDescent="0.2">
      <c r="A141" s="8"/>
      <c r="F141" s="9"/>
      <c r="I141" s="8"/>
      <c r="K141" s="9"/>
      <c r="M141" s="9"/>
      <c r="N141"/>
      <c r="O141"/>
      <c r="X141" s="9"/>
      <c r="AG141" s="27"/>
      <c r="AH141" s="8"/>
      <c r="AJ141" s="8"/>
      <c r="AK141" s="9"/>
      <c r="AL141" s="8"/>
      <c r="AP141"/>
      <c r="AQ141" s="14"/>
      <c r="AR141" s="16"/>
      <c r="AS141" s="16"/>
      <c r="BE141" s="8"/>
      <c r="BF141"/>
      <c r="BG141"/>
      <c r="BH141"/>
      <c r="BI141" s="9"/>
      <c r="BJ141" s="8"/>
      <c r="BN141"/>
      <c r="BO141" s="14"/>
      <c r="BP141" s="16"/>
      <c r="BQ141" s="16"/>
      <c r="CC141" s="8"/>
      <c r="CG141"/>
      <c r="CH141" s="14"/>
      <c r="CI141" s="16"/>
      <c r="CJ141" s="16"/>
    </row>
    <row r="142" spans="1:88" x14ac:dyDescent="0.2">
      <c r="A142" s="8"/>
      <c r="F142" s="9"/>
      <c r="I142" s="8"/>
      <c r="K142" s="9"/>
      <c r="M142" s="9"/>
      <c r="N142"/>
      <c r="O142"/>
      <c r="X142" s="9"/>
      <c r="AG142" s="27"/>
      <c r="AH142" s="8"/>
      <c r="AJ142" s="8"/>
      <c r="AK142" s="9"/>
      <c r="AL142" s="8"/>
      <c r="AP142"/>
      <c r="AQ142" s="14"/>
      <c r="AR142" s="16"/>
      <c r="AS142" s="16"/>
      <c r="BE142" s="8"/>
      <c r="BF142"/>
      <c r="BG142"/>
      <c r="BH142"/>
      <c r="BI142" s="9"/>
      <c r="BJ142" s="8"/>
      <c r="BN142"/>
      <c r="BO142" s="14"/>
      <c r="BP142" s="16"/>
      <c r="BQ142" s="16"/>
      <c r="CG142"/>
      <c r="CH142" s="16"/>
      <c r="CI142" s="16"/>
      <c r="CJ142" s="16"/>
    </row>
    <row r="143" spans="1:88" x14ac:dyDescent="0.2">
      <c r="A143" s="8"/>
      <c r="F143" s="9"/>
      <c r="I143" s="8"/>
      <c r="K143" s="9"/>
      <c r="M143" s="9"/>
      <c r="N143"/>
      <c r="O143"/>
      <c r="X143" s="9"/>
      <c r="AG143" s="27"/>
      <c r="AH143" s="8"/>
      <c r="AJ143" s="8"/>
      <c r="AK143" s="9"/>
      <c r="AL143" s="8"/>
      <c r="AM143" s="89"/>
      <c r="AN143" s="25"/>
      <c r="AO143" s="25"/>
      <c r="AP143"/>
      <c r="AQ143" s="14"/>
      <c r="AR143" s="16"/>
      <c r="AS143" s="16"/>
      <c r="BE143" s="8"/>
      <c r="BF143"/>
      <c r="BG143"/>
      <c r="BH143"/>
      <c r="BI143" s="9"/>
      <c r="BJ143" s="8"/>
      <c r="BK143" s="89"/>
      <c r="BL143" s="25"/>
      <c r="BM143" s="25"/>
      <c r="BN143"/>
      <c r="BO143" s="14"/>
      <c r="BP143" s="16"/>
      <c r="BQ143" s="16"/>
      <c r="CD143" s="243"/>
      <c r="CE143" s="240"/>
      <c r="CF143" s="240"/>
      <c r="CG143"/>
      <c r="CH143" s="16"/>
      <c r="CI143" s="16"/>
      <c r="CJ143" s="16"/>
    </row>
    <row r="144" spans="1:88" x14ac:dyDescent="0.2">
      <c r="A144" s="8"/>
      <c r="F144" s="9"/>
      <c r="I144" s="8"/>
      <c r="K144" s="9"/>
      <c r="M144" s="9"/>
      <c r="N144"/>
      <c r="O144"/>
      <c r="X144" s="9"/>
      <c r="AG144" s="27"/>
      <c r="AH144" s="8"/>
      <c r="AJ144" s="8"/>
      <c r="AK144" s="9"/>
      <c r="AL144" s="8"/>
      <c r="AM144" s="243"/>
      <c r="AN144" s="240"/>
      <c r="AO144" s="240"/>
      <c r="AP144"/>
      <c r="AQ144" s="16"/>
      <c r="AR144" s="16"/>
      <c r="AS144" s="16"/>
      <c r="BE144" s="8"/>
      <c r="BF144"/>
      <c r="BG144"/>
      <c r="BH144"/>
      <c r="BI144" s="9"/>
      <c r="BJ144" s="8"/>
      <c r="BK144" s="89"/>
      <c r="BL144" s="25"/>
      <c r="BM144" s="25"/>
      <c r="BN144"/>
      <c r="BO144" s="14"/>
      <c r="BP144" s="16"/>
      <c r="BQ144" s="16"/>
      <c r="CD144" s="243"/>
      <c r="CE144" s="240"/>
      <c r="CF144" s="240"/>
      <c r="CG144"/>
      <c r="CH144" s="16"/>
      <c r="CI144" s="16"/>
      <c r="CJ144" s="16"/>
    </row>
    <row r="145" spans="1:88" x14ac:dyDescent="0.2">
      <c r="A145" s="8"/>
      <c r="F145" s="9"/>
      <c r="I145" s="8"/>
      <c r="K145" s="9"/>
      <c r="M145" s="9"/>
      <c r="N145"/>
      <c r="O145"/>
      <c r="X145" s="9"/>
      <c r="AG145" s="27"/>
      <c r="AH145" s="8"/>
      <c r="AJ145" s="8"/>
      <c r="AK145" s="9"/>
      <c r="AL145" s="8"/>
      <c r="AM145" s="243"/>
      <c r="AN145" s="240"/>
      <c r="AO145" s="240"/>
      <c r="AP145"/>
      <c r="AQ145" s="16"/>
      <c r="AR145" s="16"/>
      <c r="AS145" s="16"/>
      <c r="BE145" s="8"/>
      <c r="BF145"/>
      <c r="BG145"/>
      <c r="BH145"/>
      <c r="BI145" s="9"/>
      <c r="BJ145" s="8"/>
      <c r="BK145" s="89"/>
      <c r="BL145" s="25"/>
      <c r="BM145" s="25"/>
      <c r="BN145"/>
      <c r="BO145" s="14"/>
      <c r="BP145" s="16"/>
      <c r="BQ145" s="16"/>
      <c r="CD145" s="243"/>
      <c r="CE145" s="240"/>
      <c r="CF145" s="240"/>
      <c r="CG145"/>
      <c r="CH145" s="16"/>
      <c r="CI145" s="16"/>
      <c r="CJ145" s="16"/>
    </row>
    <row r="146" spans="1:88" x14ac:dyDescent="0.2">
      <c r="A146" s="8"/>
      <c r="F146" s="9"/>
      <c r="I146" s="8"/>
      <c r="K146" s="9"/>
      <c r="M146" s="9"/>
      <c r="N146"/>
      <c r="O146"/>
      <c r="X146" s="9"/>
      <c r="AG146" s="27"/>
      <c r="AH146" s="8"/>
      <c r="AJ146" s="8"/>
      <c r="AK146" s="9"/>
      <c r="AL146" s="8"/>
      <c r="AM146" s="243"/>
      <c r="AN146" s="240"/>
      <c r="AO146" s="240"/>
      <c r="AP146"/>
      <c r="AQ146" s="16"/>
      <c r="AR146" s="16"/>
      <c r="AS146" s="16"/>
      <c r="BE146" s="8"/>
      <c r="BF146"/>
      <c r="BG146"/>
      <c r="BH146"/>
      <c r="BI146" s="9"/>
      <c r="BJ146" s="8"/>
      <c r="BK146" s="89"/>
      <c r="BL146" s="25"/>
      <c r="BM146" s="25"/>
      <c r="BN146"/>
      <c r="BO146" s="14"/>
      <c r="BP146" s="16"/>
      <c r="BQ146" s="16"/>
      <c r="CD146" s="243"/>
      <c r="CE146" s="240"/>
      <c r="CF146" s="240"/>
      <c r="CG146"/>
      <c r="CH146" s="16"/>
      <c r="CI146" s="16"/>
      <c r="CJ146" s="16"/>
    </row>
    <row r="147" spans="1:88" x14ac:dyDescent="0.2">
      <c r="A147" s="8"/>
      <c r="F147" s="9"/>
      <c r="I147" s="8"/>
      <c r="K147" s="9"/>
      <c r="M147" s="9"/>
      <c r="N147"/>
      <c r="O147"/>
      <c r="X147" s="9"/>
      <c r="AG147" s="27"/>
      <c r="AH147" s="8"/>
      <c r="AJ147" s="8"/>
      <c r="AK147" s="9"/>
      <c r="AL147" s="8"/>
      <c r="AP147"/>
      <c r="AS147" s="1"/>
      <c r="BE147" s="8"/>
      <c r="BF147"/>
      <c r="BG147"/>
      <c r="BH147"/>
      <c r="BI147" s="9"/>
      <c r="BJ147" s="8"/>
      <c r="BN147"/>
      <c r="BO147" s="6"/>
      <c r="BQ147" s="1"/>
      <c r="CG147"/>
      <c r="CJ147" s="1"/>
    </row>
    <row r="148" spans="1:88" x14ac:dyDescent="0.2">
      <c r="A148" s="104" t="s">
        <v>23</v>
      </c>
      <c r="B148" s="105"/>
      <c r="C148" s="106"/>
      <c r="D148" s="46"/>
      <c r="E148" s="46"/>
      <c r="F148" s="51"/>
      <c r="G148" s="107"/>
      <c r="H148" s="52"/>
      <c r="I148" s="55"/>
      <c r="J148" s="46"/>
      <c r="K148" s="54"/>
      <c r="L148" s="46"/>
      <c r="M148" s="51"/>
      <c r="N148" s="52"/>
      <c r="O148" s="52"/>
      <c r="P148" s="46"/>
      <c r="Q148" s="46"/>
      <c r="R148" s="46"/>
      <c r="S148" s="46"/>
      <c r="T148" s="46"/>
      <c r="U148" s="46"/>
      <c r="V148" s="46"/>
      <c r="W148" s="46"/>
      <c r="X148" s="51"/>
      <c r="Y148" s="46"/>
      <c r="Z148" s="46"/>
      <c r="AA148" s="46"/>
      <c r="AB148" s="46"/>
      <c r="AC148" s="46"/>
      <c r="AD148" s="46"/>
      <c r="AE148" s="46"/>
      <c r="AF148" s="46"/>
      <c r="AG148" s="50" t="s">
        <v>22</v>
      </c>
      <c r="AH148" s="55"/>
      <c r="AI148" s="46"/>
      <c r="AJ148" s="170"/>
      <c r="AK148" s="54"/>
      <c r="AL148" s="8"/>
      <c r="AP148"/>
      <c r="AS148" s="1"/>
      <c r="BN148"/>
      <c r="BQ148" s="1"/>
      <c r="CG148"/>
      <c r="CJ148" s="1"/>
    </row>
    <row r="149" spans="1:88" x14ac:dyDescent="0.2">
      <c r="A149" s="8">
        <v>39</v>
      </c>
      <c r="B149" t="s">
        <v>143</v>
      </c>
      <c r="C149">
        <v>3</v>
      </c>
      <c r="D149" t="s">
        <v>17</v>
      </c>
      <c r="E149" t="s">
        <v>16</v>
      </c>
      <c r="F149" s="9">
        <v>16</v>
      </c>
      <c r="G149" s="26" t="s">
        <v>15</v>
      </c>
      <c r="H149" s="1">
        <v>18</v>
      </c>
      <c r="I149" s="11">
        <v>410</v>
      </c>
      <c r="J149" t="s">
        <v>21</v>
      </c>
      <c r="K149" s="6" t="s">
        <v>181</v>
      </c>
      <c r="L149" s="1"/>
      <c r="M149" s="6"/>
      <c r="N149" s="1">
        <v>96.95</v>
      </c>
      <c r="O149" s="18">
        <v>775600.00000000012</v>
      </c>
      <c r="P149" s="30">
        <v>1.906666666666667</v>
      </c>
      <c r="Q149" s="1"/>
      <c r="R149" s="1"/>
      <c r="S149" s="1"/>
      <c r="T149" s="1"/>
      <c r="U149" s="1"/>
      <c r="V149" s="1"/>
      <c r="W149" s="1"/>
      <c r="X149" s="118"/>
      <c r="Y149" s="1"/>
      <c r="Z149" s="1"/>
      <c r="AA149" s="1"/>
      <c r="AB149" s="1"/>
      <c r="AC149" s="1"/>
      <c r="AD149" s="1"/>
      <c r="AE149" s="96"/>
      <c r="AF149" s="98"/>
      <c r="AG149" s="24">
        <v>301.99999999999994</v>
      </c>
      <c r="AH149" s="8">
        <v>5.9</v>
      </c>
      <c r="AI149" s="16"/>
      <c r="AJ149" s="171"/>
      <c r="AK149" s="118"/>
      <c r="AL149" s="8"/>
      <c r="AM149" s="239"/>
      <c r="AN149" s="240"/>
      <c r="AO149" s="240"/>
      <c r="AP149"/>
      <c r="AQ149" s="16"/>
      <c r="AR149" s="16"/>
      <c r="AS149" s="16"/>
      <c r="BE149" s="188"/>
      <c r="BF149" s="188"/>
      <c r="BG149" s="188"/>
      <c r="BH149" s="188"/>
      <c r="BI149" s="98"/>
      <c r="BK149" s="239"/>
      <c r="BL149" s="240"/>
      <c r="BM149" s="240"/>
      <c r="BN149"/>
      <c r="BO149" s="16"/>
      <c r="BP149" s="16"/>
      <c r="BQ149" s="16"/>
      <c r="CD149" s="239"/>
      <c r="CE149" s="240"/>
      <c r="CF149" s="240"/>
      <c r="CG149"/>
      <c r="CH149" s="16"/>
      <c r="CI149" s="16"/>
      <c r="CJ149" s="16"/>
    </row>
    <row r="150" spans="1:88" x14ac:dyDescent="0.2">
      <c r="A150" s="8">
        <v>32</v>
      </c>
      <c r="B150" t="s">
        <v>143</v>
      </c>
      <c r="C150">
        <v>3</v>
      </c>
      <c r="D150" t="s">
        <v>17</v>
      </c>
      <c r="E150" t="s">
        <v>16</v>
      </c>
      <c r="F150" s="9">
        <v>11</v>
      </c>
      <c r="G150" s="26" t="s">
        <v>15</v>
      </c>
      <c r="H150" s="1">
        <v>18</v>
      </c>
      <c r="I150" s="11">
        <v>410</v>
      </c>
      <c r="J150" t="s">
        <v>21</v>
      </c>
      <c r="K150" s="6" t="s">
        <v>181</v>
      </c>
      <c r="L150" s="1"/>
      <c r="M150" s="6"/>
      <c r="N150" s="1">
        <v>96.95</v>
      </c>
      <c r="O150" s="18">
        <v>775600.00000000012</v>
      </c>
      <c r="P150" s="30">
        <v>1.906666666666667</v>
      </c>
      <c r="Q150" s="1"/>
      <c r="R150" s="1"/>
      <c r="S150" s="1"/>
      <c r="T150" s="1"/>
      <c r="U150" s="1"/>
      <c r="V150" s="1"/>
      <c r="W150" s="1"/>
      <c r="X150" s="118"/>
      <c r="Y150" s="1"/>
      <c r="Z150" s="1"/>
      <c r="AA150" s="1"/>
      <c r="AB150" s="1"/>
      <c r="AC150" s="1"/>
      <c r="AD150" s="1"/>
      <c r="AE150" s="96"/>
      <c r="AF150" s="98"/>
      <c r="AG150" s="24">
        <v>51.066666666666748</v>
      </c>
      <c r="AH150" s="8">
        <v>0.18</v>
      </c>
      <c r="AI150" s="16"/>
      <c r="AJ150" s="171"/>
      <c r="AK150" s="118"/>
      <c r="AL150" s="8"/>
      <c r="AM150" s="239"/>
      <c r="AN150" s="240"/>
      <c r="AO150" s="240"/>
      <c r="AP150"/>
      <c r="AQ150" s="16"/>
      <c r="AR150" s="16"/>
      <c r="AS150" s="16"/>
      <c r="BE150" s="188"/>
      <c r="BF150" s="188"/>
      <c r="BG150" s="188"/>
      <c r="BH150" s="188"/>
      <c r="BI150" s="98"/>
      <c r="BK150" s="239"/>
      <c r="BL150" s="240"/>
      <c r="BM150" s="240"/>
      <c r="BN150"/>
      <c r="BO150" s="16"/>
      <c r="BP150" s="16"/>
      <c r="BQ150" s="16"/>
      <c r="CD150" s="239"/>
      <c r="CE150" s="240"/>
      <c r="CF150" s="240"/>
      <c r="CG150"/>
      <c r="CH150" s="16"/>
      <c r="CI150" s="16"/>
      <c r="CJ150" s="16"/>
    </row>
    <row r="151" spans="1:88" x14ac:dyDescent="0.2">
      <c r="A151" s="8">
        <v>35</v>
      </c>
      <c r="B151" t="s">
        <v>143</v>
      </c>
      <c r="C151">
        <v>3</v>
      </c>
      <c r="D151" t="s">
        <v>17</v>
      </c>
      <c r="E151" t="s">
        <v>16</v>
      </c>
      <c r="F151" s="9">
        <v>14</v>
      </c>
      <c r="G151" s="26" t="s">
        <v>15</v>
      </c>
      <c r="H151" s="1">
        <v>18</v>
      </c>
      <c r="I151" s="11">
        <v>410</v>
      </c>
      <c r="J151" t="s">
        <v>21</v>
      </c>
      <c r="K151" s="6" t="s">
        <v>181</v>
      </c>
      <c r="L151" s="1"/>
      <c r="M151" s="6"/>
      <c r="N151" s="1">
        <v>96.95</v>
      </c>
      <c r="O151" s="18">
        <v>775600.00000000012</v>
      </c>
      <c r="P151" s="30">
        <v>1.906666666666667</v>
      </c>
      <c r="Q151" s="1"/>
      <c r="R151" s="1"/>
      <c r="S151" s="1"/>
      <c r="T151" s="1"/>
      <c r="U151" s="1"/>
      <c r="V151" s="1"/>
      <c r="W151" s="1"/>
      <c r="X151" s="118"/>
      <c r="Y151" s="1"/>
      <c r="Z151" s="1"/>
      <c r="AA151" s="1"/>
      <c r="AB151" s="1"/>
      <c r="AC151" s="1"/>
      <c r="AD151" s="1"/>
      <c r="AE151" s="96"/>
      <c r="AF151" s="98"/>
      <c r="AG151" s="24">
        <v>13.511111111111109</v>
      </c>
      <c r="AH151" s="8">
        <f>AVERAGE(0.14,0)</f>
        <v>7.0000000000000007E-2</v>
      </c>
      <c r="AI151" s="16"/>
      <c r="AJ151" s="171"/>
      <c r="AK151" s="118"/>
      <c r="AL151" s="8"/>
      <c r="AM151" s="239"/>
      <c r="AN151" s="240"/>
      <c r="AO151" s="240"/>
      <c r="AP151"/>
      <c r="AQ151" s="16"/>
      <c r="AR151" s="16"/>
      <c r="AS151" s="16"/>
      <c r="BE151" s="188"/>
      <c r="BF151" s="188"/>
      <c r="BG151" s="188"/>
      <c r="BH151" s="188"/>
      <c r="BI151" s="98"/>
      <c r="BK151" s="239"/>
      <c r="BL151" s="240"/>
      <c r="BM151" s="240"/>
      <c r="BN151"/>
      <c r="BO151" s="16"/>
      <c r="BP151" s="16"/>
      <c r="BQ151" s="16"/>
      <c r="CD151" s="239"/>
      <c r="CE151" s="240"/>
      <c r="CF151" s="240"/>
      <c r="CG151"/>
      <c r="CH151" s="16"/>
      <c r="CI151" s="16"/>
      <c r="CJ151" s="16"/>
    </row>
    <row r="152" spans="1:88" x14ac:dyDescent="0.2">
      <c r="A152" s="21" t="s">
        <v>18</v>
      </c>
      <c r="B152" t="s">
        <v>143</v>
      </c>
      <c r="C152">
        <v>3</v>
      </c>
      <c r="D152" t="s">
        <v>17</v>
      </c>
      <c r="E152" t="s">
        <v>16</v>
      </c>
      <c r="F152" s="9">
        <v>17</v>
      </c>
      <c r="G152" s="26" t="s">
        <v>15</v>
      </c>
      <c r="H152" s="1">
        <v>18</v>
      </c>
      <c r="I152" s="11">
        <v>410</v>
      </c>
      <c r="J152" t="s">
        <v>21</v>
      </c>
      <c r="K152" s="6" t="s">
        <v>181</v>
      </c>
      <c r="L152" s="1"/>
      <c r="M152" s="6"/>
      <c r="N152" s="1">
        <v>96.95</v>
      </c>
      <c r="O152" s="18">
        <v>775600.00000000012</v>
      </c>
      <c r="P152" s="30">
        <v>1.906666666666667</v>
      </c>
      <c r="Q152" s="1"/>
      <c r="R152" s="1"/>
      <c r="S152" s="1"/>
      <c r="T152" s="1"/>
      <c r="U152" s="1"/>
      <c r="V152" s="1"/>
      <c r="W152" s="1"/>
      <c r="X152" s="118"/>
      <c r="Y152" s="1"/>
      <c r="Z152" s="1"/>
      <c r="AA152" s="1"/>
      <c r="AB152" s="1"/>
      <c r="AC152" s="1"/>
      <c r="AD152" s="1"/>
      <c r="AE152" s="96"/>
      <c r="AF152" s="98"/>
      <c r="AG152" s="24">
        <v>8.0888888888888886</v>
      </c>
      <c r="AH152" s="8">
        <v>0</v>
      </c>
      <c r="AI152" s="99">
        <v>0.05</v>
      </c>
      <c r="AJ152" s="171"/>
      <c r="AK152" s="118"/>
      <c r="AL152" s="8"/>
      <c r="AM152" s="176"/>
      <c r="AN152" s="240"/>
      <c r="AO152" s="240"/>
      <c r="AP152"/>
      <c r="AQ152" s="16"/>
      <c r="AR152" s="16"/>
      <c r="AS152" s="16"/>
      <c r="BE152" s="188"/>
      <c r="BF152" s="188"/>
      <c r="BG152" s="188"/>
      <c r="BH152" s="188"/>
      <c r="BI152" s="98"/>
      <c r="BK152" s="176"/>
      <c r="BL152" s="240"/>
      <c r="BM152" s="240"/>
      <c r="BN152"/>
      <c r="BO152" s="16"/>
      <c r="BP152" s="16"/>
      <c r="BQ152" s="16"/>
      <c r="CD152" s="176"/>
      <c r="CE152" s="240"/>
      <c r="CF152" s="240"/>
      <c r="CG152"/>
      <c r="CH152" s="16"/>
      <c r="CI152" s="16"/>
      <c r="CJ152" s="16"/>
    </row>
    <row r="153" spans="1:88" x14ac:dyDescent="0.2">
      <c r="A153" s="21" t="s">
        <v>18</v>
      </c>
      <c r="B153" t="s">
        <v>143</v>
      </c>
      <c r="C153">
        <v>3</v>
      </c>
      <c r="D153" t="s">
        <v>17</v>
      </c>
      <c r="E153" t="s">
        <v>16</v>
      </c>
      <c r="F153" s="9">
        <v>22</v>
      </c>
      <c r="G153" s="26" t="s">
        <v>15</v>
      </c>
      <c r="H153" s="1">
        <v>18</v>
      </c>
      <c r="I153" s="11">
        <v>410</v>
      </c>
      <c r="J153" t="s">
        <v>21</v>
      </c>
      <c r="K153" s="6" t="s">
        <v>181</v>
      </c>
      <c r="L153" s="1"/>
      <c r="M153" s="6"/>
      <c r="N153" s="1">
        <v>96.95</v>
      </c>
      <c r="O153" s="18">
        <v>775600.00000000012</v>
      </c>
      <c r="P153" s="30">
        <v>1.906666666666667</v>
      </c>
      <c r="Q153" s="1"/>
      <c r="R153" s="1"/>
      <c r="S153" s="1"/>
      <c r="T153" s="1"/>
      <c r="U153" s="1"/>
      <c r="V153" s="1"/>
      <c r="W153" s="1"/>
      <c r="X153" s="118"/>
      <c r="Y153" s="1"/>
      <c r="Z153" s="1"/>
      <c r="AA153" s="1"/>
      <c r="AB153" s="1"/>
      <c r="AC153" s="1"/>
      <c r="AD153" s="1"/>
      <c r="AE153" s="96"/>
      <c r="AF153" s="98"/>
      <c r="AG153" s="24">
        <v>2.5866666666666669</v>
      </c>
      <c r="AH153" s="8">
        <v>0</v>
      </c>
      <c r="AI153" s="99">
        <v>0.05</v>
      </c>
      <c r="AJ153" s="171"/>
      <c r="AK153" s="118"/>
      <c r="AL153" s="8"/>
      <c r="AM153" s="176"/>
      <c r="AN153" s="240"/>
      <c r="AO153" s="240"/>
      <c r="AP153"/>
      <c r="AQ153" s="16"/>
      <c r="AR153" s="16"/>
      <c r="AS153" s="16"/>
      <c r="BE153" s="188"/>
      <c r="BF153" s="188"/>
      <c r="BG153" s="188"/>
      <c r="BH153" s="188"/>
      <c r="BI153" s="98"/>
      <c r="BK153" s="176"/>
      <c r="BL153" s="240"/>
      <c r="BM153" s="240"/>
      <c r="BN153"/>
      <c r="BO153" s="16"/>
      <c r="BP153" s="16"/>
      <c r="BQ153" s="16"/>
      <c r="CD153" s="176"/>
      <c r="CE153" s="240"/>
      <c r="CF153" s="240"/>
      <c r="CG153"/>
      <c r="CH153" s="16"/>
      <c r="CI153" s="16"/>
      <c r="CJ153" s="16"/>
    </row>
    <row r="154" spans="1:88" x14ac:dyDescent="0.2">
      <c r="A154" s="21" t="s">
        <v>18</v>
      </c>
      <c r="B154" t="s">
        <v>143</v>
      </c>
      <c r="C154">
        <v>3</v>
      </c>
      <c r="D154" t="s">
        <v>17</v>
      </c>
      <c r="E154" t="s">
        <v>16</v>
      </c>
      <c r="F154" s="9">
        <v>23</v>
      </c>
      <c r="G154" s="26" t="s">
        <v>15</v>
      </c>
      <c r="H154" s="1">
        <v>18</v>
      </c>
      <c r="I154" s="11">
        <v>410</v>
      </c>
      <c r="J154" t="s">
        <v>21</v>
      </c>
      <c r="K154" s="6" t="s">
        <v>181</v>
      </c>
      <c r="L154" s="1"/>
      <c r="M154" s="6"/>
      <c r="N154" s="1">
        <v>96.95</v>
      </c>
      <c r="O154" s="18">
        <v>775600.00000000012</v>
      </c>
      <c r="P154" s="30">
        <v>1.906666666666667</v>
      </c>
      <c r="Q154" s="1"/>
      <c r="R154" s="1"/>
      <c r="S154" s="1"/>
      <c r="T154" s="1"/>
      <c r="U154" s="1"/>
      <c r="V154" s="1"/>
      <c r="W154" s="1"/>
      <c r="X154" s="118"/>
      <c r="Y154" s="1"/>
      <c r="Z154" s="1"/>
      <c r="AA154" s="1"/>
      <c r="AB154" s="1"/>
      <c r="AC154" s="1"/>
      <c r="AD154" s="1"/>
      <c r="AE154" s="96"/>
      <c r="AF154" s="98"/>
      <c r="AG154" s="24">
        <v>0.65600000000000069</v>
      </c>
      <c r="AH154" s="8">
        <v>0</v>
      </c>
      <c r="AI154" s="99">
        <v>0.05</v>
      </c>
      <c r="AJ154" s="171"/>
      <c r="AK154" s="118"/>
      <c r="AL154" s="8"/>
      <c r="AM154" s="176"/>
      <c r="AN154" s="240"/>
      <c r="AO154" s="240"/>
      <c r="AP154"/>
      <c r="AQ154" s="16"/>
      <c r="AR154" s="16"/>
      <c r="AS154" s="16"/>
      <c r="BE154" s="188"/>
      <c r="BF154" s="188"/>
      <c r="BG154" s="188"/>
      <c r="BH154" s="188"/>
      <c r="BI154" s="98"/>
      <c r="BK154" s="176"/>
      <c r="BL154" s="240"/>
      <c r="BM154" s="240"/>
      <c r="BN154"/>
      <c r="BO154" s="16"/>
      <c r="BP154" s="16"/>
      <c r="BQ154" s="16"/>
      <c r="CD154" s="176"/>
      <c r="CE154" s="240"/>
      <c r="CF154" s="240"/>
      <c r="CG154"/>
      <c r="CH154" s="16"/>
      <c r="CI154" s="16"/>
      <c r="CJ154" s="16"/>
    </row>
    <row r="155" spans="1:88" x14ac:dyDescent="0.2">
      <c r="A155" s="21" t="s">
        <v>18</v>
      </c>
      <c r="B155" t="s">
        <v>143</v>
      </c>
      <c r="C155">
        <v>3</v>
      </c>
      <c r="D155" t="s">
        <v>17</v>
      </c>
      <c r="E155" t="s">
        <v>20</v>
      </c>
      <c r="F155" s="9">
        <v>59</v>
      </c>
      <c r="G155" s="26" t="s">
        <v>15</v>
      </c>
      <c r="H155" s="1">
        <v>18</v>
      </c>
      <c r="I155" s="11">
        <v>410</v>
      </c>
      <c r="J155" t="s">
        <v>21</v>
      </c>
      <c r="K155" s="6" t="s">
        <v>181</v>
      </c>
      <c r="L155" s="1"/>
      <c r="M155" s="6"/>
      <c r="N155" s="1">
        <v>96.95</v>
      </c>
      <c r="O155" s="18">
        <v>775600.00000000012</v>
      </c>
      <c r="P155" s="30">
        <v>1.906666666666667</v>
      </c>
      <c r="Q155" s="1"/>
      <c r="R155" s="1"/>
      <c r="S155" s="1"/>
      <c r="T155" s="1"/>
      <c r="U155" s="1"/>
      <c r="V155" s="1"/>
      <c r="W155" s="1"/>
      <c r="X155" s="118"/>
      <c r="Y155" s="1"/>
      <c r="Z155" s="1"/>
      <c r="AA155" s="1"/>
      <c r="AB155" s="1"/>
      <c r="AC155" s="1"/>
      <c r="AD155" s="1"/>
      <c r="AE155" s="96"/>
      <c r="AF155" s="98"/>
      <c r="AG155" s="24">
        <v>0.10000000000000002</v>
      </c>
      <c r="AH155" s="8">
        <v>0</v>
      </c>
      <c r="AI155" s="99">
        <v>0.05</v>
      </c>
      <c r="AJ155" s="171"/>
      <c r="AK155" s="118"/>
      <c r="AL155" s="8"/>
      <c r="AM155" s="176"/>
      <c r="AN155" s="240"/>
      <c r="AO155" s="240"/>
      <c r="AP155"/>
      <c r="AQ155" s="16"/>
      <c r="AR155" s="16"/>
      <c r="AS155" s="16"/>
      <c r="BE155" s="188"/>
      <c r="BF155" s="188"/>
      <c r="BG155" s="188"/>
      <c r="BH155" s="188"/>
      <c r="BI155" s="98"/>
      <c r="BK155" s="176"/>
      <c r="BL155" s="240"/>
      <c r="BM155" s="240"/>
      <c r="BN155"/>
      <c r="BO155" s="16"/>
      <c r="BP155" s="16"/>
      <c r="BQ155" s="16"/>
      <c r="CD155" s="176"/>
      <c r="CE155" s="240"/>
      <c r="CF155" s="240"/>
      <c r="CG155"/>
      <c r="CH155" s="16"/>
      <c r="CI155" s="16"/>
      <c r="CJ155" s="16"/>
    </row>
    <row r="156" spans="1:88" x14ac:dyDescent="0.2">
      <c r="K156" s="6"/>
      <c r="M156" s="9"/>
      <c r="X156" s="118"/>
      <c r="AG156" s="10"/>
      <c r="AJ156" s="8"/>
      <c r="AK156" s="9"/>
      <c r="AL156" s="8"/>
      <c r="AM156" s="239"/>
      <c r="AP156"/>
      <c r="AS156" s="1"/>
      <c r="BE156"/>
      <c r="BF156"/>
      <c r="BG156"/>
      <c r="BH156"/>
      <c r="BI156"/>
      <c r="BK156" s="239"/>
      <c r="BN156"/>
      <c r="BQ156" s="1"/>
      <c r="CD156" s="239"/>
      <c r="CG156"/>
      <c r="CJ156" s="1"/>
    </row>
    <row r="157" spans="1:88" x14ac:dyDescent="0.2">
      <c r="A157" s="8">
        <v>37</v>
      </c>
      <c r="B157" t="s">
        <v>143</v>
      </c>
      <c r="C157">
        <v>3</v>
      </c>
      <c r="D157" t="s">
        <v>17</v>
      </c>
      <c r="E157" t="s">
        <v>16</v>
      </c>
      <c r="F157" s="9">
        <v>16</v>
      </c>
      <c r="G157" s="26" t="s">
        <v>15</v>
      </c>
      <c r="H157" s="1">
        <v>18</v>
      </c>
      <c r="I157" s="11">
        <v>403</v>
      </c>
      <c r="J157" t="s">
        <v>14</v>
      </c>
      <c r="K157" s="6" t="s">
        <v>153</v>
      </c>
      <c r="L157" s="1"/>
      <c r="M157" s="6"/>
      <c r="N157" s="1">
        <v>165.80749949115744</v>
      </c>
      <c r="O157" s="18">
        <v>118882.50367033854</v>
      </c>
      <c r="P157" s="30">
        <v>3.4</v>
      </c>
      <c r="Q157" s="1"/>
      <c r="R157" s="1"/>
      <c r="S157" s="1"/>
      <c r="T157" s="1"/>
      <c r="U157" s="1"/>
      <c r="V157" s="1"/>
      <c r="W157" s="1"/>
      <c r="X157" s="118"/>
      <c r="Y157" s="1"/>
      <c r="Z157" s="1"/>
      <c r="AA157" s="1"/>
      <c r="AB157" s="1"/>
      <c r="AC157" s="1"/>
      <c r="AD157" s="1"/>
      <c r="AE157" s="96"/>
      <c r="AF157" s="98"/>
      <c r="AG157" s="24">
        <v>132.44444444444443</v>
      </c>
      <c r="AH157" s="8">
        <v>1.3</v>
      </c>
      <c r="AI157" s="16"/>
      <c r="AJ157" s="171"/>
      <c r="AK157" s="118"/>
      <c r="AL157" s="8"/>
      <c r="AM157" s="239"/>
      <c r="AN157" s="240"/>
      <c r="AO157" s="240"/>
      <c r="AP157"/>
      <c r="AQ157" s="16"/>
      <c r="AR157" s="16"/>
      <c r="AS157" s="16"/>
      <c r="BE157" s="188"/>
      <c r="BF157" s="188"/>
      <c r="BG157" s="188"/>
      <c r="BH157" s="188"/>
      <c r="BI157" s="98"/>
      <c r="BK157" s="239"/>
      <c r="BL157" s="240"/>
      <c r="BM157" s="240"/>
      <c r="BN157"/>
      <c r="BO157" s="16"/>
      <c r="BP157" s="16"/>
      <c r="BQ157" s="16"/>
      <c r="CD157" s="239"/>
      <c r="CE157" s="240"/>
      <c r="CF157" s="240"/>
      <c r="CG157"/>
      <c r="CH157" s="16"/>
      <c r="CI157" s="16"/>
      <c r="CJ157" s="16"/>
    </row>
    <row r="158" spans="1:88" x14ac:dyDescent="0.2">
      <c r="A158" s="8">
        <v>33</v>
      </c>
      <c r="B158" t="s">
        <v>143</v>
      </c>
      <c r="C158">
        <v>3</v>
      </c>
      <c r="D158" t="s">
        <v>17</v>
      </c>
      <c r="E158" t="s">
        <v>16</v>
      </c>
      <c r="F158" s="9">
        <v>14</v>
      </c>
      <c r="G158" s="26" t="s">
        <v>15</v>
      </c>
      <c r="H158" s="1">
        <v>18</v>
      </c>
      <c r="I158" s="11">
        <v>403</v>
      </c>
      <c r="J158" t="s">
        <v>14</v>
      </c>
      <c r="K158" s="6" t="s">
        <v>153</v>
      </c>
      <c r="L158" s="1"/>
      <c r="M158" s="6"/>
      <c r="N158" s="1">
        <v>165.80749949115744</v>
      </c>
      <c r="O158" s="18">
        <v>118882.50367033854</v>
      </c>
      <c r="P158" s="30">
        <v>3.4</v>
      </c>
      <c r="Q158" s="1"/>
      <c r="R158" s="1"/>
      <c r="S158" s="1"/>
      <c r="T158" s="1"/>
      <c r="U158" s="1"/>
      <c r="V158" s="1"/>
      <c r="W158" s="1"/>
      <c r="X158" s="118"/>
      <c r="Y158" s="1"/>
      <c r="Z158" s="1"/>
      <c r="AA158" s="1"/>
      <c r="AB158" s="1"/>
      <c r="AC158" s="1"/>
      <c r="AD158" s="1"/>
      <c r="AE158" s="96"/>
      <c r="AF158" s="98"/>
      <c r="AG158" s="24">
        <v>40.933333333333493</v>
      </c>
      <c r="AH158" s="8">
        <f>AVERAGE(0.38,0)</f>
        <v>0.19</v>
      </c>
      <c r="AI158" s="16"/>
      <c r="AJ158" s="171"/>
      <c r="AK158" s="118"/>
      <c r="AL158" s="8"/>
      <c r="AM158" s="239"/>
      <c r="AN158" s="240"/>
      <c r="AO158" s="240"/>
      <c r="AP158"/>
      <c r="AQ158" s="16"/>
      <c r="AR158" s="16"/>
      <c r="AS158" s="16"/>
      <c r="BE158" s="188"/>
      <c r="BF158" s="188"/>
      <c r="BG158" s="188"/>
      <c r="BH158" s="188"/>
      <c r="BI158" s="98"/>
      <c r="BK158" s="239"/>
      <c r="BL158" s="240"/>
      <c r="BM158" s="240"/>
      <c r="BN158"/>
      <c r="BO158" s="16"/>
      <c r="BP158" s="16"/>
      <c r="BQ158" s="16"/>
      <c r="CD158" s="239"/>
      <c r="CE158" s="240"/>
      <c r="CF158" s="240"/>
      <c r="CG158"/>
      <c r="CH158" s="16"/>
      <c r="CI158" s="16"/>
      <c r="CJ158" s="16"/>
    </row>
    <row r="159" spans="1:88" x14ac:dyDescent="0.2">
      <c r="A159" s="8">
        <v>28</v>
      </c>
      <c r="B159" t="s">
        <v>143</v>
      </c>
      <c r="C159">
        <v>3</v>
      </c>
      <c r="D159" t="s">
        <v>17</v>
      </c>
      <c r="E159" t="s">
        <v>20</v>
      </c>
      <c r="F159" s="9">
        <v>59</v>
      </c>
      <c r="G159" s="26" t="s">
        <v>15</v>
      </c>
      <c r="H159" s="1">
        <v>18</v>
      </c>
      <c r="I159" s="11">
        <v>403</v>
      </c>
      <c r="J159" t="s">
        <v>14</v>
      </c>
      <c r="K159" s="6" t="s">
        <v>153</v>
      </c>
      <c r="L159" s="1"/>
      <c r="M159" s="6"/>
      <c r="N159" s="1">
        <v>165.80749949115744</v>
      </c>
      <c r="O159" s="18">
        <v>118882.50367033854</v>
      </c>
      <c r="P159" s="30">
        <v>3.4</v>
      </c>
      <c r="Q159" s="1"/>
      <c r="R159" s="1"/>
      <c r="S159" s="1"/>
      <c r="T159" s="1"/>
      <c r="U159" s="1"/>
      <c r="V159" s="1"/>
      <c r="W159" s="1"/>
      <c r="X159" s="118"/>
      <c r="Y159" s="1"/>
      <c r="Z159" s="1"/>
      <c r="AA159" s="1"/>
      <c r="AB159" s="1"/>
      <c r="AC159" s="1"/>
      <c r="AD159" s="1"/>
      <c r="AE159" s="96"/>
      <c r="AF159" s="98"/>
      <c r="AG159" s="24">
        <v>18.377777777777773</v>
      </c>
      <c r="AH159" s="8">
        <v>0.09</v>
      </c>
      <c r="AI159" s="16"/>
      <c r="AJ159" s="171"/>
      <c r="AK159" s="118"/>
      <c r="AL159" s="8"/>
      <c r="AM159" s="239"/>
      <c r="AN159" s="240"/>
      <c r="AO159" s="240"/>
      <c r="AP159"/>
      <c r="AQ159" s="16"/>
      <c r="AR159" s="16"/>
      <c r="AS159" s="16"/>
      <c r="BE159" s="188"/>
      <c r="BF159" s="188"/>
      <c r="BG159" s="188"/>
      <c r="BH159" s="188"/>
      <c r="BI159" s="98"/>
      <c r="BK159" s="239"/>
      <c r="BL159" s="240"/>
      <c r="BM159" s="240"/>
      <c r="BN159"/>
      <c r="BO159" s="16"/>
      <c r="BP159" s="16"/>
      <c r="BQ159" s="16"/>
      <c r="CD159" s="239"/>
      <c r="CE159" s="240"/>
      <c r="CF159" s="240"/>
      <c r="CG159"/>
      <c r="CH159" s="16"/>
      <c r="CI159" s="16"/>
      <c r="CJ159" s="16"/>
    </row>
    <row r="160" spans="1:88" x14ac:dyDescent="0.2">
      <c r="A160" s="8">
        <v>40</v>
      </c>
      <c r="B160" t="s">
        <v>143</v>
      </c>
      <c r="C160">
        <v>3</v>
      </c>
      <c r="D160" t="s">
        <v>17</v>
      </c>
      <c r="E160" t="s">
        <v>16</v>
      </c>
      <c r="F160" s="9">
        <v>17</v>
      </c>
      <c r="G160" s="26" t="s">
        <v>15</v>
      </c>
      <c r="H160" s="1">
        <v>18</v>
      </c>
      <c r="I160" s="11">
        <v>403</v>
      </c>
      <c r="J160" t="s">
        <v>14</v>
      </c>
      <c r="K160" s="6" t="s">
        <v>153</v>
      </c>
      <c r="L160" s="1"/>
      <c r="M160" s="6"/>
      <c r="N160" s="1">
        <v>165.80749949115744</v>
      </c>
      <c r="O160" s="18">
        <v>118882.50367033854</v>
      </c>
      <c r="P160" s="30">
        <v>3.4</v>
      </c>
      <c r="Q160" s="1"/>
      <c r="R160" s="1"/>
      <c r="S160" s="1"/>
      <c r="T160" s="1"/>
      <c r="U160" s="1"/>
      <c r="V160" s="1"/>
      <c r="W160" s="1"/>
      <c r="X160" s="118"/>
      <c r="Y160" s="1"/>
      <c r="Z160" s="1"/>
      <c r="AA160" s="1"/>
      <c r="AB160" s="1"/>
      <c r="AC160" s="1"/>
      <c r="AD160" s="1"/>
      <c r="AE160" s="96"/>
      <c r="AF160" s="98"/>
      <c r="AG160" s="24">
        <v>2.960000000000008</v>
      </c>
      <c r="AH160" s="8">
        <v>0.08</v>
      </c>
      <c r="AI160" s="16"/>
      <c r="AJ160" s="171"/>
      <c r="AK160" s="118"/>
      <c r="AL160" s="8"/>
      <c r="AM160" s="239"/>
      <c r="AP160"/>
      <c r="AQ160" s="16"/>
      <c r="AR160" s="16"/>
      <c r="AS160" s="16"/>
      <c r="BE160" s="188"/>
      <c r="BF160" s="188"/>
      <c r="BG160" s="188"/>
      <c r="BH160" s="188"/>
      <c r="BI160" s="98"/>
      <c r="BK160" s="239"/>
      <c r="BN160"/>
      <c r="BO160" s="16"/>
      <c r="BP160" s="16"/>
      <c r="BQ160" s="16"/>
      <c r="CD160" s="239"/>
      <c r="CG160"/>
      <c r="CH160" s="16"/>
      <c r="CI160" s="16"/>
      <c r="CJ160" s="16"/>
    </row>
    <row r="161" spans="1:88" x14ac:dyDescent="0.2">
      <c r="A161" s="8">
        <v>30</v>
      </c>
      <c r="B161" t="s">
        <v>143</v>
      </c>
      <c r="C161">
        <v>3</v>
      </c>
      <c r="D161" t="s">
        <v>17</v>
      </c>
      <c r="E161" t="s">
        <v>16</v>
      </c>
      <c r="F161" s="9">
        <v>11</v>
      </c>
      <c r="G161" s="26" t="s">
        <v>15</v>
      </c>
      <c r="H161" s="1">
        <v>18</v>
      </c>
      <c r="I161" s="11">
        <v>403</v>
      </c>
      <c r="J161" t="s">
        <v>14</v>
      </c>
      <c r="K161" s="6" t="s">
        <v>153</v>
      </c>
      <c r="L161" s="1"/>
      <c r="M161" s="6"/>
      <c r="N161" s="1">
        <v>165.80749949115744</v>
      </c>
      <c r="O161" s="18">
        <v>118882.50367033854</v>
      </c>
      <c r="P161" s="30">
        <v>3.4</v>
      </c>
      <c r="Q161" s="1"/>
      <c r="R161" s="1"/>
      <c r="S161" s="1"/>
      <c r="T161" s="1"/>
      <c r="U161" s="1"/>
      <c r="V161" s="1"/>
      <c r="W161" s="1"/>
      <c r="X161" s="118"/>
      <c r="Y161" s="1"/>
      <c r="Z161" s="1"/>
      <c r="AA161" s="1"/>
      <c r="AB161" s="1"/>
      <c r="AC161" s="1"/>
      <c r="AD161" s="1"/>
      <c r="AE161" s="96"/>
      <c r="AF161" s="98"/>
      <c r="AG161" s="24">
        <v>0.11800000000000005</v>
      </c>
      <c r="AH161" s="8">
        <v>0.05</v>
      </c>
      <c r="AI161" s="16"/>
      <c r="AJ161" s="171"/>
      <c r="AK161" s="118"/>
      <c r="AL161" s="8"/>
      <c r="AM161" s="239"/>
      <c r="AP161"/>
      <c r="AS161" s="1"/>
      <c r="BE161" s="188"/>
      <c r="BF161" s="188"/>
      <c r="BG161" s="188"/>
      <c r="BH161" s="188"/>
      <c r="BI161" s="98"/>
      <c r="BK161" s="239"/>
      <c r="BN161"/>
      <c r="BQ161" s="1"/>
      <c r="CD161" s="239"/>
      <c r="CG161"/>
      <c r="CJ161" s="1"/>
    </row>
    <row r="162" spans="1:88" x14ac:dyDescent="0.2">
      <c r="A162" s="21" t="s">
        <v>18</v>
      </c>
      <c r="B162" t="s">
        <v>143</v>
      </c>
      <c r="C162">
        <v>3</v>
      </c>
      <c r="D162" t="s">
        <v>17</v>
      </c>
      <c r="E162" t="s">
        <v>16</v>
      </c>
      <c r="F162" s="9">
        <v>22</v>
      </c>
      <c r="G162" s="26" t="s">
        <v>15</v>
      </c>
      <c r="H162" s="1">
        <v>18</v>
      </c>
      <c r="I162" s="11">
        <v>403</v>
      </c>
      <c r="J162" t="s">
        <v>14</v>
      </c>
      <c r="K162" s="6" t="s">
        <v>153</v>
      </c>
      <c r="L162" s="1"/>
      <c r="M162" s="6"/>
      <c r="N162" s="1">
        <v>165.80749949115744</v>
      </c>
      <c r="O162" s="18">
        <v>118882.50367033854</v>
      </c>
      <c r="P162" s="30">
        <v>3.4</v>
      </c>
      <c r="Q162" s="1"/>
      <c r="R162" s="1"/>
      <c r="S162" s="1"/>
      <c r="T162" s="1"/>
      <c r="U162" s="1"/>
      <c r="V162" s="1"/>
      <c r="W162" s="1"/>
      <c r="X162" s="118"/>
      <c r="Y162" s="1"/>
      <c r="Z162" s="1"/>
      <c r="AA162" s="1"/>
      <c r="AB162" s="1"/>
      <c r="AC162" s="1"/>
      <c r="AD162" s="1"/>
      <c r="AE162" s="96"/>
      <c r="AF162" s="98"/>
      <c r="AG162" s="24">
        <v>0.10000000000000002</v>
      </c>
      <c r="AH162" s="8">
        <v>0</v>
      </c>
      <c r="AI162" s="99">
        <v>0.05</v>
      </c>
      <c r="AJ162" s="171"/>
      <c r="AK162" s="118"/>
      <c r="AL162" s="8"/>
      <c r="AM162" s="176"/>
      <c r="AN162" s="240"/>
      <c r="AO162" s="240"/>
      <c r="AP162"/>
      <c r="AQ162" s="16"/>
      <c r="AR162" s="16"/>
      <c r="AS162" s="16"/>
      <c r="BE162" s="188"/>
      <c r="BF162" s="188"/>
      <c r="BG162" s="188"/>
      <c r="BH162" s="188"/>
      <c r="BI162" s="98"/>
      <c r="BK162" s="176"/>
      <c r="BL162" s="240"/>
      <c r="BM162" s="240"/>
      <c r="BN162"/>
      <c r="BO162" s="16"/>
      <c r="BP162" s="16"/>
      <c r="BQ162" s="16"/>
      <c r="CD162" s="176"/>
      <c r="CE162" s="240"/>
      <c r="CF162" s="240"/>
      <c r="CG162"/>
      <c r="CH162" s="16"/>
      <c r="CI162" s="16"/>
      <c r="CJ162" s="16"/>
    </row>
    <row r="163" spans="1:88" x14ac:dyDescent="0.2">
      <c r="A163" s="21" t="s">
        <v>18</v>
      </c>
      <c r="B163" t="s">
        <v>143</v>
      </c>
      <c r="C163">
        <v>3</v>
      </c>
      <c r="D163" t="s">
        <v>17</v>
      </c>
      <c r="E163" t="s">
        <v>16</v>
      </c>
      <c r="F163" s="9">
        <v>23</v>
      </c>
      <c r="G163" s="26" t="s">
        <v>15</v>
      </c>
      <c r="H163" s="1">
        <v>18</v>
      </c>
      <c r="I163" s="11">
        <v>403</v>
      </c>
      <c r="J163" t="s">
        <v>14</v>
      </c>
      <c r="K163" s="6" t="s">
        <v>153</v>
      </c>
      <c r="L163" s="1"/>
      <c r="M163" s="6"/>
      <c r="N163" s="1">
        <v>165.80749949115744</v>
      </c>
      <c r="O163" s="18">
        <v>118882.50367033854</v>
      </c>
      <c r="P163" s="30">
        <v>3.4</v>
      </c>
      <c r="Q163" s="1"/>
      <c r="R163" s="1"/>
      <c r="S163" s="1"/>
      <c r="T163" s="1"/>
      <c r="U163" s="1"/>
      <c r="V163" s="1"/>
      <c r="W163" s="1"/>
      <c r="X163" s="118"/>
      <c r="Y163" s="1"/>
      <c r="Z163" s="1"/>
      <c r="AA163" s="1"/>
      <c r="AB163" s="1"/>
      <c r="AC163" s="1"/>
      <c r="AD163" s="1"/>
      <c r="AE163" s="96"/>
      <c r="AF163" s="98"/>
      <c r="AG163" s="24">
        <v>0.10000000000000002</v>
      </c>
      <c r="AH163" s="8">
        <v>0</v>
      </c>
      <c r="AI163" s="99">
        <v>0.05</v>
      </c>
      <c r="AJ163" s="171"/>
      <c r="AK163" s="118"/>
      <c r="AL163" s="8"/>
      <c r="AM163" s="176"/>
      <c r="AN163" s="240"/>
      <c r="AO163" s="240"/>
      <c r="AP163"/>
      <c r="AQ163" s="16"/>
      <c r="AR163" s="16"/>
      <c r="AS163" s="16"/>
      <c r="BE163" s="188"/>
      <c r="BF163" s="188"/>
      <c r="BG163" s="188"/>
      <c r="BH163" s="188"/>
      <c r="BI163" s="98"/>
      <c r="BK163" s="176"/>
      <c r="BL163" s="240"/>
      <c r="BM163" s="240"/>
      <c r="BN163"/>
      <c r="BO163" s="16"/>
      <c r="BP163" s="16"/>
      <c r="BQ163" s="16"/>
      <c r="CD163" s="176"/>
      <c r="CE163" s="240"/>
      <c r="CF163" s="240"/>
      <c r="CG163"/>
      <c r="CH163" s="16"/>
      <c r="CI163" s="16"/>
      <c r="CJ163" s="16"/>
    </row>
    <row r="164" spans="1:88" x14ac:dyDescent="0.2">
      <c r="A164" s="21"/>
      <c r="B164" s="13"/>
      <c r="F164" s="9"/>
      <c r="G164" s="26"/>
      <c r="I164" s="11"/>
      <c r="K164" s="6"/>
      <c r="L164" s="1"/>
      <c r="M164" s="6"/>
      <c r="O164" s="18"/>
      <c r="P164" s="1"/>
      <c r="Q164" s="1"/>
      <c r="R164" s="1"/>
      <c r="S164" s="1"/>
      <c r="T164" s="1"/>
      <c r="U164" s="1"/>
      <c r="V164" s="1"/>
      <c r="W164" s="1"/>
      <c r="X164" s="14"/>
      <c r="Y164" s="1"/>
      <c r="Z164" s="1"/>
      <c r="AA164" s="1"/>
      <c r="AB164" s="1"/>
      <c r="AC164" s="1"/>
      <c r="AD164" s="1"/>
      <c r="AE164" s="1"/>
      <c r="AF164" s="16"/>
      <c r="AG164" s="24"/>
      <c r="AH164" s="8"/>
      <c r="AI164" s="16"/>
      <c r="AJ164" s="8"/>
      <c r="AK164" s="9"/>
      <c r="AL164" s="8"/>
      <c r="AM164" s="176"/>
      <c r="AN164" s="240"/>
      <c r="AO164" s="240"/>
      <c r="AP164"/>
      <c r="AQ164" s="16"/>
      <c r="AR164" s="16"/>
      <c r="AS164" s="16"/>
      <c r="BE164"/>
      <c r="BF164"/>
      <c r="BG164"/>
      <c r="BH164"/>
      <c r="BI164"/>
      <c r="BK164" s="176"/>
      <c r="BL164" s="240"/>
      <c r="BM164" s="240"/>
      <c r="BN164"/>
      <c r="BO164" s="16"/>
      <c r="BP164" s="16"/>
      <c r="BQ164" s="16"/>
      <c r="CD164" s="176"/>
      <c r="CE164" s="240"/>
      <c r="CF164" s="240"/>
      <c r="CG164"/>
      <c r="CH164" s="16"/>
      <c r="CI164" s="16"/>
      <c r="CJ164" s="16"/>
    </row>
    <row r="165" spans="1:88" x14ac:dyDescent="0.2">
      <c r="A165" s="8">
        <v>38</v>
      </c>
      <c r="B165" t="s">
        <v>143</v>
      </c>
      <c r="C165">
        <v>3</v>
      </c>
      <c r="D165" t="s">
        <v>17</v>
      </c>
      <c r="E165" t="s">
        <v>16</v>
      </c>
      <c r="F165" s="9">
        <v>16</v>
      </c>
      <c r="G165" s="26" t="s">
        <v>15</v>
      </c>
      <c r="H165" s="1">
        <v>18</v>
      </c>
      <c r="I165" s="11">
        <v>405</v>
      </c>
      <c r="J165" t="s">
        <v>19</v>
      </c>
      <c r="K165" s="6" t="s">
        <v>182</v>
      </c>
      <c r="L165" s="1"/>
      <c r="M165" s="6"/>
      <c r="N165" s="1">
        <v>131.4</v>
      </c>
      <c r="O165" s="18">
        <v>1164844.1611748487</v>
      </c>
      <c r="P165" s="30">
        <v>2.61</v>
      </c>
      <c r="Q165" s="1"/>
      <c r="R165" s="1"/>
      <c r="S165" s="1"/>
      <c r="T165" s="1"/>
      <c r="U165" s="1"/>
      <c r="V165" s="1"/>
      <c r="W165" s="1"/>
      <c r="X165" s="118"/>
      <c r="Y165" s="1"/>
      <c r="Z165" s="1"/>
      <c r="AA165" s="1"/>
      <c r="AB165" s="1"/>
      <c r="AC165" s="1"/>
      <c r="AD165" s="1"/>
      <c r="AE165" s="96"/>
      <c r="AF165" s="98"/>
      <c r="AG165" s="24">
        <v>27.711111111111112</v>
      </c>
      <c r="AH165" s="8">
        <v>0.68</v>
      </c>
      <c r="AI165" s="16"/>
      <c r="AJ165" s="171"/>
      <c r="AK165" s="118"/>
      <c r="AL165" s="8"/>
      <c r="AM165" s="239"/>
      <c r="AP165"/>
      <c r="AS165" s="1"/>
      <c r="BE165" s="188"/>
      <c r="BF165" s="188"/>
      <c r="BG165" s="188"/>
      <c r="BH165" s="188"/>
      <c r="BI165" s="98"/>
      <c r="BK165" s="239"/>
      <c r="BN165"/>
      <c r="BQ165" s="1"/>
      <c r="CD165" s="239"/>
      <c r="CG165"/>
      <c r="CJ165" s="1"/>
    </row>
    <row r="166" spans="1:88" x14ac:dyDescent="0.2">
      <c r="A166" s="8">
        <v>31</v>
      </c>
      <c r="B166" t="s">
        <v>143</v>
      </c>
      <c r="C166">
        <v>3</v>
      </c>
      <c r="D166" t="s">
        <v>17</v>
      </c>
      <c r="E166" t="s">
        <v>16</v>
      </c>
      <c r="F166" s="9">
        <v>11</v>
      </c>
      <c r="G166" s="26" t="s">
        <v>15</v>
      </c>
      <c r="H166" s="1">
        <v>18</v>
      </c>
      <c r="I166" s="11">
        <v>405</v>
      </c>
      <c r="J166" t="s">
        <v>19</v>
      </c>
      <c r="K166" s="6" t="s">
        <v>182</v>
      </c>
      <c r="L166" s="1"/>
      <c r="M166" s="6"/>
      <c r="N166" s="1">
        <v>131.4</v>
      </c>
      <c r="O166" s="18">
        <v>1164844.1611748487</v>
      </c>
      <c r="P166" s="30">
        <v>2.61</v>
      </c>
      <c r="Q166" s="1"/>
      <c r="R166" s="1"/>
      <c r="S166" s="1"/>
      <c r="T166" s="1"/>
      <c r="U166" s="1"/>
      <c r="V166" s="1"/>
      <c r="W166" s="1"/>
      <c r="X166" s="118"/>
      <c r="Y166" s="1"/>
      <c r="Z166" s="1"/>
      <c r="AA166" s="1"/>
      <c r="AB166" s="1"/>
      <c r="AC166" s="1"/>
      <c r="AD166" s="1"/>
      <c r="AE166" s="96"/>
      <c r="AF166" s="98"/>
      <c r="AG166" s="24">
        <v>15.266666666666675</v>
      </c>
      <c r="AH166" s="8">
        <v>7.0000000000000007E-2</v>
      </c>
      <c r="AI166" s="16"/>
      <c r="AJ166" s="171"/>
      <c r="AK166" s="118"/>
      <c r="AL166" s="8"/>
      <c r="AM166" s="239"/>
      <c r="AP166"/>
      <c r="AQ166" s="16"/>
      <c r="AR166" s="16"/>
      <c r="AS166" s="16"/>
      <c r="BE166" s="188"/>
      <c r="BF166" s="188"/>
      <c r="BG166" s="188"/>
      <c r="BH166" s="188"/>
      <c r="BI166" s="98"/>
      <c r="BK166" s="239"/>
      <c r="BN166"/>
      <c r="BO166" s="16"/>
      <c r="BP166" s="16"/>
      <c r="BQ166" s="16"/>
      <c r="CD166" s="239"/>
      <c r="CG166"/>
      <c r="CH166" s="16"/>
      <c r="CI166" s="16"/>
      <c r="CJ166" s="16"/>
    </row>
    <row r="167" spans="1:88" x14ac:dyDescent="0.2">
      <c r="A167" s="8">
        <v>41</v>
      </c>
      <c r="B167" t="s">
        <v>143</v>
      </c>
      <c r="C167">
        <v>3</v>
      </c>
      <c r="D167" t="s">
        <v>17</v>
      </c>
      <c r="E167" t="s">
        <v>16</v>
      </c>
      <c r="F167" s="9">
        <v>17</v>
      </c>
      <c r="G167" s="26" t="s">
        <v>15</v>
      </c>
      <c r="H167" s="1">
        <v>18</v>
      </c>
      <c r="I167" s="11">
        <v>405</v>
      </c>
      <c r="J167" t="s">
        <v>19</v>
      </c>
      <c r="K167" s="6" t="s">
        <v>182</v>
      </c>
      <c r="L167" s="1"/>
      <c r="M167" s="6"/>
      <c r="N167" s="1">
        <v>131.4</v>
      </c>
      <c r="O167" s="18">
        <v>1164844.1611748487</v>
      </c>
      <c r="P167" s="30">
        <v>2.61</v>
      </c>
      <c r="Q167" s="1"/>
      <c r="R167" s="1"/>
      <c r="S167" s="1"/>
      <c r="T167" s="1"/>
      <c r="U167" s="1"/>
      <c r="V167" s="1"/>
      <c r="W167" s="1"/>
      <c r="X167" s="118"/>
      <c r="Y167" s="1"/>
      <c r="Z167" s="1"/>
      <c r="AA167" s="1"/>
      <c r="AB167" s="1"/>
      <c r="AC167" s="1"/>
      <c r="AD167" s="1"/>
      <c r="AE167" s="96"/>
      <c r="AF167" s="98"/>
      <c r="AG167" s="24">
        <v>6.2666666666666648</v>
      </c>
      <c r="AH167" s="8">
        <v>0.06</v>
      </c>
      <c r="AI167" s="16"/>
      <c r="AJ167" s="171"/>
      <c r="AK167" s="118"/>
      <c r="AL167" s="8"/>
      <c r="AM167" s="239"/>
      <c r="AP167"/>
      <c r="AS167" s="1"/>
      <c r="BE167" s="188"/>
      <c r="BF167" s="188"/>
      <c r="BG167" s="188"/>
      <c r="BH167" s="188"/>
      <c r="BI167" s="98"/>
      <c r="BK167" s="239"/>
      <c r="BN167"/>
      <c r="BQ167" s="1"/>
      <c r="CD167" s="239"/>
      <c r="CG167"/>
      <c r="CJ167" s="1"/>
    </row>
    <row r="168" spans="1:88" x14ac:dyDescent="0.2">
      <c r="A168" s="8">
        <v>29</v>
      </c>
      <c r="B168" t="s">
        <v>143</v>
      </c>
      <c r="C168">
        <v>3</v>
      </c>
      <c r="D168" t="s">
        <v>17</v>
      </c>
      <c r="E168" t="s">
        <v>20</v>
      </c>
      <c r="F168" s="9">
        <v>59</v>
      </c>
      <c r="G168" s="26" t="s">
        <v>15</v>
      </c>
      <c r="H168" s="1">
        <v>18</v>
      </c>
      <c r="I168" s="11">
        <v>405</v>
      </c>
      <c r="J168" t="s">
        <v>19</v>
      </c>
      <c r="K168" s="6" t="s">
        <v>182</v>
      </c>
      <c r="L168" s="1"/>
      <c r="M168" s="6"/>
      <c r="N168" s="1">
        <v>131.4</v>
      </c>
      <c r="O168" s="18">
        <v>1164844.1611748487</v>
      </c>
      <c r="P168" s="30">
        <v>2.61</v>
      </c>
      <c r="Q168" s="1"/>
      <c r="R168" s="1"/>
      <c r="S168" s="1"/>
      <c r="T168" s="1"/>
      <c r="U168" s="1"/>
      <c r="V168" s="1"/>
      <c r="W168" s="1"/>
      <c r="X168" s="118"/>
      <c r="Y168" s="1"/>
      <c r="Z168" s="1"/>
      <c r="AA168" s="1"/>
      <c r="AB168" s="1"/>
      <c r="AC168" s="1"/>
      <c r="AD168" s="1"/>
      <c r="AE168" s="96"/>
      <c r="AF168" s="98"/>
      <c r="AG168" s="24">
        <v>3.7</v>
      </c>
      <c r="AH168" s="8">
        <v>0.05</v>
      </c>
      <c r="AI168" s="16"/>
      <c r="AJ168" s="171"/>
      <c r="AK168" s="118"/>
      <c r="AL168" s="8"/>
      <c r="AM168" s="239"/>
      <c r="AP168"/>
      <c r="AS168" s="1"/>
      <c r="BE168" s="188"/>
      <c r="BF168" s="188"/>
      <c r="BG168" s="188"/>
      <c r="BH168" s="188"/>
      <c r="BI168" s="98"/>
      <c r="BK168" s="239"/>
      <c r="BN168"/>
      <c r="BQ168" s="1"/>
      <c r="CD168" s="239"/>
      <c r="CG168"/>
      <c r="CJ168" s="1"/>
    </row>
    <row r="169" spans="1:88" x14ac:dyDescent="0.2">
      <c r="A169" s="8">
        <v>34</v>
      </c>
      <c r="B169" t="s">
        <v>143</v>
      </c>
      <c r="C169">
        <v>3</v>
      </c>
      <c r="D169" t="s">
        <v>17</v>
      </c>
      <c r="E169" t="s">
        <v>16</v>
      </c>
      <c r="F169" s="9">
        <v>14</v>
      </c>
      <c r="G169" s="26" t="s">
        <v>15</v>
      </c>
      <c r="H169" s="1">
        <v>18</v>
      </c>
      <c r="I169" s="11">
        <v>405</v>
      </c>
      <c r="J169" t="s">
        <v>19</v>
      </c>
      <c r="K169" s="6" t="s">
        <v>182</v>
      </c>
      <c r="L169" s="1"/>
      <c r="M169" s="6"/>
      <c r="N169" s="1">
        <v>131.4</v>
      </c>
      <c r="O169" s="18">
        <v>1164844.1611748487</v>
      </c>
      <c r="P169" s="30">
        <v>2.61</v>
      </c>
      <c r="Q169" s="1"/>
      <c r="R169" s="1"/>
      <c r="S169" s="1"/>
      <c r="T169" s="1"/>
      <c r="U169" s="1"/>
      <c r="V169" s="1"/>
      <c r="W169" s="1"/>
      <c r="X169" s="118"/>
      <c r="Y169" s="1"/>
      <c r="Z169" s="1"/>
      <c r="AA169" s="1"/>
      <c r="AB169" s="1"/>
      <c r="AC169" s="1"/>
      <c r="AD169" s="1"/>
      <c r="AE169" s="96"/>
      <c r="AF169" s="98"/>
      <c r="AG169" s="24">
        <v>0.86000000000000087</v>
      </c>
      <c r="AH169" s="8">
        <f>AVERAGE(0.05,0)</f>
        <v>2.5000000000000001E-2</v>
      </c>
      <c r="AI169" s="16"/>
      <c r="AJ169" s="171"/>
      <c r="AK169" s="118"/>
      <c r="AL169" s="8"/>
      <c r="AM169" s="239"/>
      <c r="AP169"/>
      <c r="AS169" s="1"/>
      <c r="BE169" s="188"/>
      <c r="BF169" s="188"/>
      <c r="BG169" s="188"/>
      <c r="BH169" s="188"/>
      <c r="BI169" s="98"/>
      <c r="BK169" s="239"/>
      <c r="BN169"/>
      <c r="BQ169" s="1"/>
      <c r="CD169" s="239"/>
      <c r="CG169"/>
      <c r="CJ169" s="1"/>
    </row>
    <row r="170" spans="1:88" x14ac:dyDescent="0.2">
      <c r="A170" s="21" t="s">
        <v>18</v>
      </c>
      <c r="B170" t="s">
        <v>143</v>
      </c>
      <c r="C170">
        <v>3</v>
      </c>
      <c r="D170" t="s">
        <v>17</v>
      </c>
      <c r="E170" t="s">
        <v>16</v>
      </c>
      <c r="F170" s="9">
        <v>22</v>
      </c>
      <c r="G170" s="26" t="s">
        <v>15</v>
      </c>
      <c r="H170" s="1">
        <v>18</v>
      </c>
      <c r="I170" s="11">
        <v>405</v>
      </c>
      <c r="J170" t="s">
        <v>14</v>
      </c>
      <c r="K170" s="6" t="s">
        <v>182</v>
      </c>
      <c r="L170" s="1"/>
      <c r="M170" s="6"/>
      <c r="N170" s="1">
        <v>131.4</v>
      </c>
      <c r="O170" s="18">
        <v>1164844.1611748487</v>
      </c>
      <c r="P170" s="30">
        <v>2.61</v>
      </c>
      <c r="Q170" s="1"/>
      <c r="R170" s="1"/>
      <c r="S170" s="1"/>
      <c r="T170" s="1"/>
      <c r="U170" s="1"/>
      <c r="V170" s="1"/>
      <c r="W170" s="1"/>
      <c r="X170" s="118"/>
      <c r="Y170" s="1"/>
      <c r="Z170" s="1"/>
      <c r="AA170" s="1"/>
      <c r="AB170" s="1"/>
      <c r="AC170" s="1"/>
      <c r="AD170" s="1"/>
      <c r="AE170" s="96"/>
      <c r="AF170" s="98"/>
      <c r="AG170" s="24">
        <v>0.33933333333333338</v>
      </c>
      <c r="AH170" s="8">
        <v>0</v>
      </c>
      <c r="AI170" s="99">
        <v>0.05</v>
      </c>
      <c r="AJ170" s="171"/>
      <c r="AK170" s="118"/>
      <c r="AL170" s="8"/>
      <c r="AM170" s="176"/>
      <c r="AN170" s="240"/>
      <c r="AO170" s="240"/>
      <c r="AP170"/>
      <c r="AQ170" s="16"/>
      <c r="AR170" s="16"/>
      <c r="AS170" s="16"/>
      <c r="BE170" s="188"/>
      <c r="BF170" s="188"/>
      <c r="BG170" s="188"/>
      <c r="BH170" s="188"/>
      <c r="BI170" s="98"/>
      <c r="BK170" s="176"/>
      <c r="BL170" s="240"/>
      <c r="BM170" s="240"/>
      <c r="BN170"/>
      <c r="BO170" s="16"/>
      <c r="BP170" s="16"/>
      <c r="BQ170" s="16"/>
      <c r="CD170" s="176"/>
      <c r="CE170" s="240"/>
      <c r="CF170" s="240"/>
      <c r="CG170"/>
      <c r="CH170" s="16"/>
      <c r="CI170" s="16"/>
      <c r="CJ170" s="16"/>
    </row>
    <row r="171" spans="1:88" x14ac:dyDescent="0.2">
      <c r="A171" s="21" t="s">
        <v>18</v>
      </c>
      <c r="B171" t="s">
        <v>143</v>
      </c>
      <c r="C171">
        <v>3</v>
      </c>
      <c r="D171" t="s">
        <v>17</v>
      </c>
      <c r="E171" t="s">
        <v>16</v>
      </c>
      <c r="F171" s="9">
        <v>23</v>
      </c>
      <c r="G171" s="26" t="s">
        <v>15</v>
      </c>
      <c r="H171" s="1">
        <v>18</v>
      </c>
      <c r="I171" s="11">
        <v>405</v>
      </c>
      <c r="J171" t="s">
        <v>14</v>
      </c>
      <c r="K171" s="6" t="s">
        <v>182</v>
      </c>
      <c r="L171" s="1"/>
      <c r="M171" s="6"/>
      <c r="N171" s="1">
        <v>131.4</v>
      </c>
      <c r="O171" s="18">
        <v>1164844.1611748487</v>
      </c>
      <c r="P171" s="30">
        <v>2.61</v>
      </c>
      <c r="Q171" s="1"/>
      <c r="R171" s="1"/>
      <c r="S171" s="1"/>
      <c r="T171" s="1"/>
      <c r="U171" s="1"/>
      <c r="V171" s="1"/>
      <c r="W171" s="1"/>
      <c r="X171" s="118"/>
      <c r="Y171" s="1"/>
      <c r="Z171" s="1"/>
      <c r="AA171" s="1"/>
      <c r="AB171" s="1"/>
      <c r="AC171" s="1"/>
      <c r="AD171" s="1"/>
      <c r="AE171" s="96"/>
      <c r="AF171" s="98"/>
      <c r="AG171" s="24">
        <v>0.26666666666666666</v>
      </c>
      <c r="AH171" s="8">
        <v>0</v>
      </c>
      <c r="AI171" s="99">
        <v>0.05</v>
      </c>
      <c r="AJ171" s="171"/>
      <c r="AK171" s="118"/>
      <c r="AL171" s="8"/>
      <c r="AM171" s="176"/>
      <c r="AN171" s="240"/>
      <c r="AO171" s="240"/>
      <c r="AP171"/>
      <c r="AQ171" s="16"/>
      <c r="AR171" s="16"/>
      <c r="AS171" s="16"/>
      <c r="BE171" s="188"/>
      <c r="BF171" s="188"/>
      <c r="BG171" s="188"/>
      <c r="BH171" s="188"/>
      <c r="BI171" s="98"/>
      <c r="BK171" s="176"/>
      <c r="BL171" s="240"/>
      <c r="BM171" s="240"/>
      <c r="BN171"/>
      <c r="BO171" s="16"/>
      <c r="BP171" s="16"/>
      <c r="BQ171" s="16"/>
      <c r="CD171" s="176"/>
      <c r="CE171" s="240"/>
      <c r="CF171" s="240"/>
      <c r="CG171"/>
      <c r="CH171" s="16"/>
      <c r="CI171" s="16"/>
      <c r="CJ171" s="16"/>
    </row>
    <row r="172" spans="1:88" x14ac:dyDescent="0.2">
      <c r="A172" s="104" t="s">
        <v>13</v>
      </c>
      <c r="B172" s="105"/>
      <c r="C172" s="46"/>
      <c r="D172" s="46"/>
      <c r="E172" s="46"/>
      <c r="F172" s="51"/>
      <c r="G172" s="46"/>
      <c r="H172" s="52"/>
      <c r="I172" s="55"/>
      <c r="J172" s="46"/>
      <c r="K172" s="54"/>
      <c r="L172" s="46"/>
      <c r="M172" s="51"/>
      <c r="N172" s="52"/>
      <c r="O172" s="52"/>
      <c r="P172" s="46"/>
      <c r="Q172" s="46"/>
      <c r="R172" s="46"/>
      <c r="S172" s="46"/>
      <c r="T172" s="46"/>
      <c r="U172" s="46"/>
      <c r="V172" s="46"/>
      <c r="W172" s="46"/>
      <c r="X172" s="51"/>
      <c r="Y172" s="46"/>
      <c r="Z172" s="46"/>
      <c r="AA172" s="46"/>
      <c r="AB172" s="46"/>
      <c r="AC172" s="46"/>
      <c r="AD172" s="46"/>
      <c r="AE172" s="46"/>
      <c r="AF172" s="46"/>
      <c r="AG172" s="122"/>
      <c r="AH172" s="55"/>
      <c r="AI172" s="46"/>
      <c r="AJ172" s="170"/>
      <c r="AK172" s="54"/>
      <c r="AL172" s="8"/>
      <c r="AP172"/>
      <c r="AS172" s="1"/>
      <c r="BN172"/>
      <c r="BQ172" s="1"/>
      <c r="CG172"/>
      <c r="CJ172" s="1"/>
    </row>
    <row r="173" spans="1:88" x14ac:dyDescent="0.2">
      <c r="A173" s="8">
        <v>1</v>
      </c>
      <c r="B173" t="s">
        <v>143</v>
      </c>
      <c r="C173">
        <v>1</v>
      </c>
      <c r="D173" s="23" t="s">
        <v>11</v>
      </c>
      <c r="E173" t="s">
        <v>10</v>
      </c>
      <c r="F173" s="6">
        <v>36</v>
      </c>
      <c r="G173" s="1"/>
      <c r="H173" s="99">
        <v>14</v>
      </c>
      <c r="I173" s="11">
        <v>403</v>
      </c>
      <c r="J173" s="13" t="s">
        <v>12</v>
      </c>
      <c r="K173" s="6" t="s">
        <v>153</v>
      </c>
      <c r="L173" s="1"/>
      <c r="M173" s="6"/>
      <c r="N173" s="1">
        <v>165.80749949115744</v>
      </c>
      <c r="O173" s="18">
        <v>118882.50367033854</v>
      </c>
      <c r="P173" s="30">
        <v>3.4</v>
      </c>
      <c r="Q173" s="1"/>
      <c r="R173" s="1"/>
      <c r="S173" s="1"/>
      <c r="T173" s="1"/>
      <c r="U173" s="1"/>
      <c r="V173" s="1"/>
      <c r="W173" s="1"/>
      <c r="X173" s="118"/>
      <c r="Y173" s="1"/>
      <c r="Z173" s="1"/>
      <c r="AA173" s="1"/>
      <c r="AB173" s="1"/>
      <c r="AC173" s="1"/>
      <c r="AD173" s="1"/>
      <c r="AE173" s="96"/>
      <c r="AF173" s="98"/>
      <c r="AG173" s="22" t="s">
        <v>7</v>
      </c>
      <c r="AH173" s="21"/>
      <c r="AI173" s="16">
        <v>0.05</v>
      </c>
      <c r="AJ173" s="167"/>
      <c r="AK173" s="6"/>
      <c r="AL173" s="8"/>
      <c r="AP173"/>
      <c r="AS173" s="1"/>
      <c r="BE173" s="3"/>
      <c r="BF173" s="3"/>
      <c r="BG173" s="3"/>
      <c r="BH173" s="3"/>
      <c r="BN173"/>
      <c r="BQ173" s="1"/>
      <c r="CG173"/>
      <c r="CJ173" s="1"/>
    </row>
    <row r="174" spans="1:88" x14ac:dyDescent="0.2">
      <c r="A174" s="8">
        <v>2</v>
      </c>
      <c r="B174" t="s">
        <v>143</v>
      </c>
      <c r="C174">
        <v>1</v>
      </c>
      <c r="D174" s="23" t="s">
        <v>11</v>
      </c>
      <c r="E174" t="s">
        <v>10</v>
      </c>
      <c r="F174" s="6">
        <v>37</v>
      </c>
      <c r="G174" s="1"/>
      <c r="H174" s="99">
        <v>14</v>
      </c>
      <c r="I174" s="11">
        <v>403</v>
      </c>
      <c r="J174" t="s">
        <v>12</v>
      </c>
      <c r="K174" s="6" t="s">
        <v>153</v>
      </c>
      <c r="L174" s="1"/>
      <c r="M174" s="6"/>
      <c r="N174" s="1">
        <v>165.80749949115744</v>
      </c>
      <c r="O174" s="18">
        <v>118882.50367033854</v>
      </c>
      <c r="P174" s="30">
        <v>3.4</v>
      </c>
      <c r="Q174" s="1"/>
      <c r="R174" s="1"/>
      <c r="S174" s="1"/>
      <c r="T174" s="1"/>
      <c r="U174" s="1"/>
      <c r="V174" s="1"/>
      <c r="W174" s="1"/>
      <c r="X174" s="118"/>
      <c r="Y174" s="1"/>
      <c r="Z174" s="1"/>
      <c r="AA174" s="1"/>
      <c r="AB174" s="1"/>
      <c r="AC174" s="1"/>
      <c r="AD174" s="1"/>
      <c r="AE174" s="96"/>
      <c r="AF174" s="98"/>
      <c r="AG174" s="22" t="s">
        <v>7</v>
      </c>
      <c r="AH174" s="21"/>
      <c r="AI174" s="16">
        <v>0.05</v>
      </c>
      <c r="AJ174" s="167"/>
      <c r="AK174" s="6"/>
      <c r="AL174" s="8"/>
      <c r="AP174"/>
      <c r="AS174" s="1"/>
      <c r="BE174" s="3"/>
      <c r="BF174" s="3"/>
      <c r="BG174" s="3"/>
      <c r="BH174" s="3"/>
      <c r="BN174"/>
      <c r="BQ174" s="1"/>
      <c r="CG174"/>
      <c r="CJ174" s="1"/>
    </row>
    <row r="175" spans="1:88" x14ac:dyDescent="0.2">
      <c r="A175" s="8">
        <v>10</v>
      </c>
      <c r="B175" t="s">
        <v>143</v>
      </c>
      <c r="C175">
        <v>1</v>
      </c>
      <c r="D175" s="23" t="s">
        <v>11</v>
      </c>
      <c r="E175" t="s">
        <v>10</v>
      </c>
      <c r="F175" s="6" t="s">
        <v>9</v>
      </c>
      <c r="G175" s="1"/>
      <c r="H175" s="99">
        <v>14</v>
      </c>
      <c r="I175" s="11">
        <v>403</v>
      </c>
      <c r="J175" t="s">
        <v>12</v>
      </c>
      <c r="K175" s="6" t="s">
        <v>153</v>
      </c>
      <c r="L175" s="1"/>
      <c r="M175" s="6"/>
      <c r="N175" s="1">
        <v>165.80749949115744</v>
      </c>
      <c r="O175" s="18">
        <v>118882.50367033854</v>
      </c>
      <c r="P175" s="30">
        <v>3.4</v>
      </c>
      <c r="Q175" s="1"/>
      <c r="R175" s="1"/>
      <c r="S175" s="1"/>
      <c r="T175" s="1"/>
      <c r="U175" s="1"/>
      <c r="V175" s="1"/>
      <c r="W175" s="1"/>
      <c r="X175" s="118"/>
      <c r="Y175" s="1"/>
      <c r="Z175" s="1"/>
      <c r="AA175" s="1"/>
      <c r="AB175" s="1"/>
      <c r="AC175" s="1"/>
      <c r="AD175" s="1"/>
      <c r="AE175" s="96"/>
      <c r="AF175" s="98"/>
      <c r="AG175" s="22" t="s">
        <v>7</v>
      </c>
      <c r="AH175" s="21"/>
      <c r="AI175" s="16">
        <v>0.05</v>
      </c>
      <c r="AJ175" s="167"/>
      <c r="AK175" s="6"/>
      <c r="AL175" s="8"/>
      <c r="AP175"/>
      <c r="AS175" s="1"/>
      <c r="BE175" s="3"/>
      <c r="BF175" s="3"/>
      <c r="BG175" s="3"/>
      <c r="BH175" s="3"/>
      <c r="BN175"/>
      <c r="BQ175" s="1"/>
      <c r="CG175"/>
      <c r="CJ175" s="1"/>
    </row>
    <row r="176" spans="1:88" x14ac:dyDescent="0.2">
      <c r="A176" s="8">
        <v>11</v>
      </c>
      <c r="B176" t="s">
        <v>143</v>
      </c>
      <c r="C176">
        <v>1</v>
      </c>
      <c r="D176" s="23" t="s">
        <v>11</v>
      </c>
      <c r="E176" t="s">
        <v>10</v>
      </c>
      <c r="F176" s="6">
        <v>36</v>
      </c>
      <c r="G176" s="1"/>
      <c r="H176" s="99">
        <v>14</v>
      </c>
      <c r="I176" s="11">
        <v>410</v>
      </c>
      <c r="J176" t="s">
        <v>8</v>
      </c>
      <c r="K176" s="6" t="s">
        <v>181</v>
      </c>
      <c r="L176" s="1"/>
      <c r="M176" s="6"/>
      <c r="N176" s="1">
        <v>96.95</v>
      </c>
      <c r="O176" s="18">
        <v>775600.00000000012</v>
      </c>
      <c r="P176" s="30">
        <v>1.906666666666667</v>
      </c>
      <c r="Q176" s="1"/>
      <c r="R176" s="1"/>
      <c r="S176" s="1"/>
      <c r="T176" s="1"/>
      <c r="U176" s="1"/>
      <c r="V176" s="1"/>
      <c r="W176" s="1"/>
      <c r="X176" s="118"/>
      <c r="Y176" s="1"/>
      <c r="Z176" s="1"/>
      <c r="AA176" s="1"/>
      <c r="AB176" s="1"/>
      <c r="AC176" s="1"/>
      <c r="AD176" s="1"/>
      <c r="AE176" s="96"/>
      <c r="AF176" s="98"/>
      <c r="AG176" s="22" t="s">
        <v>7</v>
      </c>
      <c r="AH176" s="21"/>
      <c r="AI176" s="16">
        <v>0.05</v>
      </c>
      <c r="AJ176" s="167"/>
      <c r="AK176" s="6"/>
      <c r="AL176" s="8"/>
      <c r="AP176"/>
      <c r="AS176" s="1"/>
      <c r="BE176" s="3"/>
      <c r="BF176" s="3"/>
      <c r="BG176" s="3"/>
      <c r="BH176" s="3"/>
      <c r="BN176"/>
      <c r="BQ176" s="1"/>
      <c r="CG176"/>
      <c r="CJ176" s="1"/>
    </row>
    <row r="177" spans="1:90" x14ac:dyDescent="0.2">
      <c r="A177" s="8">
        <v>12</v>
      </c>
      <c r="B177" t="s">
        <v>143</v>
      </c>
      <c r="C177">
        <v>1</v>
      </c>
      <c r="D177" s="23" t="s">
        <v>11</v>
      </c>
      <c r="E177" t="s">
        <v>10</v>
      </c>
      <c r="F177" s="6">
        <v>37</v>
      </c>
      <c r="G177" s="1"/>
      <c r="H177" s="99">
        <v>14</v>
      </c>
      <c r="I177" s="11">
        <v>410</v>
      </c>
      <c r="J177" t="s">
        <v>8</v>
      </c>
      <c r="K177" s="6" t="s">
        <v>181</v>
      </c>
      <c r="L177" s="1"/>
      <c r="M177" s="6"/>
      <c r="N177" s="1">
        <v>96.95</v>
      </c>
      <c r="O177" s="18">
        <v>775600.00000000012</v>
      </c>
      <c r="P177" s="30">
        <v>1.906666666666667</v>
      </c>
      <c r="Q177" s="1"/>
      <c r="R177" s="1"/>
      <c r="S177" s="1"/>
      <c r="T177" s="1"/>
      <c r="U177" s="1"/>
      <c r="V177" s="1"/>
      <c r="W177" s="1"/>
      <c r="X177" s="118"/>
      <c r="Y177" s="1"/>
      <c r="Z177" s="1"/>
      <c r="AA177" s="1"/>
      <c r="AB177" s="1"/>
      <c r="AC177" s="1"/>
      <c r="AD177" s="1"/>
      <c r="AE177" s="96"/>
      <c r="AF177" s="98"/>
      <c r="AG177" s="22" t="s">
        <v>7</v>
      </c>
      <c r="AH177" s="21"/>
      <c r="AI177" s="16">
        <v>0.05</v>
      </c>
      <c r="AJ177" s="167"/>
      <c r="AK177" s="6"/>
      <c r="AL177" s="8"/>
      <c r="AP177"/>
      <c r="AS177" s="1"/>
      <c r="BE177" s="3"/>
      <c r="BF177" s="3"/>
      <c r="BG177" s="3"/>
      <c r="BH177" s="3"/>
      <c r="BN177"/>
      <c r="BQ177" s="1"/>
      <c r="CG177"/>
      <c r="CJ177" s="1"/>
    </row>
    <row r="178" spans="1:90" x14ac:dyDescent="0.2">
      <c r="A178" s="8">
        <v>20</v>
      </c>
      <c r="B178" t="s">
        <v>143</v>
      </c>
      <c r="C178">
        <v>1</v>
      </c>
      <c r="D178" s="23" t="s">
        <v>11</v>
      </c>
      <c r="E178" t="s">
        <v>10</v>
      </c>
      <c r="F178" s="6" t="s">
        <v>9</v>
      </c>
      <c r="G178" s="1"/>
      <c r="H178" s="99">
        <v>14</v>
      </c>
      <c r="I178" s="11">
        <v>410</v>
      </c>
      <c r="J178" s="13" t="s">
        <v>8</v>
      </c>
      <c r="K178" s="6" t="s">
        <v>181</v>
      </c>
      <c r="L178" s="1"/>
      <c r="M178" s="6"/>
      <c r="N178" s="1">
        <v>96.95</v>
      </c>
      <c r="O178" s="18">
        <v>775600.00000000012</v>
      </c>
      <c r="P178" s="30">
        <v>1.906666666666667</v>
      </c>
      <c r="Q178" s="1"/>
      <c r="R178" s="1"/>
      <c r="S178" s="1"/>
      <c r="T178" s="1"/>
      <c r="U178" s="1"/>
      <c r="V178" s="1"/>
      <c r="W178" s="1"/>
      <c r="X178" s="118"/>
      <c r="Y178" s="1"/>
      <c r="Z178" s="1"/>
      <c r="AA178" s="1"/>
      <c r="AB178" s="1"/>
      <c r="AC178" s="1"/>
      <c r="AD178" s="1"/>
      <c r="AE178" s="96"/>
      <c r="AF178" s="98"/>
      <c r="AG178" s="22" t="s">
        <v>7</v>
      </c>
      <c r="AH178" s="21"/>
      <c r="AI178" s="16">
        <v>0.05</v>
      </c>
      <c r="AJ178" s="167"/>
      <c r="AK178" s="6"/>
      <c r="AL178" s="8"/>
      <c r="AP178"/>
      <c r="AS178" s="1"/>
      <c r="BE178" s="3"/>
      <c r="BF178" s="3"/>
      <c r="BG178" s="3"/>
      <c r="BH178" s="3"/>
      <c r="BN178"/>
      <c r="BQ178" s="1"/>
      <c r="CG178"/>
      <c r="CJ178" s="1"/>
    </row>
    <row r="179" spans="1:90" x14ac:dyDescent="0.2">
      <c r="A179" s="8">
        <v>66</v>
      </c>
      <c r="B179" t="s">
        <v>143</v>
      </c>
      <c r="C179">
        <v>6</v>
      </c>
      <c r="D179" t="s">
        <v>6</v>
      </c>
      <c r="E179" t="s">
        <v>5</v>
      </c>
      <c r="F179" s="9">
        <v>2</v>
      </c>
      <c r="H179" s="99">
        <v>14</v>
      </c>
      <c r="I179" s="11">
        <v>-400</v>
      </c>
      <c r="J179" s="13" t="s">
        <v>4</v>
      </c>
      <c r="K179" s="6"/>
      <c r="L179" s="1"/>
      <c r="M179" s="6"/>
      <c r="N179" s="1">
        <v>64.515000000000001</v>
      </c>
      <c r="O179" s="18">
        <v>6710000</v>
      </c>
      <c r="P179" s="30">
        <v>1.4849999999999999</v>
      </c>
      <c r="Q179" s="1"/>
      <c r="R179" s="1"/>
      <c r="S179" s="1"/>
      <c r="T179" s="1"/>
      <c r="U179" s="1"/>
      <c r="V179" s="1"/>
      <c r="W179" s="1"/>
      <c r="X179" s="118"/>
      <c r="Y179" s="1"/>
      <c r="Z179" s="1"/>
      <c r="AA179" s="1"/>
      <c r="AB179" s="1"/>
      <c r="AC179" s="1"/>
      <c r="AD179" s="1"/>
      <c r="AE179" s="96"/>
      <c r="AF179" s="98"/>
      <c r="AG179" s="22" t="s">
        <v>7</v>
      </c>
      <c r="AH179" s="15">
        <v>0.43</v>
      </c>
      <c r="AI179" s="99">
        <v>0.05</v>
      </c>
      <c r="AJ179" s="171"/>
      <c r="AK179" s="6"/>
      <c r="AL179" s="8"/>
      <c r="AM179" s="239"/>
      <c r="AN179" s="241"/>
      <c r="AO179" s="241"/>
      <c r="AP179"/>
      <c r="AQ179" s="16"/>
      <c r="AR179" s="16"/>
      <c r="AS179" s="16"/>
      <c r="AT179" s="13"/>
      <c r="BE179" s="188"/>
      <c r="BF179" s="188"/>
      <c r="BG179" s="188"/>
      <c r="BH179" s="188"/>
      <c r="BK179" s="239"/>
      <c r="BL179" s="241"/>
      <c r="BM179" s="241"/>
      <c r="BN179"/>
      <c r="BO179" s="16"/>
      <c r="BP179" s="16"/>
      <c r="BQ179" s="16"/>
      <c r="BR179" s="13"/>
      <c r="CD179" s="239"/>
      <c r="CE179" s="241"/>
      <c r="CF179" s="241"/>
      <c r="CG179"/>
      <c r="CH179" s="16"/>
      <c r="CI179" s="16"/>
      <c r="CJ179" s="16"/>
      <c r="CK179" s="13"/>
      <c r="CL179" s="13"/>
    </row>
    <row r="180" spans="1:90" x14ac:dyDescent="0.2">
      <c r="A180" s="104" t="s">
        <v>3</v>
      </c>
      <c r="B180" s="105"/>
      <c r="C180" s="46"/>
      <c r="D180" s="46"/>
      <c r="E180" s="46"/>
      <c r="F180" s="51"/>
      <c r="G180" s="46"/>
      <c r="H180" s="52"/>
      <c r="I180" s="55"/>
      <c r="J180" s="46"/>
      <c r="K180" s="54"/>
      <c r="L180" s="46"/>
      <c r="M180" s="51"/>
      <c r="N180" s="52"/>
      <c r="O180" s="52"/>
      <c r="P180" s="46"/>
      <c r="Q180" s="46"/>
      <c r="R180" s="46"/>
      <c r="S180" s="46"/>
      <c r="T180" s="46"/>
      <c r="U180" s="46"/>
      <c r="V180" s="46"/>
      <c r="W180" s="46"/>
      <c r="X180" s="51"/>
      <c r="Y180" s="46"/>
      <c r="Z180" s="46"/>
      <c r="AA180" s="46"/>
      <c r="AB180" s="46"/>
      <c r="AC180" s="46"/>
      <c r="AD180" s="46"/>
      <c r="AE180" s="46"/>
      <c r="AF180" s="46"/>
      <c r="AG180" s="122"/>
      <c r="AH180" s="55"/>
      <c r="AI180" s="46"/>
      <c r="AJ180" s="170"/>
      <c r="AK180" s="54"/>
      <c r="AL180" s="8"/>
      <c r="AP180"/>
      <c r="AS180" s="1"/>
      <c r="BN180"/>
      <c r="BQ180" s="1"/>
      <c r="CG180"/>
      <c r="CJ180" s="1"/>
    </row>
    <row r="181" spans="1:90" x14ac:dyDescent="0.2">
      <c r="A181" s="8">
        <v>21</v>
      </c>
      <c r="B181" t="s">
        <v>143</v>
      </c>
      <c r="C181">
        <v>2</v>
      </c>
      <c r="D181" t="s">
        <v>2</v>
      </c>
      <c r="E181" t="s">
        <v>1</v>
      </c>
      <c r="F181" s="6">
        <v>59</v>
      </c>
      <c r="G181" s="1"/>
      <c r="H181" s="1">
        <v>18</v>
      </c>
      <c r="I181" s="100">
        <v>-1200</v>
      </c>
      <c r="J181" s="13" t="s">
        <v>0</v>
      </c>
      <c r="K181" s="6">
        <v>0</v>
      </c>
      <c r="L181" s="1"/>
      <c r="M181" s="6"/>
      <c r="N181" s="1">
        <v>150</v>
      </c>
      <c r="O181" s="29"/>
      <c r="P181" s="1">
        <v>0</v>
      </c>
      <c r="Q181" s="1"/>
      <c r="R181" s="1"/>
      <c r="S181" s="1"/>
      <c r="T181" s="1"/>
      <c r="U181" s="1"/>
      <c r="V181" s="1"/>
      <c r="W181" s="1"/>
      <c r="X181" s="118"/>
      <c r="Y181" s="1"/>
      <c r="Z181" s="1"/>
      <c r="AA181" s="1"/>
      <c r="AB181" s="1"/>
      <c r="AC181" s="1"/>
      <c r="AD181" s="1"/>
      <c r="AE181" s="96"/>
      <c r="AF181" s="98"/>
      <c r="AG181" s="22">
        <v>753</v>
      </c>
      <c r="AH181" s="21">
        <v>283</v>
      </c>
      <c r="AI181" s="16"/>
      <c r="AJ181" s="171"/>
      <c r="AK181" s="118"/>
      <c r="AL181" s="8"/>
      <c r="AP181"/>
      <c r="AS181" s="1"/>
      <c r="BE181" s="188"/>
      <c r="BF181" s="188"/>
      <c r="BG181" s="188"/>
      <c r="BH181" s="188"/>
      <c r="BI181" s="98"/>
      <c r="BN181"/>
      <c r="BQ181" s="1"/>
      <c r="CG181"/>
      <c r="CJ181" s="1"/>
    </row>
    <row r="182" spans="1:90" x14ac:dyDescent="0.2">
      <c r="A182" s="104" t="s">
        <v>142</v>
      </c>
      <c r="B182" s="46"/>
      <c r="C182" s="46"/>
      <c r="D182" s="46"/>
      <c r="E182" s="46"/>
      <c r="F182" s="54"/>
      <c r="G182" s="52"/>
      <c r="H182" s="52"/>
      <c r="I182" s="48"/>
      <c r="J182" s="47"/>
      <c r="K182" s="54"/>
      <c r="L182" s="52"/>
      <c r="M182" s="54"/>
      <c r="N182" s="52"/>
      <c r="O182" s="108"/>
      <c r="P182" s="52"/>
      <c r="Q182" s="52"/>
      <c r="R182" s="52"/>
      <c r="S182" s="52"/>
      <c r="T182" s="52"/>
      <c r="U182" s="52"/>
      <c r="V182" s="52"/>
      <c r="W182" s="52"/>
      <c r="X182" s="45"/>
      <c r="Y182" s="52"/>
      <c r="Z182" s="52"/>
      <c r="AA182" s="52"/>
      <c r="AB182" s="52"/>
      <c r="AC182" s="52"/>
      <c r="AD182" s="52"/>
      <c r="AE182" s="52"/>
      <c r="AF182" s="49"/>
      <c r="AG182" s="122"/>
      <c r="AH182" s="109"/>
      <c r="AI182" s="49"/>
      <c r="AJ182" s="172"/>
      <c r="AK182" s="54"/>
      <c r="AL182" s="8"/>
      <c r="AP182"/>
      <c r="AS182" s="1"/>
      <c r="BE182" s="3"/>
      <c r="BF182" s="3"/>
      <c r="BG182" s="3"/>
      <c r="BH182" s="3"/>
      <c r="BN182"/>
      <c r="BQ182" s="1"/>
      <c r="CG182"/>
      <c r="CJ182" s="1"/>
    </row>
    <row r="183" spans="1:90" x14ac:dyDescent="0.2">
      <c r="A183" s="8">
        <v>85</v>
      </c>
      <c r="B183" t="s">
        <v>143</v>
      </c>
      <c r="C183">
        <v>8</v>
      </c>
      <c r="D183" s="16" t="s">
        <v>28</v>
      </c>
      <c r="E183" t="s">
        <v>27</v>
      </c>
      <c r="F183" s="14" t="s">
        <v>26</v>
      </c>
      <c r="G183" s="26" t="s">
        <v>25</v>
      </c>
      <c r="H183" s="16">
        <v>18</v>
      </c>
      <c r="I183" s="17">
        <v>-1201</v>
      </c>
      <c r="J183" t="s">
        <v>37</v>
      </c>
      <c r="K183" s="6"/>
      <c r="L183" s="1"/>
      <c r="M183" s="6"/>
      <c r="N183" s="1">
        <v>132</v>
      </c>
      <c r="O183" s="29"/>
      <c r="P183" s="30">
        <v>5</v>
      </c>
      <c r="Q183" s="30"/>
      <c r="R183" s="30"/>
      <c r="S183" s="30"/>
      <c r="T183" s="30"/>
      <c r="U183" s="30"/>
      <c r="V183" s="30"/>
      <c r="W183" s="30"/>
      <c r="X183" s="118"/>
      <c r="Y183" s="30"/>
      <c r="Z183" s="30"/>
      <c r="AA183" s="30"/>
      <c r="AB183" s="30"/>
      <c r="AC183" s="30"/>
      <c r="AD183" s="30"/>
      <c r="AE183" s="96"/>
      <c r="AF183" s="98"/>
      <c r="AG183" s="22">
        <v>210</v>
      </c>
      <c r="AH183" s="21"/>
      <c r="AI183" s="99">
        <v>25</v>
      </c>
      <c r="AJ183" s="171"/>
      <c r="AK183" s="118"/>
      <c r="AL183" s="8"/>
      <c r="AM183" s="176"/>
      <c r="AN183" s="242"/>
      <c r="AO183" s="242"/>
      <c r="AP183"/>
      <c r="AQ183" s="16"/>
      <c r="AR183" s="16"/>
      <c r="AS183" s="16"/>
      <c r="AZ183" s="83"/>
      <c r="BA183" s="83"/>
      <c r="BB183" s="83"/>
      <c r="BC183" s="83"/>
      <c r="BD183" s="83"/>
      <c r="BE183" s="188"/>
      <c r="BF183" s="188"/>
      <c r="BG183" s="188"/>
      <c r="BH183" s="188"/>
      <c r="BI183" s="98"/>
      <c r="BK183" s="176"/>
      <c r="BL183" s="242"/>
      <c r="BM183" s="242"/>
      <c r="BN183"/>
      <c r="BO183" s="16"/>
      <c r="BP183" s="16"/>
      <c r="BQ183" s="16"/>
      <c r="BX183" s="83"/>
      <c r="BY183" s="83"/>
      <c r="BZ183" s="83"/>
      <c r="CA183" s="83"/>
      <c r="CB183" s="83"/>
      <c r="CD183" s="176"/>
      <c r="CE183" s="242"/>
      <c r="CF183" s="242"/>
      <c r="CG183"/>
      <c r="CH183" s="16"/>
      <c r="CI183" s="16"/>
      <c r="CJ183" s="16"/>
    </row>
    <row r="184" spans="1:90" x14ac:dyDescent="0.2">
      <c r="A184" s="8">
        <v>86</v>
      </c>
      <c r="B184" t="s">
        <v>143</v>
      </c>
      <c r="C184">
        <v>8</v>
      </c>
      <c r="D184" s="16" t="s">
        <v>28</v>
      </c>
      <c r="E184" t="s">
        <v>27</v>
      </c>
      <c r="F184" s="14" t="s">
        <v>26</v>
      </c>
      <c r="G184" s="26" t="s">
        <v>25</v>
      </c>
      <c r="H184" s="16">
        <v>18</v>
      </c>
      <c r="I184" s="17">
        <v>-1202</v>
      </c>
      <c r="J184" t="s">
        <v>36</v>
      </c>
      <c r="K184" s="6"/>
      <c r="L184" s="1"/>
      <c r="M184" s="6"/>
      <c r="N184" s="1">
        <v>168</v>
      </c>
      <c r="O184" s="29"/>
      <c r="P184" s="1">
        <v>6.7299999999999995</v>
      </c>
      <c r="Q184" s="1"/>
      <c r="R184" s="1"/>
      <c r="S184" s="1"/>
      <c r="T184" s="1"/>
      <c r="U184" s="1"/>
      <c r="V184" s="1"/>
      <c r="W184" s="1"/>
      <c r="X184" s="118"/>
      <c r="Y184" s="1"/>
      <c r="Z184" s="1"/>
      <c r="AA184" s="1"/>
      <c r="AB184" s="1"/>
      <c r="AC184" s="1"/>
      <c r="AD184" s="1"/>
      <c r="AE184" s="96"/>
      <c r="AF184" s="98"/>
      <c r="AG184" s="22">
        <v>15</v>
      </c>
      <c r="AH184" s="21"/>
      <c r="AI184" s="99">
        <v>25</v>
      </c>
      <c r="AJ184" s="171"/>
      <c r="AK184" s="118"/>
      <c r="AL184" s="8"/>
      <c r="AM184" s="176"/>
      <c r="AN184" s="242"/>
      <c r="AO184" s="242"/>
      <c r="AP184"/>
      <c r="AQ184" s="16"/>
      <c r="AR184" s="16"/>
      <c r="AS184" s="16"/>
      <c r="AZ184" s="83"/>
      <c r="BA184" s="83"/>
      <c r="BB184" s="83"/>
      <c r="BC184" s="83"/>
      <c r="BD184" s="83"/>
      <c r="BE184" s="188"/>
      <c r="BF184" s="188"/>
      <c r="BG184" s="188"/>
      <c r="BH184" s="188"/>
      <c r="BI184" s="98"/>
      <c r="BK184" s="176"/>
      <c r="BL184" s="242"/>
      <c r="BM184" s="242"/>
      <c r="BN184"/>
      <c r="BO184" s="16"/>
      <c r="BP184" s="16"/>
      <c r="BQ184" s="16"/>
      <c r="BX184" s="83"/>
      <c r="BY184" s="83"/>
      <c r="BZ184" s="83"/>
      <c r="CA184" s="83"/>
      <c r="CB184" s="83"/>
      <c r="CD184" s="176"/>
      <c r="CE184" s="242"/>
      <c r="CF184" s="242"/>
      <c r="CG184"/>
      <c r="CH184" s="16"/>
      <c r="CI184" s="16"/>
      <c r="CJ184" s="16"/>
    </row>
    <row r="185" spans="1:90" x14ac:dyDescent="0.2">
      <c r="A185" s="105" t="s">
        <v>118</v>
      </c>
      <c r="B185" s="46"/>
      <c r="C185" s="46"/>
      <c r="D185" s="46"/>
      <c r="E185" s="46"/>
      <c r="F185" s="46"/>
      <c r="G185" s="46"/>
      <c r="H185" s="52"/>
      <c r="I185" s="46"/>
      <c r="J185" s="46"/>
      <c r="K185" s="54"/>
      <c r="L185" s="46"/>
      <c r="M185" s="51"/>
      <c r="N185" s="52"/>
      <c r="O185" s="52"/>
      <c r="P185" s="46"/>
      <c r="Q185" s="46"/>
      <c r="R185" s="46"/>
      <c r="S185" s="46"/>
      <c r="T185" s="46"/>
      <c r="U185" s="46"/>
      <c r="V185" s="46"/>
      <c r="W185" s="46"/>
      <c r="X185" s="51"/>
      <c r="Y185" s="46"/>
      <c r="Z185" s="46"/>
      <c r="AA185" s="46"/>
      <c r="AB185" s="46"/>
      <c r="AC185" s="46"/>
      <c r="AD185" s="46"/>
      <c r="AE185" s="46"/>
      <c r="AF185" s="46"/>
      <c r="AG185" s="122"/>
      <c r="AH185" s="46"/>
      <c r="AI185" s="46"/>
      <c r="AJ185" s="170"/>
      <c r="AK185" s="54"/>
      <c r="AL185" s="8"/>
    </row>
    <row r="186" spans="1:90" x14ac:dyDescent="0.2">
      <c r="B186" t="s">
        <v>149</v>
      </c>
      <c r="D186" t="s">
        <v>117</v>
      </c>
      <c r="F186" s="9"/>
      <c r="I186" s="8"/>
      <c r="K186" s="9"/>
      <c r="M186" s="9"/>
      <c r="N186"/>
      <c r="O186"/>
      <c r="X186" s="9"/>
      <c r="AG186" s="22" t="s">
        <v>116</v>
      </c>
      <c r="AH186" s="120" t="s">
        <v>115</v>
      </c>
      <c r="AJ186" s="8"/>
      <c r="AK186" s="9"/>
      <c r="AL186" s="8"/>
      <c r="AP186" s="16"/>
      <c r="AQ186" s="16"/>
      <c r="AR186" s="16"/>
      <c r="BE186"/>
      <c r="BF186"/>
      <c r="BG186"/>
      <c r="BH186"/>
      <c r="BI186"/>
      <c r="BN186" s="16"/>
      <c r="BO186" s="16"/>
      <c r="BP186" s="16"/>
      <c r="CG186" s="16"/>
      <c r="CH186" s="16"/>
      <c r="CI186" s="16"/>
    </row>
    <row r="187" spans="1:90" x14ac:dyDescent="0.2">
      <c r="A187" s="8"/>
      <c r="B187" t="s">
        <v>149</v>
      </c>
      <c r="D187" t="s">
        <v>114</v>
      </c>
      <c r="F187" s="9"/>
      <c r="I187" s="8"/>
      <c r="K187" s="9"/>
      <c r="M187" s="9"/>
      <c r="N187"/>
      <c r="O187"/>
      <c r="X187" s="9"/>
      <c r="AG187" s="22" t="s">
        <v>113</v>
      </c>
      <c r="AH187" s="90" t="s">
        <v>109</v>
      </c>
      <c r="AJ187" s="8"/>
      <c r="AK187" s="9"/>
      <c r="AL187" s="8"/>
      <c r="AP187" s="16"/>
      <c r="AQ187" s="16"/>
      <c r="AR187" s="16"/>
      <c r="BE187"/>
      <c r="BF187"/>
      <c r="BG187"/>
      <c r="BH187"/>
      <c r="BI187"/>
      <c r="BN187" s="16"/>
      <c r="BO187" s="16"/>
      <c r="BP187" s="16"/>
      <c r="CG187" s="16"/>
      <c r="CH187" s="16"/>
      <c r="CI187" s="16"/>
    </row>
    <row r="188" spans="1:90" x14ac:dyDescent="0.2">
      <c r="A188" s="8"/>
      <c r="B188" t="s">
        <v>149</v>
      </c>
      <c r="D188" t="s">
        <v>112</v>
      </c>
      <c r="F188" s="9"/>
      <c r="I188" s="8"/>
      <c r="K188" s="9"/>
      <c r="M188" s="9"/>
      <c r="N188"/>
      <c r="O188"/>
      <c r="X188" s="9"/>
      <c r="AG188" s="22" t="s">
        <v>110</v>
      </c>
      <c r="AH188" s="90" t="s">
        <v>109</v>
      </c>
      <c r="AJ188" s="8"/>
      <c r="AK188" s="9"/>
      <c r="AL188" s="8"/>
      <c r="AP188" s="16"/>
      <c r="AQ188" s="16"/>
      <c r="AR188" s="16"/>
      <c r="BE188"/>
      <c r="BF188"/>
      <c r="BG188"/>
      <c r="BH188"/>
      <c r="BI188"/>
      <c r="BN188" s="16"/>
      <c r="BO188" s="16"/>
      <c r="BP188" s="16"/>
      <c r="CG188" s="16"/>
      <c r="CH188" s="16"/>
      <c r="CI188" s="16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312"/>
  <sheetViews>
    <sheetView tabSelected="1" topLeftCell="BI44" zoomScale="70" zoomScaleNormal="70" workbookViewId="0">
      <selection activeCell="BK51" sqref="BK51:BK60"/>
    </sheetView>
  </sheetViews>
  <sheetFormatPr defaultRowHeight="12.75" outlineLevelRow="1" outlineLevelCol="1" x14ac:dyDescent="0.2"/>
  <cols>
    <col min="1" max="1" width="9.140625" customWidth="1" outlineLevel="1"/>
    <col min="2" max="2" width="12" customWidth="1" outlineLevel="1"/>
    <col min="3" max="3" width="9.140625" customWidth="1" outlineLevel="1"/>
    <col min="4" max="4" width="14.140625" customWidth="1"/>
    <col min="5" max="7" width="9.140625" customWidth="1" outlineLevel="1"/>
    <col min="8" max="8" width="9.140625" style="1" customWidth="1" outlineLevel="1"/>
    <col min="9" max="9" width="9.140625" customWidth="1" outlineLevel="1"/>
    <col min="10" max="10" width="22.5703125" customWidth="1"/>
    <col min="11" max="11" width="12.85546875" style="1" customWidth="1" outlineLevel="1"/>
    <col min="12" max="13" width="12.42578125" customWidth="1"/>
    <col min="14" max="14" width="11" style="1" customWidth="1"/>
    <col min="15" max="15" width="9.7109375" style="1" customWidth="1" outlineLevel="1"/>
    <col min="16" max="17" width="14.7109375" customWidth="1"/>
    <col min="18" max="18" width="10" customWidth="1"/>
    <col min="19" max="23" width="8.42578125" customWidth="1"/>
    <col min="24" max="24" width="12.42578125" customWidth="1" outlineLevel="1"/>
    <col min="25" max="25" width="14.7109375" customWidth="1"/>
    <col min="26" max="30" width="8" customWidth="1"/>
    <col min="31" max="32" width="12.42578125" customWidth="1" outlineLevel="1"/>
    <col min="33" max="33" width="20.140625" style="3" customWidth="1"/>
    <col min="34" max="34" width="17.140625" customWidth="1"/>
    <col min="35" max="35" width="17" customWidth="1"/>
    <col min="36" max="36" width="13.42578125" style="2" customWidth="1"/>
    <col min="37" max="37" width="14.28515625" style="1" customWidth="1" outlineLevel="1"/>
    <col min="39" max="39" width="24.140625" customWidth="1"/>
    <col min="40" max="40" width="11.5703125" customWidth="1"/>
    <col min="41" max="41" width="11.140625" customWidth="1"/>
    <col min="42" max="44" width="11.140625" style="1" customWidth="1"/>
    <col min="45" max="45" width="10.7109375" customWidth="1"/>
    <col min="52" max="56" width="23" customWidth="1"/>
    <col min="57" max="58" width="13.42578125" style="2" customWidth="1"/>
    <col min="59" max="59" width="7.42578125" style="2" customWidth="1"/>
    <col min="60" max="60" width="6.7109375" style="2" customWidth="1"/>
    <col min="61" max="61" width="14.28515625" style="1" customWidth="1" outlineLevel="1"/>
    <col min="63" max="63" width="24.140625" customWidth="1"/>
    <col min="64" max="64" width="11.5703125" customWidth="1"/>
    <col min="65" max="65" width="11.140625" customWidth="1"/>
    <col min="66" max="68" width="11.140625" style="1" customWidth="1"/>
    <col min="69" max="69" width="10.7109375" customWidth="1"/>
    <col min="76" max="80" width="23" customWidth="1"/>
    <col min="82" max="82" width="24.140625" customWidth="1"/>
    <col min="83" max="83" width="11.5703125" customWidth="1"/>
    <col min="84" max="84" width="11.140625" customWidth="1"/>
    <col min="85" max="87" width="11.140625" style="1" customWidth="1"/>
    <col min="88" max="88" width="10.7109375" customWidth="1"/>
    <col min="90" max="90" width="30.42578125" customWidth="1"/>
    <col min="91" max="93" width="0" hidden="1" customWidth="1" outlineLevel="1"/>
    <col min="94" max="94" width="6.42578125" customWidth="1" collapsed="1"/>
    <col min="95" max="97" width="6.42578125" customWidth="1"/>
    <col min="98" max="98" width="7.42578125" customWidth="1"/>
    <col min="99" max="102" width="6.42578125" customWidth="1"/>
    <col min="103" max="103" width="7.85546875" customWidth="1"/>
    <col min="104" max="108" width="6.42578125" customWidth="1"/>
    <col min="109" max="110" width="7.5703125" customWidth="1"/>
    <col min="118" max="118" width="21" customWidth="1"/>
    <col min="119" max="119" width="20.5703125" customWidth="1"/>
    <col min="131" max="131" width="11.140625" style="3" customWidth="1"/>
    <col min="132" max="132" width="10.7109375" customWidth="1"/>
    <col min="133" max="133" width="85" customWidth="1"/>
  </cols>
  <sheetData>
    <row r="1" spans="2:133" x14ac:dyDescent="0.2">
      <c r="B1" s="58" t="s">
        <v>257</v>
      </c>
      <c r="K1"/>
      <c r="L1" s="1"/>
      <c r="M1" s="1"/>
      <c r="N1"/>
      <c r="O1"/>
      <c r="AG1"/>
      <c r="AJ1"/>
      <c r="AK1"/>
      <c r="BE1"/>
      <c r="BF1"/>
      <c r="BG1"/>
      <c r="BH1"/>
      <c r="BI1"/>
      <c r="EA1"/>
    </row>
    <row r="2" spans="2:133" x14ac:dyDescent="0.2">
      <c r="K2"/>
      <c r="N2"/>
      <c r="O2"/>
      <c r="AG2"/>
      <c r="AJ2"/>
      <c r="AK2"/>
      <c r="BE2"/>
      <c r="BF2"/>
      <c r="BG2"/>
      <c r="BH2"/>
      <c r="BI2"/>
      <c r="CB2" s="1"/>
      <c r="CC2" s="1"/>
      <c r="CD2" s="1"/>
      <c r="CE2" s="1"/>
      <c r="CF2" s="1"/>
      <c r="EA2"/>
    </row>
    <row r="3" spans="2:133" x14ac:dyDescent="0.2">
      <c r="H3"/>
      <c r="I3" s="1"/>
      <c r="CB3" s="1"/>
      <c r="CC3" s="1"/>
      <c r="CD3" s="1"/>
      <c r="CE3" s="1"/>
      <c r="CF3" s="1"/>
    </row>
    <row r="4" spans="2:133" x14ac:dyDescent="0.2">
      <c r="J4" s="192"/>
      <c r="K4" s="20"/>
      <c r="L4" s="195"/>
      <c r="O4" s="20"/>
      <c r="CB4" s="1"/>
      <c r="CC4" s="1"/>
      <c r="CD4" s="1"/>
      <c r="CE4" s="1"/>
      <c r="CF4" s="1"/>
    </row>
    <row r="5" spans="2:133" x14ac:dyDescent="0.2">
      <c r="J5" s="192"/>
      <c r="K5" s="20"/>
      <c r="L5" s="195"/>
      <c r="O5" s="20"/>
      <c r="CB5" s="1"/>
      <c r="CC5" s="1"/>
      <c r="CD5" s="1"/>
      <c r="CE5" s="1"/>
      <c r="CF5" s="1"/>
    </row>
    <row r="6" spans="2:133" ht="15" x14ac:dyDescent="0.25">
      <c r="B6" s="212" t="s">
        <v>256</v>
      </c>
      <c r="C6" s="213"/>
      <c r="D6" s="213"/>
      <c r="E6" s="214"/>
      <c r="F6" s="215"/>
      <c r="J6" s="192"/>
      <c r="K6" s="20"/>
      <c r="L6" s="195"/>
      <c r="CB6" s="1"/>
      <c r="CC6" s="1"/>
      <c r="CD6" s="1"/>
      <c r="CE6" s="1"/>
      <c r="CF6" s="1"/>
    </row>
    <row r="7" spans="2:133" ht="15" x14ac:dyDescent="0.25">
      <c r="B7" s="205" t="s">
        <v>209</v>
      </c>
      <c r="C7" s="193" t="s">
        <v>210</v>
      </c>
      <c r="D7" s="200">
        <v>-1.123425399420711E-2</v>
      </c>
      <c r="E7" s="287">
        <v>0.20032908191629797</v>
      </c>
      <c r="F7" s="9"/>
      <c r="J7" s="192"/>
      <c r="K7" s="20"/>
      <c r="L7" s="195"/>
      <c r="Q7" s="194"/>
      <c r="R7" s="194"/>
      <c r="S7" s="194"/>
      <c r="T7" s="194"/>
      <c r="U7" s="194"/>
      <c r="V7" s="194"/>
      <c r="W7" s="194"/>
      <c r="Y7" s="194"/>
      <c r="Z7" s="194"/>
      <c r="AA7" s="194"/>
      <c r="AB7" s="194"/>
      <c r="AC7" s="194"/>
      <c r="AD7" s="194"/>
      <c r="CB7" s="1"/>
      <c r="CC7" s="1"/>
      <c r="CD7" s="1"/>
      <c r="CE7" s="1"/>
      <c r="CF7" s="1"/>
    </row>
    <row r="8" spans="2:133" ht="15" x14ac:dyDescent="0.25">
      <c r="B8" s="205"/>
      <c r="C8" s="193" t="s">
        <v>211</v>
      </c>
      <c r="D8" s="200">
        <v>-10.68834533786805</v>
      </c>
      <c r="E8" s="287"/>
      <c r="F8" s="9"/>
      <c r="J8" s="192"/>
      <c r="K8" s="20"/>
      <c r="L8" s="195"/>
      <c r="Q8" s="194"/>
      <c r="R8" s="194"/>
      <c r="S8" s="194"/>
      <c r="T8" s="194"/>
      <c r="U8" s="194"/>
      <c r="V8" s="194"/>
      <c r="W8" s="194"/>
      <c r="Y8" s="194"/>
      <c r="Z8" s="194"/>
      <c r="AA8" s="194"/>
      <c r="AB8" s="194"/>
      <c r="AC8" s="194"/>
      <c r="AD8" s="194"/>
      <c r="CB8" s="1"/>
      <c r="CC8" s="1"/>
      <c r="CD8" s="1"/>
      <c r="CE8" s="1"/>
      <c r="CF8" s="1"/>
    </row>
    <row r="9" spans="2:133" ht="15" x14ac:dyDescent="0.25">
      <c r="B9" s="205" t="s">
        <v>212</v>
      </c>
      <c r="C9" s="287"/>
      <c r="D9" s="288"/>
      <c r="E9" s="287"/>
      <c r="F9" s="9"/>
      <c r="J9" s="192"/>
      <c r="K9" s="20"/>
      <c r="L9" s="195"/>
      <c r="Q9" s="194"/>
      <c r="R9" s="194"/>
      <c r="S9" s="194"/>
      <c r="T9" s="194"/>
      <c r="U9" s="194"/>
      <c r="V9" s="194"/>
      <c r="W9" s="194"/>
      <c r="Y9" s="194"/>
      <c r="Z9" s="194"/>
      <c r="AA9" s="194"/>
      <c r="AB9" s="194"/>
      <c r="AC9" s="194"/>
      <c r="AD9" s="194"/>
      <c r="CB9" s="1"/>
      <c r="CC9" s="1"/>
      <c r="CD9" s="1"/>
      <c r="CE9" s="1"/>
      <c r="CF9" s="1"/>
    </row>
    <row r="10" spans="2:133" ht="15" x14ac:dyDescent="0.25">
      <c r="B10" s="8" t="s">
        <v>213</v>
      </c>
      <c r="C10" s="287"/>
      <c r="D10" s="288">
        <v>8.3140000000000002E-3</v>
      </c>
      <c r="E10" s="287"/>
      <c r="F10" s="9"/>
      <c r="J10" s="192"/>
      <c r="K10" s="20"/>
      <c r="L10" s="195"/>
      <c r="Q10" s="194"/>
      <c r="R10" s="194"/>
      <c r="S10" s="194"/>
      <c r="T10" s="194"/>
      <c r="U10" s="194"/>
      <c r="V10" s="194"/>
      <c r="W10" s="194"/>
      <c r="Y10" s="194"/>
      <c r="Z10" s="194"/>
      <c r="AA10" s="194"/>
      <c r="AB10" s="194"/>
      <c r="AC10" s="194"/>
      <c r="AD10" s="194"/>
      <c r="CB10" s="1"/>
      <c r="CC10" s="1"/>
      <c r="CD10" s="1"/>
      <c r="CE10" s="1"/>
      <c r="CF10" s="1"/>
    </row>
    <row r="11" spans="2:133" ht="15" x14ac:dyDescent="0.25">
      <c r="B11" s="205" t="s">
        <v>214</v>
      </c>
      <c r="C11" s="193"/>
      <c r="D11" s="200">
        <v>25</v>
      </c>
      <c r="E11" s="287">
        <v>1</v>
      </c>
      <c r="F11" s="9"/>
      <c r="J11" s="192"/>
      <c r="K11" s="20"/>
      <c r="L11" s="195"/>
      <c r="Q11" s="194"/>
      <c r="R11" s="194"/>
      <c r="S11" s="194"/>
      <c r="T11" s="194"/>
      <c r="U11" s="194"/>
      <c r="V11" s="194"/>
      <c r="W11" s="194"/>
      <c r="Y11" s="194"/>
      <c r="Z11" s="194"/>
      <c r="AA11" s="194"/>
      <c r="AB11" s="194"/>
      <c r="AC11" s="194"/>
      <c r="AD11" s="194"/>
      <c r="CB11" s="1"/>
      <c r="CC11" s="1"/>
      <c r="CD11" s="1"/>
      <c r="CE11" s="1"/>
      <c r="CF11" s="1"/>
    </row>
    <row r="12" spans="2:133" ht="15" x14ac:dyDescent="0.25">
      <c r="B12" s="205" t="s">
        <v>139</v>
      </c>
      <c r="C12" s="193" t="s">
        <v>215</v>
      </c>
      <c r="D12" s="200">
        <v>61.856574013697362</v>
      </c>
      <c r="E12" s="287">
        <v>11.693591725068258</v>
      </c>
      <c r="F12" s="9"/>
      <c r="J12" s="192"/>
      <c r="K12" s="20"/>
      <c r="L12" s="195"/>
      <c r="Q12" s="194"/>
      <c r="R12" s="194"/>
      <c r="S12" s="194"/>
      <c r="T12" s="194"/>
      <c r="U12" s="194"/>
      <c r="V12" s="194"/>
      <c r="W12" s="194"/>
      <c r="Y12" s="194"/>
      <c r="Z12" s="194"/>
      <c r="AA12" s="194"/>
      <c r="AB12" s="194"/>
      <c r="AC12" s="194"/>
      <c r="AD12" s="194"/>
      <c r="AI12" s="2"/>
      <c r="AJ12"/>
      <c r="BE12"/>
      <c r="BF12"/>
      <c r="BG12"/>
      <c r="BH12"/>
      <c r="CB12" s="1"/>
      <c r="CC12" s="1"/>
      <c r="CD12" s="1"/>
      <c r="CE12" s="1"/>
      <c r="CF12" s="1"/>
      <c r="EB12" s="2"/>
      <c r="EC12" s="2"/>
    </row>
    <row r="13" spans="2:133" ht="15" x14ac:dyDescent="0.25">
      <c r="B13" s="205"/>
      <c r="C13" s="193" t="s">
        <v>216</v>
      </c>
      <c r="D13" s="200">
        <v>-78.919140198450947</v>
      </c>
      <c r="E13" s="287"/>
      <c r="F13" s="9"/>
      <c r="J13" s="192"/>
      <c r="K13" s="20"/>
      <c r="L13" s="195"/>
      <c r="Q13" s="194"/>
      <c r="R13" s="194"/>
      <c r="S13" s="194"/>
      <c r="T13" s="194"/>
      <c r="U13" s="194"/>
      <c r="V13" s="194"/>
      <c r="W13" s="194"/>
      <c r="Y13" s="194"/>
      <c r="Z13" s="194"/>
      <c r="AA13" s="194"/>
      <c r="AB13" s="194"/>
      <c r="AC13" s="194"/>
      <c r="AD13" s="194"/>
      <c r="AI13" s="2"/>
      <c r="AJ13"/>
      <c r="AS13" s="72"/>
      <c r="BE13"/>
      <c r="BF13"/>
      <c r="BG13"/>
      <c r="BH13"/>
      <c r="BQ13" s="72"/>
      <c r="CB13" s="1"/>
      <c r="CC13" s="1"/>
      <c r="CD13" s="1"/>
      <c r="CE13" s="1"/>
      <c r="CF13" s="1"/>
      <c r="CJ13" s="72"/>
      <c r="EB13" s="2"/>
      <c r="EC13" s="2"/>
    </row>
    <row r="14" spans="2:133" ht="15" x14ac:dyDescent="0.25">
      <c r="B14" s="205" t="s">
        <v>217</v>
      </c>
      <c r="C14" s="287"/>
      <c r="D14" s="288"/>
      <c r="E14" s="287"/>
      <c r="F14" s="9"/>
      <c r="J14" s="192"/>
      <c r="K14" s="20"/>
      <c r="L14" s="195"/>
      <c r="Q14" s="194"/>
      <c r="R14" s="194"/>
      <c r="S14" s="194"/>
      <c r="T14" s="194"/>
      <c r="U14" s="194"/>
      <c r="V14" s="194"/>
      <c r="W14" s="194"/>
      <c r="Y14" s="194"/>
      <c r="Z14" s="194"/>
      <c r="AA14" s="194"/>
      <c r="AB14" s="194"/>
      <c r="AC14" s="194"/>
      <c r="AD14" s="194"/>
      <c r="AI14" s="2"/>
      <c r="AJ14"/>
      <c r="BE14"/>
      <c r="BF14"/>
      <c r="BG14"/>
      <c r="BH14"/>
      <c r="CB14" s="1"/>
      <c r="CC14" s="1"/>
      <c r="CD14" s="1"/>
      <c r="CE14" s="1"/>
      <c r="CF14" s="1"/>
      <c r="EB14" s="2"/>
      <c r="EC14" s="2"/>
    </row>
    <row r="15" spans="2:133" ht="15" x14ac:dyDescent="0.25">
      <c r="B15" s="205" t="s">
        <v>218</v>
      </c>
      <c r="C15" s="193"/>
      <c r="D15" s="200">
        <v>0.78407720973558293</v>
      </c>
      <c r="E15" s="193">
        <v>0.70549757391211787</v>
      </c>
      <c r="F15" s="9"/>
      <c r="J15" s="192"/>
      <c r="K15" s="20"/>
      <c r="L15" s="195"/>
      <c r="Q15" s="193"/>
      <c r="R15" s="193"/>
      <c r="S15" s="193"/>
      <c r="T15" s="193"/>
      <c r="U15" s="193"/>
      <c r="V15" s="193"/>
      <c r="W15" s="193"/>
      <c r="Y15" s="193"/>
      <c r="Z15" s="193"/>
      <c r="AA15" s="193"/>
      <c r="AB15" s="193"/>
      <c r="AC15" s="193"/>
      <c r="AD15" s="193"/>
      <c r="AI15" s="2"/>
      <c r="AJ15"/>
      <c r="BE15"/>
      <c r="BF15"/>
      <c r="BG15"/>
      <c r="BH15"/>
      <c r="CB15" s="1"/>
      <c r="CC15" s="1"/>
      <c r="CD15" s="1"/>
      <c r="CE15" s="1"/>
      <c r="CF15" s="1"/>
      <c r="EB15" s="2"/>
      <c r="EC15" s="2"/>
    </row>
    <row r="16" spans="2:133" ht="15" x14ac:dyDescent="0.25">
      <c r="B16" s="205" t="s">
        <v>219</v>
      </c>
      <c r="C16" s="193"/>
      <c r="D16" s="200">
        <v>0.5</v>
      </c>
      <c r="E16" s="287">
        <v>0.1</v>
      </c>
      <c r="F16" s="9"/>
      <c r="J16" s="192"/>
      <c r="K16" s="20"/>
      <c r="L16" s="195"/>
      <c r="Q16" s="194"/>
      <c r="R16" s="194"/>
      <c r="S16" s="194"/>
      <c r="T16" s="194"/>
      <c r="U16" s="194"/>
      <c r="V16" s="194"/>
      <c r="W16" s="194"/>
      <c r="Y16" s="194"/>
      <c r="Z16" s="194"/>
      <c r="AA16" s="194"/>
      <c r="AB16" s="194"/>
      <c r="AC16" s="194"/>
      <c r="AD16" s="194"/>
      <c r="AI16" s="2"/>
      <c r="AJ16"/>
      <c r="BE16"/>
      <c r="BF16"/>
      <c r="BG16"/>
      <c r="BH16"/>
      <c r="CB16" s="1"/>
      <c r="CC16" s="1"/>
      <c r="CD16" s="1"/>
      <c r="CE16" s="1"/>
      <c r="CF16" s="1"/>
      <c r="EB16" s="2"/>
      <c r="EC16" s="2"/>
    </row>
    <row r="17" spans="2:133" ht="15" x14ac:dyDescent="0.25">
      <c r="B17" s="205" t="s">
        <v>220</v>
      </c>
      <c r="C17" s="193"/>
      <c r="D17" s="200" t="s">
        <v>221</v>
      </c>
      <c r="E17" s="287">
        <v>1E-10</v>
      </c>
      <c r="F17" s="9"/>
      <c r="H17" s="20"/>
      <c r="I17" s="1"/>
      <c r="J17" s="192"/>
      <c r="K17" s="20"/>
      <c r="L17" s="195"/>
      <c r="Q17" s="194"/>
      <c r="R17" s="194"/>
      <c r="S17" s="194"/>
      <c r="T17" s="194"/>
      <c r="U17" s="194"/>
      <c r="V17" s="194"/>
      <c r="W17" s="194"/>
      <c r="Y17" s="194"/>
      <c r="Z17" s="194"/>
      <c r="AA17" s="194"/>
      <c r="AB17" s="194"/>
      <c r="AC17" s="194"/>
      <c r="AD17" s="194"/>
      <c r="AI17" s="2"/>
      <c r="AJ17"/>
      <c r="AM17" s="146"/>
      <c r="AN17" s="146"/>
      <c r="AO17" s="1"/>
      <c r="BE17"/>
      <c r="BF17"/>
      <c r="BG17"/>
      <c r="BH17"/>
      <c r="BJ17" s="146"/>
      <c r="BK17" s="146"/>
      <c r="BL17" s="146"/>
      <c r="BM17" s="1"/>
      <c r="CB17" s="1"/>
      <c r="CC17" s="1"/>
      <c r="CD17" s="1"/>
      <c r="CE17" s="1"/>
      <c r="CF17" s="1"/>
      <c r="EB17" s="2"/>
      <c r="EC17" s="2"/>
    </row>
    <row r="18" spans="2:133" ht="15" x14ac:dyDescent="0.25">
      <c r="B18" s="205" t="s">
        <v>222</v>
      </c>
      <c r="C18" s="193"/>
      <c r="D18" s="200">
        <v>0</v>
      </c>
      <c r="E18" s="287">
        <v>0.16598850394187795</v>
      </c>
      <c r="F18" s="9"/>
      <c r="H18" s="20"/>
      <c r="I18" s="1"/>
      <c r="J18" s="192"/>
      <c r="K18" s="20"/>
      <c r="L18" s="195"/>
      <c r="Q18" s="194"/>
      <c r="R18" s="194"/>
      <c r="S18" s="194"/>
      <c r="T18" s="194"/>
      <c r="U18" s="194"/>
      <c r="V18" s="194"/>
      <c r="W18" s="194"/>
      <c r="Y18" s="194"/>
      <c r="Z18" s="194"/>
      <c r="AA18" s="194"/>
      <c r="AB18" s="194"/>
      <c r="AC18" s="194"/>
      <c r="AD18" s="194"/>
      <c r="AI18" s="2"/>
      <c r="AJ18"/>
      <c r="AM18" s="146"/>
      <c r="AN18" s="146"/>
      <c r="AO18" s="1"/>
      <c r="BE18"/>
      <c r="BF18"/>
      <c r="BG18"/>
      <c r="BH18"/>
      <c r="BJ18" s="146"/>
      <c r="BK18" s="146"/>
      <c r="BL18" s="146"/>
      <c r="BM18" s="1"/>
      <c r="CB18" s="1"/>
      <c r="CC18" s="1"/>
      <c r="CD18" s="1"/>
      <c r="CE18" s="1"/>
      <c r="CF18" s="1"/>
      <c r="EB18" s="2"/>
      <c r="EC18" s="2"/>
    </row>
    <row r="19" spans="2:133" ht="15" x14ac:dyDescent="0.25">
      <c r="B19" s="8"/>
      <c r="C19" s="287"/>
      <c r="D19" s="287"/>
      <c r="E19" s="287"/>
      <c r="F19" s="6"/>
      <c r="H19" s="20"/>
      <c r="I19" s="1"/>
      <c r="J19" s="192"/>
      <c r="K19" s="20"/>
      <c r="L19" s="195"/>
      <c r="Q19" s="194"/>
      <c r="R19" s="194"/>
      <c r="S19" s="194"/>
      <c r="T19" s="194"/>
      <c r="U19" s="194"/>
      <c r="V19" s="194"/>
      <c r="W19" s="194"/>
      <c r="Y19" s="194"/>
      <c r="Z19" s="194"/>
      <c r="AA19" s="194"/>
      <c r="AB19" s="194"/>
      <c r="AC19" s="194"/>
      <c r="AD19" s="194"/>
      <c r="AI19" s="2"/>
      <c r="AJ19"/>
      <c r="AM19" s="146"/>
      <c r="AN19" s="146"/>
      <c r="AO19" s="1"/>
      <c r="BE19"/>
      <c r="BF19"/>
      <c r="BG19"/>
      <c r="BH19"/>
      <c r="BJ19" s="146"/>
      <c r="BK19" s="146"/>
      <c r="BL19" s="146"/>
      <c r="BM19" s="1"/>
      <c r="CB19" s="1"/>
      <c r="CC19" s="1"/>
      <c r="CD19" s="1"/>
      <c r="CE19" s="1"/>
      <c r="CF19" s="1"/>
      <c r="EB19" s="2"/>
      <c r="EC19" s="2"/>
    </row>
    <row r="20" spans="2:133" ht="15" x14ac:dyDescent="0.25">
      <c r="B20" s="205" t="s">
        <v>223</v>
      </c>
      <c r="C20" s="193" t="s">
        <v>210</v>
      </c>
      <c r="D20" s="287">
        <v>1.0967648833861865</v>
      </c>
      <c r="E20" s="287">
        <v>0.31086602221434834</v>
      </c>
      <c r="F20" s="6"/>
      <c r="H20" s="20"/>
      <c r="I20" s="1"/>
      <c r="J20" s="192"/>
      <c r="K20" s="20"/>
      <c r="L20" s="195"/>
      <c r="Q20" s="194"/>
      <c r="R20" s="194"/>
      <c r="S20" s="194"/>
      <c r="T20" s="194"/>
      <c r="U20" s="194"/>
      <c r="V20" s="194"/>
      <c r="W20" s="194"/>
      <c r="Y20" s="194"/>
      <c r="Z20" s="194"/>
      <c r="AA20" s="194"/>
      <c r="AB20" s="194"/>
      <c r="AC20" s="194"/>
      <c r="AD20" s="194"/>
      <c r="AI20" s="2"/>
      <c r="AJ20"/>
      <c r="AM20" s="146"/>
      <c r="AN20" s="146"/>
      <c r="AO20" s="1"/>
      <c r="BE20"/>
      <c r="BF20"/>
      <c r="BG20"/>
      <c r="BH20"/>
      <c r="BJ20" s="146"/>
      <c r="BK20" s="146"/>
      <c r="BL20" s="146"/>
      <c r="BM20" s="1"/>
      <c r="CB20" s="1"/>
      <c r="CC20" s="1"/>
      <c r="CD20" s="1"/>
      <c r="CE20" s="1"/>
      <c r="CF20" s="1"/>
      <c r="EB20" s="2"/>
      <c r="EC20" s="2"/>
    </row>
    <row r="21" spans="2:133" ht="15" x14ac:dyDescent="0.25">
      <c r="B21" s="205"/>
      <c r="C21" s="193" t="s">
        <v>211</v>
      </c>
      <c r="D21" s="287">
        <v>-0.68904052345948053</v>
      </c>
      <c r="E21" s="287"/>
      <c r="F21" s="6"/>
      <c r="H21" s="20"/>
      <c r="I21" s="1"/>
      <c r="J21" s="192"/>
      <c r="K21" s="20"/>
      <c r="L21" s="195"/>
      <c r="Q21" s="194"/>
      <c r="R21" s="194"/>
      <c r="S21" s="194"/>
      <c r="T21" s="194"/>
      <c r="U21" s="194"/>
      <c r="V21" s="194"/>
      <c r="W21" s="194"/>
      <c r="Y21" s="194"/>
      <c r="Z21" s="194"/>
      <c r="AA21" s="194"/>
      <c r="AB21" s="194"/>
      <c r="AC21" s="194"/>
      <c r="AD21" s="194"/>
      <c r="AI21" s="2"/>
      <c r="AJ21"/>
      <c r="AM21" s="146"/>
      <c r="AN21" s="146"/>
      <c r="AO21" s="1"/>
      <c r="BE21"/>
      <c r="BF21"/>
      <c r="BG21"/>
      <c r="BH21"/>
      <c r="BJ21" s="146"/>
      <c r="BK21" s="146"/>
      <c r="BL21" s="146"/>
      <c r="BM21" s="1"/>
      <c r="CB21" s="1"/>
      <c r="CC21" s="1"/>
      <c r="CD21" s="1"/>
      <c r="CE21" s="1"/>
      <c r="CF21" s="1"/>
      <c r="EB21" s="2"/>
      <c r="EC21" s="2"/>
    </row>
    <row r="22" spans="2:133" ht="15" x14ac:dyDescent="0.25">
      <c r="B22" s="205" t="s">
        <v>224</v>
      </c>
      <c r="C22" s="287"/>
      <c r="D22" s="288"/>
      <c r="E22" s="287"/>
      <c r="F22" s="6"/>
      <c r="H22" s="20"/>
      <c r="I22" s="1"/>
      <c r="J22" s="192"/>
      <c r="K22" s="20"/>
      <c r="L22" s="195"/>
      <c r="Q22" s="194"/>
      <c r="R22" s="194"/>
      <c r="S22" s="194"/>
      <c r="T22" s="194"/>
      <c r="U22" s="194"/>
      <c r="V22" s="194"/>
      <c r="W22" s="194"/>
      <c r="Y22" s="194"/>
      <c r="Z22" s="194"/>
      <c r="AA22" s="194"/>
      <c r="AB22" s="194"/>
      <c r="AC22" s="194"/>
      <c r="AD22" s="194"/>
      <c r="AI22" s="2"/>
      <c r="AJ22"/>
      <c r="AM22" s="146"/>
      <c r="AN22" s="146"/>
      <c r="AO22" s="1"/>
      <c r="BE22"/>
      <c r="BF22"/>
      <c r="BG22"/>
      <c r="BH22"/>
      <c r="BJ22" s="146"/>
      <c r="BK22" s="146"/>
      <c r="BL22" s="146"/>
      <c r="BM22" s="1"/>
      <c r="CB22" s="1"/>
      <c r="CC22" s="1"/>
      <c r="CD22" s="1"/>
      <c r="CE22" s="1"/>
      <c r="CF22" s="1"/>
      <c r="EB22" s="2"/>
      <c r="EC22" s="2"/>
    </row>
    <row r="23" spans="2:133" ht="15" x14ac:dyDescent="0.25">
      <c r="B23" s="8" t="s">
        <v>213</v>
      </c>
      <c r="C23" s="287"/>
      <c r="D23" s="288">
        <v>8.3140000000000002E-3</v>
      </c>
      <c r="E23" s="287"/>
      <c r="F23" s="6"/>
      <c r="H23" s="20"/>
      <c r="I23" s="1"/>
      <c r="J23" s="192"/>
      <c r="K23" s="20"/>
      <c r="L23" s="195"/>
      <c r="Q23" s="194"/>
      <c r="R23" s="194"/>
      <c r="S23" s="194"/>
      <c r="T23" s="194"/>
      <c r="U23" s="194"/>
      <c r="V23" s="194"/>
      <c r="W23" s="194"/>
      <c r="Y23" s="194"/>
      <c r="Z23" s="194"/>
      <c r="AA23" s="194"/>
      <c r="AB23" s="194"/>
      <c r="AC23" s="194"/>
      <c r="AD23" s="194"/>
      <c r="AI23" s="2"/>
      <c r="AJ23"/>
      <c r="AM23" s="146"/>
      <c r="AN23" s="146"/>
      <c r="AO23" s="1"/>
      <c r="BE23"/>
      <c r="BF23"/>
      <c r="BG23"/>
      <c r="BH23"/>
      <c r="BJ23" s="146"/>
      <c r="BK23" s="146"/>
      <c r="BL23" s="146"/>
      <c r="BM23" s="1"/>
      <c r="CB23" s="1"/>
      <c r="CC23" s="1"/>
      <c r="CD23" s="1"/>
      <c r="CE23" s="1"/>
      <c r="CF23" s="1"/>
      <c r="EB23" s="2"/>
      <c r="EC23" s="2"/>
    </row>
    <row r="24" spans="2:133" ht="15" x14ac:dyDescent="0.25">
      <c r="B24" s="205" t="s">
        <v>214</v>
      </c>
      <c r="C24" s="193"/>
      <c r="D24" s="200">
        <v>25</v>
      </c>
      <c r="E24" s="287">
        <v>1</v>
      </c>
      <c r="F24" s="6"/>
      <c r="H24" s="20"/>
      <c r="I24" s="1"/>
      <c r="J24" s="192"/>
      <c r="K24" s="20"/>
      <c r="L24" s="195"/>
      <c r="Q24" s="194"/>
      <c r="R24" s="194"/>
      <c r="S24" s="194"/>
      <c r="T24" s="194"/>
      <c r="U24" s="194"/>
      <c r="V24" s="194"/>
      <c r="W24" s="194"/>
      <c r="Y24" s="194"/>
      <c r="Z24" s="194"/>
      <c r="AA24" s="194"/>
      <c r="AB24" s="194"/>
      <c r="AC24" s="194"/>
      <c r="AD24" s="194"/>
      <c r="AI24" s="2"/>
      <c r="AJ24"/>
      <c r="AL24" s="58" t="s">
        <v>103</v>
      </c>
      <c r="AO24" s="1"/>
      <c r="BE24"/>
      <c r="BF24"/>
      <c r="BG24"/>
      <c r="BH24"/>
      <c r="BJ24" s="58" t="s">
        <v>103</v>
      </c>
      <c r="BM24" s="1"/>
      <c r="CB24" s="1"/>
      <c r="CC24" s="1"/>
      <c r="CD24" s="1"/>
      <c r="CE24" s="1"/>
      <c r="CF24" s="1"/>
      <c r="EB24" s="2"/>
      <c r="EC24" s="2"/>
    </row>
    <row r="25" spans="2:133" ht="15" x14ac:dyDescent="0.25">
      <c r="B25" s="205" t="s">
        <v>139</v>
      </c>
      <c r="C25" s="193" t="s">
        <v>225</v>
      </c>
      <c r="D25" s="200">
        <v>7.9216980150670766</v>
      </c>
      <c r="E25" s="287">
        <v>13.223905921556895</v>
      </c>
      <c r="F25" s="6"/>
      <c r="H25" s="20"/>
      <c r="I25" s="1"/>
      <c r="J25" s="192"/>
      <c r="K25" s="20"/>
      <c r="L25" s="195"/>
      <c r="Q25" s="194"/>
      <c r="R25" s="194"/>
      <c r="S25" s="194"/>
      <c r="T25" s="194"/>
      <c r="U25" s="194"/>
      <c r="V25" s="194"/>
      <c r="W25" s="194"/>
      <c r="Y25" s="194"/>
      <c r="Z25" s="194"/>
      <c r="AA25" s="194"/>
      <c r="AB25" s="194"/>
      <c r="AC25" s="194"/>
      <c r="AD25" s="194"/>
      <c r="AI25" s="2"/>
      <c r="AJ25"/>
      <c r="AL25" s="136" t="s">
        <v>161</v>
      </c>
      <c r="AM25" s="130" t="s">
        <v>93</v>
      </c>
      <c r="AN25" s="130"/>
      <c r="AO25" s="130" t="s">
        <v>162</v>
      </c>
      <c r="AP25" s="131"/>
      <c r="AR25" s="20" t="s">
        <v>316</v>
      </c>
      <c r="BE25"/>
      <c r="BF25"/>
      <c r="BG25"/>
      <c r="BH25"/>
      <c r="BJ25" s="136" t="s">
        <v>161</v>
      </c>
      <c r="BK25" s="130" t="s">
        <v>93</v>
      </c>
      <c r="BL25" s="130"/>
      <c r="BM25" s="130" t="s">
        <v>162</v>
      </c>
      <c r="BN25" s="131"/>
      <c r="CB25" s="1"/>
      <c r="CC25" s="1"/>
      <c r="CD25" s="1"/>
      <c r="CE25" s="1"/>
      <c r="CF25" s="1"/>
      <c r="EB25" s="2"/>
      <c r="EC25" s="2"/>
    </row>
    <row r="26" spans="2:133" ht="15" x14ac:dyDescent="0.25">
      <c r="B26" s="205"/>
      <c r="C26" s="193" t="s">
        <v>226</v>
      </c>
      <c r="D26" s="200">
        <v>-17.18756089833586</v>
      </c>
      <c r="E26" s="287"/>
      <c r="F26" s="6"/>
      <c r="H26" s="20"/>
      <c r="I26" s="1"/>
      <c r="J26" s="192"/>
      <c r="K26" s="20"/>
      <c r="L26" s="195"/>
      <c r="Q26" s="194"/>
      <c r="R26" s="194"/>
      <c r="S26" s="194"/>
      <c r="T26" s="194"/>
      <c r="U26" s="194"/>
      <c r="V26" s="194"/>
      <c r="W26" s="194"/>
      <c r="Y26" s="194"/>
      <c r="Z26" s="194"/>
      <c r="AA26" s="194"/>
      <c r="AB26" s="194"/>
      <c r="AC26" s="194"/>
      <c r="AD26" s="194"/>
      <c r="AI26" s="2"/>
      <c r="AJ26"/>
      <c r="AL26" s="137" t="s">
        <v>160</v>
      </c>
      <c r="AM26" s="132" t="s">
        <v>93</v>
      </c>
      <c r="AN26" s="132" t="s">
        <v>92</v>
      </c>
      <c r="AO26" s="132" t="s">
        <v>93</v>
      </c>
      <c r="AP26" s="133" t="s">
        <v>92</v>
      </c>
      <c r="AR26"/>
      <c r="AS26" t="s">
        <v>56</v>
      </c>
      <c r="AT26" t="s">
        <v>317</v>
      </c>
      <c r="AU26" t="s">
        <v>177</v>
      </c>
      <c r="BE26"/>
      <c r="BF26"/>
      <c r="BG26"/>
      <c r="BH26"/>
      <c r="BJ26" s="137" t="s">
        <v>160</v>
      </c>
      <c r="BK26" s="132" t="s">
        <v>93</v>
      </c>
      <c r="BL26" s="132" t="s">
        <v>92</v>
      </c>
      <c r="BM26" s="132" t="s">
        <v>93</v>
      </c>
      <c r="BN26" s="133" t="s">
        <v>92</v>
      </c>
      <c r="CB26" s="1"/>
      <c r="CC26" s="1"/>
      <c r="CD26" s="1"/>
      <c r="CE26" s="1"/>
      <c r="CF26" s="1"/>
      <c r="EB26" s="2"/>
      <c r="EC26" s="2"/>
    </row>
    <row r="27" spans="2:133" ht="25.5" x14ac:dyDescent="0.25">
      <c r="B27" s="205" t="s">
        <v>227</v>
      </c>
      <c r="C27" s="287"/>
      <c r="D27" s="288"/>
      <c r="E27" s="287"/>
      <c r="F27" s="6"/>
      <c r="H27" s="20"/>
      <c r="I27" s="1"/>
      <c r="J27" s="192"/>
      <c r="K27" s="20"/>
      <c r="L27" s="195"/>
      <c r="Q27" s="194"/>
      <c r="R27" s="194"/>
      <c r="S27" s="194"/>
      <c r="T27" s="194"/>
      <c r="U27" s="194"/>
      <c r="V27" s="194"/>
      <c r="W27" s="194"/>
      <c r="Y27" s="194"/>
      <c r="Z27" s="194"/>
      <c r="AA27" s="194"/>
      <c r="AB27" s="194"/>
      <c r="AC27" s="194"/>
      <c r="AD27" s="194"/>
      <c r="AI27" s="2"/>
      <c r="AJ27"/>
      <c r="AL27" s="138" t="s">
        <v>163</v>
      </c>
      <c r="AM27" s="139" t="s">
        <v>102</v>
      </c>
      <c r="AN27" s="139" t="s">
        <v>101</v>
      </c>
      <c r="AO27" s="139" t="s">
        <v>98</v>
      </c>
      <c r="AP27" s="140" t="s">
        <v>97</v>
      </c>
      <c r="AR27" s="195" t="s">
        <v>312</v>
      </c>
      <c r="AS27" s="270">
        <f>RSQ($AN51:$AN117,N51:N117)</f>
        <v>1.7095604171409168E-2</v>
      </c>
      <c r="AT27" s="270">
        <f>RSQ($AN51:$AN117,AO51:AO117)</f>
        <v>3.5780498139881531E-2</v>
      </c>
      <c r="AU27" s="270">
        <f>RSQ($AN51:$AN117,P51:P117)</f>
        <v>0.18351821112845684</v>
      </c>
      <c r="BE27"/>
      <c r="BF27"/>
      <c r="BG27"/>
      <c r="BH27"/>
      <c r="BJ27" s="138" t="s">
        <v>163</v>
      </c>
      <c r="BK27" s="139" t="s">
        <v>102</v>
      </c>
      <c r="BL27" s="139" t="s">
        <v>101</v>
      </c>
      <c r="BM27" s="139" t="s">
        <v>98</v>
      </c>
      <c r="BN27" s="140" t="s">
        <v>97</v>
      </c>
      <c r="CB27" s="1"/>
      <c r="CD27" s="1"/>
      <c r="CE27" s="1"/>
      <c r="CF27" s="1"/>
      <c r="EB27" s="2"/>
      <c r="EC27" s="2"/>
    </row>
    <row r="28" spans="2:133" ht="15" x14ac:dyDescent="0.25">
      <c r="B28" s="205" t="s">
        <v>228</v>
      </c>
      <c r="C28" s="193"/>
      <c r="D28" s="287">
        <v>0.10396501984946256</v>
      </c>
      <c r="E28" s="287">
        <v>0.24028209716304852</v>
      </c>
      <c r="F28" s="6"/>
      <c r="H28" s="20"/>
      <c r="I28" s="1"/>
      <c r="J28" s="192"/>
      <c r="K28" s="20"/>
      <c r="L28" s="195"/>
      <c r="Q28" s="194"/>
      <c r="R28" s="194"/>
      <c r="S28" s="194"/>
      <c r="T28" s="194"/>
      <c r="U28" s="194"/>
      <c r="V28" s="194"/>
      <c r="W28" s="194"/>
      <c r="Y28" s="194"/>
      <c r="Z28" s="194"/>
      <c r="AA28" s="194"/>
      <c r="AB28" s="194"/>
      <c r="AC28" s="194"/>
      <c r="AD28" s="194"/>
      <c r="AI28" s="2"/>
      <c r="AJ28"/>
      <c r="AL28" s="129" t="s">
        <v>166</v>
      </c>
      <c r="AM28" s="16">
        <f>COUNTIF($AT$51:$AT$117,0)</f>
        <v>13</v>
      </c>
      <c r="AN28" s="16">
        <f>COUNTIF($AT$51:$AT$117,2)</f>
        <v>0</v>
      </c>
      <c r="AO28" s="16">
        <f>COUNTIF($AT$51:$AT$117,1)</f>
        <v>46</v>
      </c>
      <c r="AP28" s="16">
        <f>COUNTIF($AT$51:$AT$117,3)</f>
        <v>1</v>
      </c>
      <c r="AR28" s="195" t="s">
        <v>313</v>
      </c>
      <c r="AS28" s="271">
        <f>STEYX($AN51:$AN117,N51:N117)</f>
        <v>1.318064634007776</v>
      </c>
      <c r="AT28" s="271">
        <f>STEYX($AN51:$AN117,AO51:AO117)</f>
        <v>1.3054763969101029</v>
      </c>
      <c r="AU28" s="271">
        <f>STEYX($AN51:$AN117,P51:P117)</f>
        <v>1.2013078634869294</v>
      </c>
      <c r="BE28"/>
      <c r="BF28"/>
      <c r="BG28"/>
      <c r="BH28"/>
      <c r="BJ28" s="129" t="s">
        <v>166</v>
      </c>
      <c r="BK28" s="16">
        <f>COUNTIF(BR51:BR117,0)</f>
        <v>13</v>
      </c>
      <c r="BL28" s="16">
        <f>COUNTIF(BR51:BR117,2)</f>
        <v>0</v>
      </c>
      <c r="BM28" s="16">
        <f>COUNTIF(BR51:BR117,1)</f>
        <v>44</v>
      </c>
      <c r="BN28" s="16">
        <f>COUNTIF(BR51:BR117,3)</f>
        <v>3</v>
      </c>
      <c r="CB28" s="1"/>
      <c r="CC28" s="1"/>
      <c r="CD28" s="1"/>
      <c r="CE28" s="1"/>
      <c r="CF28" s="1"/>
      <c r="EB28" s="2"/>
      <c r="EC28" s="2"/>
    </row>
    <row r="29" spans="2:133" ht="15" x14ac:dyDescent="0.25">
      <c r="B29" s="205" t="s">
        <v>219</v>
      </c>
      <c r="C29" s="193"/>
      <c r="D29" s="200">
        <v>1</v>
      </c>
      <c r="E29" s="287">
        <v>0.1</v>
      </c>
      <c r="F29" s="6"/>
      <c r="H29" s="20"/>
      <c r="I29" s="1"/>
      <c r="J29" s="192"/>
      <c r="K29" s="20"/>
      <c r="L29" s="195"/>
      <c r="Q29" s="194"/>
      <c r="R29" s="194"/>
      <c r="S29" s="194"/>
      <c r="T29" s="194"/>
      <c r="U29" s="194"/>
      <c r="V29" s="194"/>
      <c r="W29" s="194"/>
      <c r="Y29" s="194"/>
      <c r="Z29" s="194"/>
      <c r="AA29" s="194"/>
      <c r="AB29" s="194"/>
      <c r="AC29" s="194"/>
      <c r="AD29" s="194"/>
      <c r="AI29" s="2"/>
      <c r="AJ29"/>
      <c r="AO29" s="1"/>
      <c r="AR29" s="195" t="s">
        <v>171</v>
      </c>
      <c r="AS29" s="195">
        <f>COUNT($AN51:$AN117)</f>
        <v>60</v>
      </c>
      <c r="AT29" s="195">
        <f>COUNT($AN51:$AN117)</f>
        <v>60</v>
      </c>
      <c r="AU29" s="195">
        <f>COUNT($AN51:$AN117)</f>
        <v>60</v>
      </c>
      <c r="BE29"/>
      <c r="BF29"/>
      <c r="BG29"/>
      <c r="BH29"/>
      <c r="BM29" s="1"/>
      <c r="CB29" s="1"/>
      <c r="CC29" s="1"/>
      <c r="CD29" s="1"/>
      <c r="CE29" s="1"/>
      <c r="CF29" s="1"/>
      <c r="EB29" s="2"/>
      <c r="EC29" s="2"/>
    </row>
    <row r="30" spans="2:133" ht="15" x14ac:dyDescent="0.25">
      <c r="B30" s="208" t="s">
        <v>229</v>
      </c>
      <c r="C30" s="209"/>
      <c r="D30" s="210">
        <v>0</v>
      </c>
      <c r="E30" s="289">
        <v>5.3974405490779601E-2</v>
      </c>
      <c r="F30" s="211"/>
      <c r="H30" s="20"/>
      <c r="I30" s="1"/>
      <c r="J30" s="192"/>
      <c r="K30" s="20"/>
      <c r="L30" s="195"/>
      <c r="P30" s="1"/>
      <c r="R30" s="194"/>
      <c r="S30" s="194"/>
      <c r="T30" s="194"/>
      <c r="U30" s="194"/>
      <c r="V30" s="194"/>
      <c r="W30" s="194"/>
      <c r="Y30" s="194"/>
      <c r="Z30" s="194"/>
      <c r="AA30" s="194"/>
      <c r="AB30" s="194"/>
      <c r="AC30" s="194"/>
      <c r="AD30" s="194"/>
      <c r="AI30" s="2"/>
      <c r="AJ30"/>
      <c r="AL30" s="58" t="s">
        <v>190</v>
      </c>
      <c r="AR30" s="195" t="s">
        <v>314</v>
      </c>
      <c r="AS30" s="271">
        <f>SLOPE($AN51:$AN117,N51:N117)</f>
        <v>5.3853271919281562E-3</v>
      </c>
      <c r="AT30" s="271">
        <f>SLOPE($AN51:$AN117,AO51:AO117)</f>
        <v>0.95143151596970965</v>
      </c>
      <c r="AU30" s="271">
        <f>SLOPE($AN51:$AN117,P51:P117)</f>
        <v>0.85051295099104685</v>
      </c>
      <c r="BE30"/>
      <c r="BF30"/>
      <c r="BG30"/>
      <c r="BH30"/>
      <c r="BM30" s="1"/>
      <c r="CB30" s="1"/>
      <c r="CC30" s="1"/>
      <c r="CD30" s="1"/>
      <c r="CE30" s="1"/>
      <c r="CF30" s="1"/>
      <c r="EB30" s="2"/>
      <c r="EC30" s="2"/>
    </row>
    <row r="31" spans="2:133" ht="15" x14ac:dyDescent="0.25">
      <c r="B31" s="212" t="s">
        <v>255</v>
      </c>
      <c r="C31" s="216"/>
      <c r="D31" s="214"/>
      <c r="E31" s="216"/>
      <c r="F31" s="217"/>
      <c r="H31" s="20"/>
      <c r="I31" s="1"/>
      <c r="J31" s="192"/>
      <c r="K31" s="20"/>
      <c r="N31" s="20"/>
      <c r="O31" s="20"/>
      <c r="AI31" s="2"/>
      <c r="AJ31"/>
      <c r="AL31" s="233"/>
      <c r="AM31" s="78" t="s">
        <v>90</v>
      </c>
      <c r="AN31" s="77" t="s">
        <v>89</v>
      </c>
      <c r="AO31" s="76"/>
      <c r="AR31" s="195" t="s">
        <v>315</v>
      </c>
      <c r="AS31" s="271">
        <f>INTERCEPT($AN51:$AN117,N51:N117)</f>
        <v>2.1380451382045216</v>
      </c>
      <c r="AT31" s="271">
        <f>INTERCEPT($AN51:$AN117,AO51:AO117)</f>
        <v>2.7244059856012837</v>
      </c>
      <c r="AU31" s="271">
        <f>INTERCEPT($AN51:$AN117,P51:P117)</f>
        <v>0.336412806263926</v>
      </c>
      <c r="BE31"/>
      <c r="BF31"/>
      <c r="BG31"/>
      <c r="BH31"/>
      <c r="BJ31" s="58" t="s">
        <v>190</v>
      </c>
      <c r="BM31" s="1"/>
      <c r="CB31" s="1"/>
      <c r="CC31" s="1"/>
      <c r="CD31" s="1"/>
      <c r="CE31" s="1"/>
      <c r="CF31" s="1"/>
      <c r="EB31" s="2"/>
      <c r="EC31" s="2"/>
    </row>
    <row r="32" spans="2:133" ht="15" x14ac:dyDescent="0.25">
      <c r="B32" s="201" t="s">
        <v>91</v>
      </c>
      <c r="C32" s="202" t="s">
        <v>240</v>
      </c>
      <c r="D32" s="91"/>
      <c r="E32" s="203">
        <f>2.7/1000</f>
        <v>2.7000000000000001E-3</v>
      </c>
      <c r="F32" s="204" t="s">
        <v>94</v>
      </c>
      <c r="G32" s="198"/>
      <c r="I32" s="1"/>
      <c r="J32" s="192"/>
      <c r="K32" s="20"/>
      <c r="N32" s="20"/>
      <c r="O32" s="20"/>
      <c r="AI32" s="2"/>
      <c r="AJ32"/>
      <c r="AL32" s="234" t="s">
        <v>88</v>
      </c>
      <c r="AM32" s="146">
        <f>AVERAGE(AJ51:AJ117)</f>
        <v>2.1777041066315093</v>
      </c>
      <c r="AN32" s="146">
        <f>AVERAGE($AH51:$AH60,$AI64:$AI83,$AH86:$AH88,$AI91:$AI117)</f>
        <v>1.557529761904765E-3</v>
      </c>
      <c r="AO32" s="1"/>
      <c r="BE32"/>
      <c r="BF32"/>
      <c r="BG32"/>
      <c r="BH32"/>
      <c r="BJ32" s="233"/>
      <c r="BK32" s="78" t="s">
        <v>90</v>
      </c>
      <c r="BL32" s="77" t="s">
        <v>89</v>
      </c>
      <c r="BM32" s="76"/>
      <c r="CB32" s="1"/>
      <c r="CC32" s="1"/>
      <c r="CD32" s="1"/>
      <c r="CE32" s="1"/>
      <c r="CF32" s="1"/>
      <c r="EB32" s="2"/>
      <c r="EC32" s="2"/>
    </row>
    <row r="33" spans="1:133" ht="15" x14ac:dyDescent="0.25">
      <c r="B33" s="205" t="s">
        <v>241</v>
      </c>
      <c r="C33" s="193" t="s">
        <v>242</v>
      </c>
      <c r="E33" s="357">
        <f>(0.025-2*E32)/2</f>
        <v>9.7999999999999997E-3</v>
      </c>
      <c r="F33" s="9" t="s">
        <v>94</v>
      </c>
      <c r="G33" s="198"/>
      <c r="I33" s="1"/>
      <c r="J33" s="192"/>
      <c r="K33" s="20"/>
      <c r="N33" s="20"/>
      <c r="O33" s="20"/>
      <c r="AI33" s="2"/>
      <c r="AJ33"/>
      <c r="AL33" s="75" t="s">
        <v>85</v>
      </c>
      <c r="AM33" s="146">
        <f>MAX(AJ51:AJ117)</f>
        <v>107.42100279933713</v>
      </c>
      <c r="AN33" s="146">
        <f>MAX($AH51:$AH60,$AI64:$AI83,$AH86:$AH88,$AI91:$AI117)</f>
        <v>4.7E-2</v>
      </c>
      <c r="AO33" s="1"/>
      <c r="BE33"/>
      <c r="BF33"/>
      <c r="BG33"/>
      <c r="BH33"/>
      <c r="BJ33" s="234" t="s">
        <v>88</v>
      </c>
      <c r="BK33" s="146">
        <f>AVERAGE(BE51:BE117)</f>
        <v>6.0459170301121648E-2</v>
      </c>
      <c r="BL33" s="146">
        <f>AVERAGE($AH52:$AH61,$AI65:$AI84,$AH87:$AH89,$AI92:$AI118)</f>
        <v>8.1255739795918383E-4</v>
      </c>
      <c r="BM33" s="1"/>
      <c r="CC33" s="1"/>
      <c r="CD33" s="1"/>
      <c r="CE33" s="1"/>
      <c r="CF33" s="1"/>
      <c r="EB33" s="2"/>
      <c r="EC33" s="2"/>
    </row>
    <row r="34" spans="1:133" ht="15" x14ac:dyDescent="0.25">
      <c r="B34" s="205" t="s">
        <v>243</v>
      </c>
      <c r="C34" s="193" t="s">
        <v>244</v>
      </c>
      <c r="E34" s="199" t="s">
        <v>254</v>
      </c>
      <c r="F34" s="9"/>
      <c r="I34" s="1"/>
      <c r="J34" s="192"/>
      <c r="K34" s="20"/>
      <c r="N34" s="20"/>
      <c r="O34" s="20"/>
      <c r="AI34" s="2"/>
      <c r="AJ34"/>
      <c r="AL34" s="75" t="s">
        <v>87</v>
      </c>
      <c r="AM34" s="146">
        <f>MEDIAN(AJ51:AJ117)</f>
        <v>4.3856536396630036E-2</v>
      </c>
      <c r="AN34" s="146">
        <f>MEDIAN($AH51:$AH60,$AI64:$AI83,$AH86:$AH88,$AI91:$AI117)</f>
        <v>5.0000000000000002E-5</v>
      </c>
      <c r="BE34"/>
      <c r="BF34"/>
      <c r="BG34"/>
      <c r="BH34"/>
      <c r="BJ34" s="75" t="s">
        <v>85</v>
      </c>
      <c r="BK34" s="146">
        <f>MAX(BE51:BE117)</f>
        <v>0.58940869028500231</v>
      </c>
      <c r="BL34" s="146">
        <f>MAX($AH52:$AH61,$AI65:$AI84,$AH87:$AH89,$AI92:$AI118)</f>
        <v>1.7999999999999999E-2</v>
      </c>
      <c r="BM34" s="1"/>
      <c r="CC34" s="1"/>
      <c r="CD34" s="1"/>
      <c r="CE34" s="1"/>
      <c r="CF34" s="1"/>
      <c r="EB34" s="2"/>
      <c r="EC34" s="2"/>
    </row>
    <row r="35" spans="1:133" ht="15" x14ac:dyDescent="0.25">
      <c r="B35" s="205" t="s">
        <v>245</v>
      </c>
      <c r="C35" s="193" t="s">
        <v>246</v>
      </c>
      <c r="E35" s="199" t="s">
        <v>254</v>
      </c>
      <c r="F35" s="9"/>
      <c r="I35" s="1"/>
      <c r="J35" s="192"/>
      <c r="K35" s="20"/>
      <c r="N35" s="20"/>
      <c r="O35" s="20"/>
      <c r="AI35" s="2"/>
      <c r="AJ35"/>
      <c r="AL35" s="73" t="s">
        <v>86</v>
      </c>
      <c r="AM35" s="146">
        <f>MIN(AJ51:AJ117)</f>
        <v>7.0743772317671889E-5</v>
      </c>
      <c r="AN35" s="146">
        <f>MIN($AH51:$AH60,$AI64:$AI83,$AH86:$AH88,$AI91:$AI117)</f>
        <v>2.0000000000000002E-5</v>
      </c>
      <c r="AO35" s="1"/>
      <c r="BE35"/>
      <c r="BF35"/>
      <c r="BG35"/>
      <c r="BH35"/>
      <c r="BJ35" s="75" t="s">
        <v>87</v>
      </c>
      <c r="BK35" s="146">
        <f>MEDIAN(BE51:BE117)</f>
        <v>1.7196680044564951E-2</v>
      </c>
      <c r="BL35" s="146">
        <f>MEDIAN($AH52:$AH61,$AI65:$AI84,$AH87:$AH89,$AI92:$AI118)</f>
        <v>5.0000000000000002E-5</v>
      </c>
      <c r="BM35" s="1"/>
      <c r="CC35" s="1"/>
      <c r="CD35" s="1"/>
      <c r="CE35" s="1"/>
      <c r="CF35" s="1"/>
      <c r="EB35" s="2"/>
      <c r="EC35" s="2"/>
    </row>
    <row r="36" spans="1:133" ht="15" x14ac:dyDescent="0.25">
      <c r="B36" s="205" t="s">
        <v>247</v>
      </c>
      <c r="C36" s="193" t="s">
        <v>248</v>
      </c>
      <c r="E36" s="200">
        <v>25</v>
      </c>
      <c r="F36" s="9" t="s">
        <v>94</v>
      </c>
      <c r="I36" s="1"/>
      <c r="J36" s="192"/>
      <c r="K36" s="20"/>
      <c r="N36" s="70"/>
      <c r="O36" s="70"/>
      <c r="AI36" s="2"/>
      <c r="AJ36"/>
      <c r="AL36" s="58"/>
      <c r="AO36" s="1"/>
      <c r="BE36"/>
      <c r="BF36"/>
      <c r="BG36"/>
      <c r="BH36"/>
      <c r="BJ36" s="73" t="s">
        <v>86</v>
      </c>
      <c r="BK36" s="146">
        <f>MIN(BE51:BE117)</f>
        <v>3.5423454388135323E-5</v>
      </c>
      <c r="BL36" s="146">
        <f>MIN($AH52:$AH61,$AI65:$AI84,$AH87:$AH89,$AI92:$AI118)</f>
        <v>2.0000000000000002E-5</v>
      </c>
      <c r="BM36" s="1"/>
      <c r="CC36" s="1"/>
      <c r="CD36" s="1"/>
      <c r="CE36" s="1"/>
      <c r="CF36" s="1"/>
      <c r="EB36" s="2"/>
      <c r="EC36" s="2"/>
    </row>
    <row r="37" spans="1:133" ht="15" x14ac:dyDescent="0.25">
      <c r="B37" s="205" t="s">
        <v>249</v>
      </c>
      <c r="C37" s="193" t="s">
        <v>250</v>
      </c>
      <c r="E37" s="200">
        <v>0.5</v>
      </c>
      <c r="F37" s="9" t="s">
        <v>251</v>
      </c>
      <c r="I37" s="1"/>
      <c r="J37" s="192"/>
      <c r="K37" s="20"/>
      <c r="AI37" s="2"/>
      <c r="AJ37"/>
      <c r="BE37"/>
      <c r="BF37"/>
      <c r="BG37"/>
      <c r="BH37"/>
      <c r="BM37" s="1"/>
      <c r="CF37" s="1"/>
      <c r="EB37" s="2"/>
      <c r="EC37" s="2"/>
    </row>
    <row r="38" spans="1:133" x14ac:dyDescent="0.2">
      <c r="B38" s="206" t="s">
        <v>252</v>
      </c>
      <c r="C38" s="4" t="s">
        <v>253</v>
      </c>
      <c r="D38" s="4"/>
      <c r="E38" s="222">
        <f>8/24</f>
        <v>0.33333333333333331</v>
      </c>
      <c r="F38" s="93" t="s">
        <v>91</v>
      </c>
      <c r="I38" s="1"/>
      <c r="J38" s="192"/>
      <c r="K38" s="20"/>
      <c r="AI38" s="2"/>
      <c r="AJ38"/>
      <c r="AL38" s="235" t="s">
        <v>283</v>
      </c>
      <c r="BE38"/>
      <c r="BF38"/>
      <c r="BG38"/>
      <c r="BH38"/>
      <c r="BJ38" s="235" t="s">
        <v>283</v>
      </c>
      <c r="BM38" s="1"/>
      <c r="CC38" s="235" t="s">
        <v>283</v>
      </c>
      <c r="CF38" s="1"/>
      <c r="EB38" s="2"/>
      <c r="EC38" s="2"/>
    </row>
    <row r="39" spans="1:133" x14ac:dyDescent="0.2">
      <c r="C39" s="1"/>
      <c r="E39" s="1"/>
      <c r="F39" s="1"/>
      <c r="H39" s="20"/>
      <c r="I39" s="1"/>
      <c r="J39" s="192"/>
      <c r="K39" s="20"/>
      <c r="AI39" s="2"/>
      <c r="AJ39"/>
      <c r="AL39" s="79"/>
      <c r="AM39" s="129" t="s">
        <v>284</v>
      </c>
      <c r="AN39" s="129" t="s">
        <v>307</v>
      </c>
      <c r="AO39" s="1"/>
      <c r="BE39"/>
      <c r="BF39"/>
      <c r="BG39"/>
      <c r="BH39"/>
      <c r="BJ39" s="79"/>
      <c r="BK39" s="129" t="s">
        <v>284</v>
      </c>
      <c r="BL39" s="129" t="s">
        <v>307</v>
      </c>
      <c r="BM39" s="1"/>
      <c r="CC39" s="79"/>
      <c r="CD39" s="129" t="s">
        <v>284</v>
      </c>
      <c r="CE39" s="129" t="s">
        <v>307</v>
      </c>
      <c r="CF39" s="1"/>
      <c r="EB39" s="2"/>
      <c r="EC39" s="2"/>
    </row>
    <row r="40" spans="1:133" x14ac:dyDescent="0.2">
      <c r="B40" s="218" t="s">
        <v>100</v>
      </c>
      <c r="C40" s="207"/>
      <c r="D40" s="82"/>
      <c r="E40" s="219">
        <f>PI()*(E33)^2</f>
        <v>3.0171855845076374E-4</v>
      </c>
      <c r="F40" s="81" t="s">
        <v>99</v>
      </c>
      <c r="H40" s="20"/>
      <c r="I40" s="1"/>
      <c r="J40" s="192"/>
      <c r="K40" s="20"/>
      <c r="AI40" s="2"/>
      <c r="AJ40"/>
      <c r="AL40" s="236" t="s">
        <v>274</v>
      </c>
      <c r="AM40" s="146">
        <f>PERCENTILE((AM51:AM60,AM86:AM88),0.5)</f>
        <v>47.55603908475225</v>
      </c>
      <c r="AN40" s="146">
        <f>PERCENTILE((AM51:AM117),0.5)</f>
        <v>746.82909404170459</v>
      </c>
      <c r="AO40" s="1"/>
      <c r="BE40"/>
      <c r="BF40"/>
      <c r="BG40"/>
      <c r="BH40"/>
      <c r="BJ40" s="236" t="s">
        <v>274</v>
      </c>
      <c r="BK40" s="146">
        <f>PERCENTILE((BK51:BK60,BK86:BK88),0.5)</f>
        <v>7.1624688891175934</v>
      </c>
      <c r="BL40" s="146">
        <f>PERCENTILE((BK51:BK117),0.5)</f>
        <v>198.23744812735549</v>
      </c>
      <c r="BM40" s="1"/>
      <c r="CC40" s="236" t="s">
        <v>274</v>
      </c>
      <c r="CD40" s="146">
        <f>PERCENTILE((CD51:CD60,CD86:CD88),0.5)</f>
        <v>380.00000000000006</v>
      </c>
      <c r="CE40" s="146">
        <f>PERCENTILE((CD51:CD117),0.5)</f>
        <v>10250</v>
      </c>
      <c r="CF40" s="1"/>
      <c r="EB40" s="2"/>
      <c r="EC40" s="2"/>
    </row>
    <row r="41" spans="1:133" x14ac:dyDescent="0.2">
      <c r="B41" s="80" t="s">
        <v>96</v>
      </c>
      <c r="C41" s="196"/>
      <c r="D41" s="7"/>
      <c r="E41" s="220">
        <f>PI()*E33*2</f>
        <v>6.1575216010359944E-2</v>
      </c>
      <c r="F41" s="221" t="s">
        <v>95</v>
      </c>
      <c r="H41" s="20"/>
      <c r="I41" s="1"/>
      <c r="J41" s="192"/>
      <c r="K41" s="20"/>
      <c r="P41" s="97"/>
      <c r="V41" t="s">
        <v>306</v>
      </c>
      <c r="W41" s="97">
        <f>AVERAGE(W51:W60,W86:W88)</f>
        <v>-13.098300242412005</v>
      </c>
      <c r="AC41" t="s">
        <v>306</v>
      </c>
      <c r="AD41" s="97">
        <f>AVERAGE(AD51:AD60,AD86:AD88)</f>
        <v>2.7520695209413386</v>
      </c>
      <c r="AI41" s="2"/>
      <c r="AJ41"/>
      <c r="AL41" s="237" t="s">
        <v>275</v>
      </c>
      <c r="AM41" s="146">
        <f>PERCENTILE((AM51:AM60,AM86:AM88),0.1)</f>
        <v>4.9929899880955864</v>
      </c>
      <c r="AN41" s="146">
        <f>PERCENTILE((AM51:AM117),0.1)</f>
        <v>5.3652482214905426</v>
      </c>
      <c r="BE41"/>
      <c r="BF41"/>
      <c r="BG41"/>
      <c r="BH41"/>
      <c r="BJ41" s="237" t="s">
        <v>275</v>
      </c>
      <c r="BK41" s="146">
        <f>PERCENTILE((BK51:BK60,BK86:BK88),0.1)</f>
        <v>2.460162518377738</v>
      </c>
      <c r="BL41" s="146">
        <f>PERCENTILE((BK51:BK117),0.1)</f>
        <v>3.9394028342680274</v>
      </c>
      <c r="BM41" s="1"/>
      <c r="CC41" s="237" t="s">
        <v>275</v>
      </c>
      <c r="CD41" s="146">
        <f>PERCENTILE((CD51:CD60,CD86:CD88),0.1)</f>
        <v>117.3812037198152</v>
      </c>
      <c r="CE41" s="146">
        <f>PERCENTILE((CD51:CD117),0.1)</f>
        <v>205.7054167391683</v>
      </c>
      <c r="CF41" s="1"/>
      <c r="EB41" s="2"/>
      <c r="EC41" s="2"/>
    </row>
    <row r="42" spans="1:133" x14ac:dyDescent="0.2">
      <c r="E42" s="1"/>
      <c r="J42" s="71"/>
      <c r="AO42" s="1"/>
      <c r="BJ42" t="s">
        <v>308</v>
      </c>
      <c r="BK42" s="267">
        <f>PERCENTILE((BK51:BK60,BK86:BK88),0.9)</f>
        <v>182.63169458315156</v>
      </c>
      <c r="BL42" s="267">
        <f>PERCENTILE((BK51:BK117),0.9)</f>
        <v>3104.1367982570337</v>
      </c>
      <c r="BM42" s="1"/>
      <c r="CF42" s="1"/>
    </row>
    <row r="43" spans="1:133" s="58" customFormat="1" x14ac:dyDescent="0.2">
      <c r="A43" s="64" t="s">
        <v>84</v>
      </c>
      <c r="B43" s="60"/>
      <c r="C43" s="60"/>
      <c r="D43" s="60"/>
      <c r="E43" s="60"/>
      <c r="F43" s="69"/>
      <c r="G43" s="66" t="s">
        <v>83</v>
      </c>
      <c r="H43" s="68"/>
      <c r="I43" s="67" t="s">
        <v>82</v>
      </c>
      <c r="J43" s="66"/>
      <c r="K43" s="148"/>
      <c r="L43" s="66" t="s">
        <v>168</v>
      </c>
      <c r="M43" s="66"/>
      <c r="N43" s="65" t="s">
        <v>81</v>
      </c>
      <c r="O43" s="61"/>
      <c r="P43" s="60"/>
      <c r="Q43" s="60"/>
      <c r="R43" s="64" t="s">
        <v>258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2" t="s">
        <v>80</v>
      </c>
      <c r="AH43" s="63"/>
      <c r="AI43" s="61"/>
      <c r="AJ43" s="163" t="s">
        <v>201</v>
      </c>
      <c r="AK43" s="164"/>
      <c r="AL43" s="65"/>
      <c r="AM43" s="61"/>
      <c r="AN43" s="61"/>
      <c r="AO43" s="66"/>
      <c r="AP43" s="66"/>
      <c r="AQ43" s="60"/>
      <c r="AR43" s="60"/>
      <c r="AS43" s="60"/>
      <c r="AT43" s="59"/>
      <c r="AU43" s="158"/>
      <c r="AV43" s="66"/>
      <c r="AW43" s="60"/>
      <c r="AX43" s="60"/>
      <c r="AY43" s="59"/>
      <c r="AZ43" s="173"/>
      <c r="BA43" s="173"/>
      <c r="BB43" s="173"/>
      <c r="BC43" s="173"/>
      <c r="BD43" s="173"/>
      <c r="BE43" s="163" t="s">
        <v>202</v>
      </c>
      <c r="BF43" s="184"/>
      <c r="BG43" s="184"/>
      <c r="BH43" s="184"/>
      <c r="BI43" s="164"/>
      <c r="BJ43" s="65"/>
      <c r="BK43" s="302">
        <f>BK42/BK41</f>
        <v>74.235621922888726</v>
      </c>
      <c r="BL43" s="302">
        <f>BL42/BL41</f>
        <v>787.97140806591494</v>
      </c>
      <c r="BM43" s="66"/>
      <c r="BN43" s="66"/>
      <c r="BO43" s="60"/>
      <c r="BP43" s="60"/>
      <c r="BQ43" s="60"/>
      <c r="BR43" s="59"/>
      <c r="BS43" s="158"/>
      <c r="BT43" s="66"/>
      <c r="BU43" s="60"/>
      <c r="BV43" s="60"/>
      <c r="BW43" s="59"/>
      <c r="BX43" s="173"/>
      <c r="BY43" s="173"/>
      <c r="BZ43" s="173"/>
      <c r="CA43" s="173"/>
      <c r="CB43" s="173"/>
      <c r="CC43" s="65" t="s">
        <v>196</v>
      </c>
      <c r="CD43" s="61"/>
      <c r="CE43" s="61"/>
      <c r="CF43" s="66"/>
      <c r="CG43" s="66"/>
      <c r="CH43" s="60"/>
      <c r="CI43" s="60"/>
      <c r="CJ43" s="60"/>
      <c r="CK43" s="59"/>
      <c r="CL43" s="158"/>
      <c r="CM43" s="68"/>
      <c r="CN43" s="68"/>
      <c r="CO43" s="68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180"/>
      <c r="DN43" s="65" t="s">
        <v>203</v>
      </c>
      <c r="DO43" s="61"/>
      <c r="DP43" s="60"/>
      <c r="DQ43" s="60"/>
      <c r="EA43" s="184" t="s">
        <v>200</v>
      </c>
      <c r="EB43" s="61"/>
      <c r="EC43" s="61"/>
    </row>
    <row r="44" spans="1:133" ht="38.25" x14ac:dyDescent="0.2">
      <c r="A44" s="113" t="s">
        <v>79</v>
      </c>
      <c r="B44" s="114" t="s">
        <v>144</v>
      </c>
      <c r="C44" s="110" t="s">
        <v>78</v>
      </c>
      <c r="D44" s="110" t="s">
        <v>77</v>
      </c>
      <c r="E44" s="110" t="s">
        <v>76</v>
      </c>
      <c r="F44" s="115" t="s">
        <v>75</v>
      </c>
      <c r="G44" s="110" t="s">
        <v>74</v>
      </c>
      <c r="H44" s="116" t="s">
        <v>73</v>
      </c>
      <c r="I44" s="113" t="s">
        <v>72</v>
      </c>
      <c r="J44" s="110" t="s">
        <v>71</v>
      </c>
      <c r="K44" s="147" t="s">
        <v>70</v>
      </c>
      <c r="L44" s="114" t="s">
        <v>169</v>
      </c>
      <c r="M44" s="147" t="s">
        <v>170</v>
      </c>
      <c r="N44" s="114" t="s">
        <v>69</v>
      </c>
      <c r="O44" s="117" t="s">
        <v>156</v>
      </c>
      <c r="P44" s="112" t="s">
        <v>68</v>
      </c>
      <c r="Q44" s="112"/>
      <c r="R44" s="111" t="s">
        <v>237</v>
      </c>
      <c r="S44" s="112"/>
      <c r="T44" s="112"/>
      <c r="U44" s="112"/>
      <c r="V44" s="112"/>
      <c r="W44" s="112"/>
      <c r="X44" s="115"/>
      <c r="Y44" s="112" t="s">
        <v>67</v>
      </c>
      <c r="Z44" s="112"/>
      <c r="AA44" s="112"/>
      <c r="AB44" s="112"/>
      <c r="AC44" s="112"/>
      <c r="AD44" s="112"/>
      <c r="AE44" s="112"/>
      <c r="AF44" s="111" t="s">
        <v>155</v>
      </c>
      <c r="AG44" s="141" t="s">
        <v>66</v>
      </c>
      <c r="AH44" s="179" t="s">
        <v>197</v>
      </c>
      <c r="AI44" s="161" t="s">
        <v>64</v>
      </c>
      <c r="AJ44" s="165" t="s">
        <v>165</v>
      </c>
      <c r="AK44" s="166" t="s">
        <v>65</v>
      </c>
      <c r="AL44" s="179" t="s">
        <v>192</v>
      </c>
      <c r="AM44" s="174" t="s">
        <v>63</v>
      </c>
      <c r="AN44" s="116"/>
      <c r="AO44" s="116" t="s">
        <v>62</v>
      </c>
      <c r="AP44" s="114" t="s">
        <v>158</v>
      </c>
      <c r="AQ44" s="128"/>
      <c r="AR44" s="114" t="s">
        <v>159</v>
      </c>
      <c r="AS44" s="52"/>
      <c r="AT44" s="116" t="s">
        <v>60</v>
      </c>
      <c r="AU44" s="159" t="s">
        <v>176</v>
      </c>
      <c r="AV44" s="160" t="s">
        <v>185</v>
      </c>
      <c r="AW44" s="57" t="s">
        <v>108</v>
      </c>
      <c r="AX44" s="57" t="s">
        <v>107</v>
      </c>
      <c r="AY44" s="56" t="s">
        <v>106</v>
      </c>
      <c r="AZ44" s="142"/>
      <c r="BA44" s="142"/>
      <c r="BB44" s="142"/>
      <c r="BC44" s="142"/>
      <c r="BD44" s="142"/>
      <c r="BE44" s="165" t="s">
        <v>165</v>
      </c>
      <c r="BF44" s="185" t="s">
        <v>259</v>
      </c>
      <c r="BG44" s="185"/>
      <c r="BH44" s="185"/>
      <c r="BI44" s="166" t="s">
        <v>65</v>
      </c>
      <c r="BJ44" s="179" t="s">
        <v>192</v>
      </c>
      <c r="BK44" s="174" t="s">
        <v>63</v>
      </c>
      <c r="BL44" s="116"/>
      <c r="BM44" s="116" t="s">
        <v>62</v>
      </c>
      <c r="BN44" s="114" t="s">
        <v>158</v>
      </c>
      <c r="BO44" s="128"/>
      <c r="BP44" s="114" t="s">
        <v>159</v>
      </c>
      <c r="BQ44" s="52"/>
      <c r="BR44" s="116" t="s">
        <v>60</v>
      </c>
      <c r="BS44" s="159" t="s">
        <v>176</v>
      </c>
      <c r="BT44" s="160" t="s">
        <v>185</v>
      </c>
      <c r="BU44" s="57" t="s">
        <v>108</v>
      </c>
      <c r="BV44" s="57" t="s">
        <v>107</v>
      </c>
      <c r="BW44" s="56" t="s">
        <v>106</v>
      </c>
      <c r="BX44" s="142"/>
      <c r="BY44" s="142"/>
      <c r="BZ44" s="142"/>
      <c r="CA44" s="142"/>
      <c r="CB44" s="142"/>
      <c r="CC44" s="179" t="s">
        <v>192</v>
      </c>
      <c r="CD44" s="181" t="s">
        <v>207</v>
      </c>
      <c r="CE44" s="116"/>
      <c r="CF44" s="116" t="s">
        <v>62</v>
      </c>
      <c r="CG44" s="114" t="s">
        <v>158</v>
      </c>
      <c r="CH44" s="128"/>
      <c r="CI44" s="114" t="s">
        <v>159</v>
      </c>
      <c r="CJ44" s="52"/>
      <c r="CK44" s="116" t="s">
        <v>60</v>
      </c>
      <c r="CL44" s="126" t="s">
        <v>82</v>
      </c>
      <c r="CM44" s="156"/>
      <c r="CN44" s="156"/>
      <c r="CO44" s="157"/>
      <c r="CP44" s="156" t="s">
        <v>194</v>
      </c>
      <c r="CQ44" s="156"/>
      <c r="CR44" s="156"/>
      <c r="CS44" s="156"/>
      <c r="CT44" s="156"/>
      <c r="CU44" s="156"/>
      <c r="CV44" s="156"/>
      <c r="CW44" s="156"/>
      <c r="CX44" s="156"/>
      <c r="CY44" s="156"/>
      <c r="CZ44" s="156"/>
      <c r="DA44" s="156"/>
      <c r="DB44" s="156"/>
      <c r="DC44" s="156"/>
      <c r="DD44" s="157"/>
      <c r="DE44" s="156"/>
      <c r="DF44" s="157"/>
      <c r="DN44" s="179" t="s">
        <v>204</v>
      </c>
      <c r="DO44" s="181" t="s">
        <v>206</v>
      </c>
      <c r="DP44" s="114" t="s">
        <v>159</v>
      </c>
      <c r="DQ44" s="52"/>
      <c r="EA44" s="141"/>
      <c r="EB44" s="161"/>
      <c r="EC44" s="161"/>
    </row>
    <row r="45" spans="1:133" x14ac:dyDescent="0.2">
      <c r="A45" s="55"/>
      <c r="B45" s="46"/>
      <c r="C45" s="47"/>
      <c r="D45" s="52"/>
      <c r="E45" s="52"/>
      <c r="F45" s="54"/>
      <c r="G45" s="52"/>
      <c r="H45" s="52"/>
      <c r="I45" s="53"/>
      <c r="J45" s="46"/>
      <c r="K45" s="51"/>
      <c r="L45" s="52"/>
      <c r="M45" s="54"/>
      <c r="N45" s="49" t="s">
        <v>56</v>
      </c>
      <c r="O45" s="49" t="s">
        <v>59</v>
      </c>
      <c r="P45" s="47" t="s">
        <v>58</v>
      </c>
      <c r="Q45" s="47"/>
      <c r="R45" s="46" t="s">
        <v>238</v>
      </c>
      <c r="S45" s="46" t="s">
        <v>139</v>
      </c>
      <c r="T45" s="46" t="s">
        <v>233</v>
      </c>
      <c r="U45" s="46" t="s">
        <v>234</v>
      </c>
      <c r="V45" s="46" t="s">
        <v>235</v>
      </c>
      <c r="W45" s="46" t="s">
        <v>239</v>
      </c>
      <c r="X45" s="51" t="s">
        <v>146</v>
      </c>
      <c r="Y45" s="46" t="s">
        <v>230</v>
      </c>
      <c r="Z45" s="46" t="s">
        <v>232</v>
      </c>
      <c r="AA45" s="46" t="s">
        <v>233</v>
      </c>
      <c r="AB45" s="46" t="s">
        <v>234</v>
      </c>
      <c r="AC45" s="46" t="s">
        <v>235</v>
      </c>
      <c r="AD45" s="46" t="s">
        <v>236</v>
      </c>
      <c r="AE45" s="46" t="s">
        <v>141</v>
      </c>
      <c r="AF45" s="46" t="s">
        <v>145</v>
      </c>
      <c r="AG45" s="101" t="s">
        <v>57</v>
      </c>
      <c r="AH45" s="48" t="s">
        <v>54</v>
      </c>
      <c r="AI45" s="47" t="s">
        <v>53</v>
      </c>
      <c r="AJ45" s="48" t="s">
        <v>55</v>
      </c>
      <c r="AK45" s="45" t="s">
        <v>56</v>
      </c>
      <c r="AL45" s="179" t="s">
        <v>90</v>
      </c>
      <c r="AM45" s="52" t="s">
        <v>186</v>
      </c>
      <c r="AN45" s="46" t="s">
        <v>188</v>
      </c>
      <c r="AO45" s="47" t="s">
        <v>52</v>
      </c>
      <c r="AP45" s="127" t="s">
        <v>61</v>
      </c>
      <c r="AQ45" s="125" t="s">
        <v>157</v>
      </c>
      <c r="AR45" s="127" t="s">
        <v>61</v>
      </c>
      <c r="AS45" s="125" t="s">
        <v>157</v>
      </c>
      <c r="AT45" s="49"/>
      <c r="AU45" s="55"/>
      <c r="AV45" s="46"/>
      <c r="AW45" s="46"/>
      <c r="AX45" s="46"/>
      <c r="AY45" s="51"/>
      <c r="AZ45" s="142"/>
      <c r="BA45" s="142"/>
      <c r="BB45" s="142"/>
      <c r="BC45" s="142"/>
      <c r="BD45" s="142"/>
      <c r="BE45" s="48" t="s">
        <v>55</v>
      </c>
      <c r="BF45" s="52"/>
      <c r="BG45" s="49"/>
      <c r="BH45" s="49"/>
      <c r="BI45" s="45" t="s">
        <v>56</v>
      </c>
      <c r="BJ45" s="179" t="s">
        <v>90</v>
      </c>
      <c r="BK45" s="52" t="s">
        <v>186</v>
      </c>
      <c r="BL45" s="46" t="s">
        <v>188</v>
      </c>
      <c r="BM45" s="47" t="s">
        <v>52</v>
      </c>
      <c r="BN45" s="127" t="s">
        <v>61</v>
      </c>
      <c r="BO45" s="125" t="s">
        <v>157</v>
      </c>
      <c r="BP45" s="127" t="s">
        <v>61</v>
      </c>
      <c r="BQ45" s="125" t="s">
        <v>157</v>
      </c>
      <c r="BR45" s="49"/>
      <c r="BS45" s="55"/>
      <c r="BT45" s="46"/>
      <c r="BU45" s="46"/>
      <c r="BV45" s="46"/>
      <c r="BW45" s="51"/>
      <c r="BX45" s="142"/>
      <c r="BY45" s="142"/>
      <c r="BZ45" s="142"/>
      <c r="CA45" s="142"/>
      <c r="CB45" s="142"/>
      <c r="CC45" s="179" t="s">
        <v>90</v>
      </c>
      <c r="CD45" s="52"/>
      <c r="CE45" s="46" t="s">
        <v>188</v>
      </c>
      <c r="CF45" s="47" t="s">
        <v>52</v>
      </c>
      <c r="CG45" s="127" t="s">
        <v>61</v>
      </c>
      <c r="CH45" s="125" t="s">
        <v>157</v>
      </c>
      <c r="CI45" s="127" t="s">
        <v>61</v>
      </c>
      <c r="CJ45" s="125" t="s">
        <v>157</v>
      </c>
      <c r="CK45" s="49"/>
      <c r="CL45" s="55"/>
      <c r="CM45" s="46"/>
      <c r="CN45" s="46"/>
      <c r="CO45" s="51"/>
      <c r="CP45" s="159" t="s">
        <v>167</v>
      </c>
      <c r="CQ45" s="160"/>
      <c r="CR45" s="160"/>
      <c r="CS45" s="160"/>
      <c r="CT45" s="269"/>
      <c r="CU45" s="159" t="s">
        <v>175</v>
      </c>
      <c r="CV45" s="160"/>
      <c r="CW45" s="160"/>
      <c r="CX45" s="160"/>
      <c r="CY45" s="269"/>
      <c r="CZ45" s="159" t="s">
        <v>178</v>
      </c>
      <c r="DA45" s="160"/>
      <c r="DB45" s="160"/>
      <c r="DC45" s="160"/>
      <c r="DD45" s="269"/>
      <c r="DE45" s="46" t="s">
        <v>167</v>
      </c>
      <c r="DF45" s="51"/>
      <c r="DN45" s="179"/>
      <c r="DO45" s="52"/>
      <c r="DP45" s="127" t="s">
        <v>61</v>
      </c>
      <c r="DQ45" s="125" t="s">
        <v>157</v>
      </c>
      <c r="EA45" s="172" t="s">
        <v>198</v>
      </c>
      <c r="EB45" s="46" t="s">
        <v>199</v>
      </c>
      <c r="EC45" s="46"/>
    </row>
    <row r="46" spans="1:133" x14ac:dyDescent="0.2">
      <c r="A46" s="44"/>
      <c r="B46" s="35"/>
      <c r="C46" s="43"/>
      <c r="D46" s="39"/>
      <c r="E46" s="39"/>
      <c r="F46" s="42"/>
      <c r="G46" s="41"/>
      <c r="H46" s="41" t="s">
        <v>51</v>
      </c>
      <c r="I46" s="40"/>
      <c r="J46" s="35"/>
      <c r="K46" s="37"/>
      <c r="L46" s="39" t="s">
        <v>326</v>
      </c>
      <c r="M46" s="42" t="s">
        <v>326</v>
      </c>
      <c r="N46" s="35" t="s">
        <v>50</v>
      </c>
      <c r="O46" s="38" t="s">
        <v>326</v>
      </c>
      <c r="P46" s="35" t="s">
        <v>48</v>
      </c>
      <c r="Q46" s="35"/>
      <c r="R46" s="35"/>
      <c r="S46" s="35" t="s">
        <v>231</v>
      </c>
      <c r="T46" s="35"/>
      <c r="U46" s="35"/>
      <c r="V46" s="35"/>
      <c r="W46" s="35"/>
      <c r="X46" s="37" t="s">
        <v>47</v>
      </c>
      <c r="Y46" s="35"/>
      <c r="Z46" s="35" t="s">
        <v>231</v>
      </c>
      <c r="AA46" s="35"/>
      <c r="AB46" s="35"/>
      <c r="AC46" s="35"/>
      <c r="AD46" s="35"/>
      <c r="AE46" s="35"/>
      <c r="AF46" s="35" t="s">
        <v>47</v>
      </c>
      <c r="AG46" s="102" t="s">
        <v>326</v>
      </c>
      <c r="AH46" s="40" t="s">
        <v>326</v>
      </c>
      <c r="AI46" s="39" t="s">
        <v>326</v>
      </c>
      <c r="AJ46" s="102" t="s">
        <v>326</v>
      </c>
      <c r="AK46" s="42" t="s">
        <v>327</v>
      </c>
      <c r="AL46" s="36"/>
      <c r="AM46" s="39" t="s">
        <v>187</v>
      </c>
      <c r="AN46" s="35" t="s">
        <v>189</v>
      </c>
      <c r="AO46" s="35"/>
      <c r="AP46" s="35"/>
      <c r="AQ46" s="35"/>
      <c r="AR46" s="35"/>
      <c r="AS46" s="35"/>
      <c r="AT46" s="41"/>
      <c r="AU46" s="44"/>
      <c r="AV46" s="35"/>
      <c r="AW46" s="35"/>
      <c r="AX46" s="35"/>
      <c r="AY46" s="37"/>
      <c r="AZ46" s="49"/>
      <c r="BA46" s="49"/>
      <c r="BB46" s="49"/>
      <c r="BC46" s="49"/>
      <c r="BD46" s="49"/>
      <c r="BE46" s="102" t="s">
        <v>164</v>
      </c>
      <c r="BF46" s="186"/>
      <c r="BG46" s="186"/>
      <c r="BH46" s="186"/>
      <c r="BI46" s="42" t="s">
        <v>148</v>
      </c>
      <c r="BJ46" s="36"/>
      <c r="BK46" s="39" t="s">
        <v>187</v>
      </c>
      <c r="BL46" s="35" t="s">
        <v>189</v>
      </c>
      <c r="BM46" s="35"/>
      <c r="BN46" s="35"/>
      <c r="BO46" s="35"/>
      <c r="BP46" s="35"/>
      <c r="BQ46" s="35"/>
      <c r="BR46" s="41"/>
      <c r="BS46" s="44"/>
      <c r="BT46" s="35"/>
      <c r="BU46" s="35"/>
      <c r="BV46" s="35"/>
      <c r="BW46" s="37"/>
      <c r="BX46" s="49"/>
      <c r="BY46" s="49"/>
      <c r="BZ46" s="49"/>
      <c r="CA46" s="49"/>
      <c r="CB46" s="49"/>
      <c r="CC46" s="36"/>
      <c r="CD46" s="39" t="s">
        <v>208</v>
      </c>
      <c r="CE46" s="35" t="s">
        <v>189</v>
      </c>
      <c r="CF46" s="35"/>
      <c r="CG46" s="35"/>
      <c r="CH46" s="35"/>
      <c r="CI46" s="35"/>
      <c r="CJ46" s="35"/>
      <c r="CK46" s="41"/>
      <c r="CL46" s="44" t="s">
        <v>195</v>
      </c>
      <c r="CM46" s="39" t="s">
        <v>177</v>
      </c>
      <c r="CN46" s="39" t="s">
        <v>56</v>
      </c>
      <c r="CO46" s="42" t="s">
        <v>179</v>
      </c>
      <c r="CP46" s="40" t="s">
        <v>171</v>
      </c>
      <c r="CQ46" s="39" t="s">
        <v>86</v>
      </c>
      <c r="CR46" s="39" t="s">
        <v>275</v>
      </c>
      <c r="CS46" s="39" t="s">
        <v>274</v>
      </c>
      <c r="CT46" s="42" t="s">
        <v>308</v>
      </c>
      <c r="CU46" s="40" t="s">
        <v>171</v>
      </c>
      <c r="CV46" s="39" t="s">
        <v>86</v>
      </c>
      <c r="CW46" s="39" t="s">
        <v>275</v>
      </c>
      <c r="CX46" s="39" t="s">
        <v>274</v>
      </c>
      <c r="CY46" s="42" t="s">
        <v>308</v>
      </c>
      <c r="CZ46" s="40" t="s">
        <v>171</v>
      </c>
      <c r="DA46" s="39" t="s">
        <v>86</v>
      </c>
      <c r="DB46" s="39" t="s">
        <v>275</v>
      </c>
      <c r="DC46" s="39" t="s">
        <v>274</v>
      </c>
      <c r="DD46" s="42" t="s">
        <v>308</v>
      </c>
      <c r="DE46" s="39" t="s">
        <v>171</v>
      </c>
      <c r="DF46" s="42" t="s">
        <v>180</v>
      </c>
      <c r="DN46" s="40" t="s">
        <v>205</v>
      </c>
      <c r="DO46" s="39" t="s">
        <v>140</v>
      </c>
      <c r="DP46" s="35"/>
      <c r="DQ46" s="35"/>
      <c r="EA46" s="102"/>
      <c r="EB46" s="41"/>
      <c r="EC46" s="41"/>
    </row>
    <row r="47" spans="1:133" outlineLevel="1" x14ac:dyDescent="0.2">
      <c r="A47" s="8"/>
      <c r="C47" s="13"/>
      <c r="D47" s="1"/>
      <c r="E47" s="1"/>
      <c r="F47" s="6"/>
      <c r="G47" s="1"/>
      <c r="I47" s="11"/>
      <c r="K47" s="9"/>
      <c r="L47" s="13"/>
      <c r="M47" s="19"/>
      <c r="N47"/>
      <c r="O47" s="20"/>
      <c r="P47" s="13"/>
      <c r="Q47" s="13"/>
      <c r="R47" s="13"/>
      <c r="S47" s="13"/>
      <c r="T47" s="13"/>
      <c r="U47" s="13"/>
      <c r="V47" s="13"/>
      <c r="W47" s="13"/>
      <c r="X47" s="19"/>
      <c r="Y47" s="13"/>
      <c r="Z47" s="13"/>
      <c r="AA47" s="13"/>
      <c r="AB47" s="13"/>
      <c r="AC47" s="13"/>
      <c r="AD47" s="13"/>
      <c r="AF47" s="13"/>
      <c r="AG47" s="121"/>
      <c r="AH47" s="11"/>
      <c r="AI47" s="13"/>
      <c r="AJ47" s="103"/>
      <c r="AK47" s="33"/>
      <c r="AL47" s="8"/>
      <c r="AM47" s="89"/>
      <c r="AP47"/>
      <c r="AQ47"/>
      <c r="AR47"/>
      <c r="AT47" s="14"/>
      <c r="BE47" s="103"/>
      <c r="BF47" s="187"/>
      <c r="BG47" s="187"/>
      <c r="BH47" s="187"/>
      <c r="BI47" s="33"/>
      <c r="BJ47" s="8"/>
      <c r="BK47" s="89"/>
      <c r="BN47"/>
      <c r="BO47"/>
      <c r="BP47"/>
      <c r="BR47" s="14"/>
      <c r="CC47" s="8"/>
      <c r="CD47" s="89"/>
      <c r="CG47"/>
      <c r="CH47"/>
      <c r="CI47"/>
      <c r="CK47" s="14"/>
      <c r="CL47" s="321" t="s">
        <v>41</v>
      </c>
      <c r="CM47" s="341">
        <f>AVERAGE($P64:$P65,$P$87,$P91:$P93)</f>
        <v>2.1299999999999994</v>
      </c>
      <c r="CN47" s="341">
        <f>AVERAGE($N64:$N65,$N$87,$N91:$N93)</f>
        <v>78.106666524406947</v>
      </c>
      <c r="CO47" s="342">
        <f>AVERAGE($AF64:$AF65,$AF$87,$AF91:$AF93)</f>
        <v>1.5196054935062497E-6</v>
      </c>
      <c r="CP47" s="343">
        <f>COUNT($CD64:$CD65,$CD$87,$CD91:$CD93)</f>
        <v>6</v>
      </c>
      <c r="CQ47" s="344">
        <f>PERCENTILE(($CD64:$CD65,$CD$87,$CD91:$CD93),0)</f>
        <v>35</v>
      </c>
      <c r="CR47" s="344">
        <f>PERCENTILE(($CD64:$CD65,$CD$87,$CD91:$CD93),0.1)</f>
        <v>35</v>
      </c>
      <c r="CS47" s="344">
        <f>PERCENTILE(($CD64:$CD65,$CD$87,$CD91:$CD93),0.5)</f>
        <v>2537.4500000000003</v>
      </c>
      <c r="CT47" s="344">
        <f>PERCENTILE(($CD64:$CD65,$CD$87,$CD91:$CD93),0.9)</f>
        <v>65750</v>
      </c>
      <c r="CU47" s="343">
        <f>COUNT($CD64:$CD65,$CD91:$CD93)</f>
        <v>5</v>
      </c>
      <c r="CV47" s="344">
        <f>PERCENTILE(($CD64:$CD65,$CD91:$CD93),0)</f>
        <v>35</v>
      </c>
      <c r="CW47" s="344">
        <f>PERCENTILE(($CD64:$CD65,$CD91:$CD93),0.1)</f>
        <v>90.95999999999998</v>
      </c>
      <c r="CX47" s="344">
        <f>PERCENTILE(($CD64:$CD65,$CD91:$CD93),0.5)</f>
        <v>4900</v>
      </c>
      <c r="CY47" s="345">
        <f>PERCENTILE(($CD64:$CD65,$CD91:$CD93),0.9)</f>
        <v>76599.999999999956</v>
      </c>
      <c r="CZ47" s="346">
        <f>COUNT($CD87)</f>
        <v>1</v>
      </c>
      <c r="DA47" s="344">
        <f>PERCENTILE($CD87,0)</f>
        <v>35</v>
      </c>
      <c r="DB47" s="344">
        <f>PERCENTILE($CD87,0.1)</f>
        <v>35</v>
      </c>
      <c r="DC47" s="344">
        <f>PERCENTILE($CD87,0.5)</f>
        <v>35</v>
      </c>
      <c r="DD47" s="345">
        <f>PERCENTILE($CD87,0.9)</f>
        <v>35</v>
      </c>
      <c r="DE47" s="344">
        <f>CU47+CZ47</f>
        <v>6</v>
      </c>
      <c r="DF47" s="345">
        <f>MIN(DA47,CY47)</f>
        <v>35</v>
      </c>
      <c r="EA47" s="103"/>
      <c r="EB47" s="13"/>
      <c r="EC47" s="13"/>
    </row>
    <row r="48" spans="1:133" x14ac:dyDescent="0.2">
      <c r="A48" s="8"/>
      <c r="F48" s="9"/>
      <c r="I48" s="8"/>
      <c r="K48" s="9"/>
      <c r="L48" s="13"/>
      <c r="M48" s="19"/>
      <c r="N48"/>
      <c r="O48" s="13"/>
      <c r="P48" s="13"/>
      <c r="Q48" s="13"/>
      <c r="R48" s="13"/>
      <c r="S48" s="13"/>
      <c r="T48" s="13"/>
      <c r="U48" s="13"/>
      <c r="V48" s="13"/>
      <c r="W48" s="13"/>
      <c r="X48" s="19"/>
      <c r="Y48" s="13"/>
      <c r="Z48" s="13"/>
      <c r="AA48" s="13"/>
      <c r="AB48" s="13"/>
      <c r="AC48" s="13"/>
      <c r="AD48" s="13"/>
      <c r="AF48" s="13"/>
      <c r="AG48" s="34"/>
      <c r="AH48" s="17">
        <v>1E-3</v>
      </c>
      <c r="AJ48" s="103"/>
      <c r="AK48" s="14"/>
      <c r="AL48" s="8"/>
      <c r="AM48" s="92"/>
      <c r="AN48" s="135"/>
      <c r="AO48" s="1"/>
      <c r="AP48"/>
      <c r="AQ48"/>
      <c r="AR48"/>
      <c r="AT48" s="6"/>
      <c r="BE48" s="190"/>
      <c r="BF48" s="97"/>
      <c r="BG48" s="189"/>
      <c r="BH48" s="189"/>
      <c r="BI48" s="14"/>
      <c r="BJ48" s="8"/>
      <c r="BK48" s="92"/>
      <c r="BL48" s="135"/>
      <c r="BM48" s="1"/>
      <c r="BN48"/>
      <c r="BO48"/>
      <c r="BP48"/>
      <c r="BR48" s="6"/>
      <c r="CC48" s="8"/>
      <c r="CD48" s="92"/>
      <c r="CE48" s="135"/>
      <c r="CF48" s="1"/>
      <c r="CG48"/>
      <c r="CH48"/>
      <c r="CI48"/>
      <c r="CK48" s="6"/>
      <c r="CL48" s="338" t="s">
        <v>8</v>
      </c>
      <c r="CM48" s="347">
        <f>AVERAGE($P51:$P51,$P66:$P72)</f>
        <v>1.9066666666666667</v>
      </c>
      <c r="CN48" s="347">
        <f>AVERAGE($N51:$N51,$N66:$N72)</f>
        <v>96.950000000000017</v>
      </c>
      <c r="CO48" s="348">
        <f>AVERAGE($AF51:$AF51,$AF66:$AF72)</f>
        <v>4.22926922189417E-7</v>
      </c>
      <c r="CP48" s="255">
        <f>COUNT($CD51:$CD51,$CD66:$CD72)</f>
        <v>8</v>
      </c>
      <c r="CQ48" s="256">
        <f>PERCENTILE(($CD51:$CD51,$CD66:$CD72),0)</f>
        <v>343.73983739837399</v>
      </c>
      <c r="CR48" s="256">
        <f>PERCENTILE(($CD51:$CD51,$CD66:$CD72),0.1)</f>
        <v>38507.121951219524</v>
      </c>
      <c r="CS48" s="256">
        <f>PERCENTILE(($CD51:$CD51,$CD66:$CD72),0.5)</f>
        <v>54862.857142857145</v>
      </c>
      <c r="CT48" s="256">
        <f>PERCENTILE(($CD51:$CD51,$CD66:$CD72),0.9)</f>
        <v>137145.14285714287</v>
      </c>
      <c r="CU48" s="255">
        <f>COUNT($CD66:$CD72)</f>
        <v>7</v>
      </c>
      <c r="CV48" s="256">
        <f>PERCENTILE(($CD66:$CD72),0)</f>
        <v>54862.857142857145</v>
      </c>
      <c r="CW48" s="256">
        <f>PERCENTILE(($CD66:$CD72),0.1)</f>
        <v>54862.857142857145</v>
      </c>
      <c r="CX48" s="256">
        <f>PERCENTILE(($CD66:$CD72),0.5)</f>
        <v>54862.857142857145</v>
      </c>
      <c r="CY48" s="349">
        <f>PERCENTILE(($CD66:$CD72),0.9)</f>
        <v>137145.14285714287</v>
      </c>
      <c r="CZ48" s="273">
        <f>COUNT($CD51)</f>
        <v>1</v>
      </c>
      <c r="DA48" s="256">
        <f>PERCENTILE($CD51,0)</f>
        <v>343.73983739837399</v>
      </c>
      <c r="DB48" s="256">
        <f>PERCENTILE($CD51,0.1)</f>
        <v>343.73983739837399</v>
      </c>
      <c r="DC48" s="256">
        <f>PERCENTILE($CD51,0.5)</f>
        <v>343.73983739837399</v>
      </c>
      <c r="DD48" s="349">
        <f>PERCENTILE($CD51,0.9)</f>
        <v>343.73983739837399</v>
      </c>
      <c r="DE48" s="256">
        <f t="shared" ref="DE48:DE58" si="0">CU48+CZ48</f>
        <v>8</v>
      </c>
      <c r="DF48" s="349">
        <f>MIN(DA48,CY48)</f>
        <v>343.73983739837399</v>
      </c>
      <c r="EA48" s="103"/>
    </row>
    <row r="49" spans="1:133" x14ac:dyDescent="0.2">
      <c r="B49" s="58"/>
      <c r="F49" s="9"/>
      <c r="I49" s="8"/>
      <c r="K49" s="9"/>
      <c r="L49" s="13">
        <v>1E-3</v>
      </c>
      <c r="M49" s="19"/>
      <c r="N49"/>
      <c r="O49" s="13"/>
      <c r="P49" s="13"/>
      <c r="Q49" s="13"/>
      <c r="R49" s="13"/>
      <c r="S49" s="13"/>
      <c r="T49" s="13"/>
      <c r="U49" s="13"/>
      <c r="V49" s="13"/>
      <c r="W49" s="13"/>
      <c r="X49" s="118"/>
      <c r="Y49" s="13"/>
      <c r="Z49" s="13"/>
      <c r="AA49" s="13"/>
      <c r="AB49" s="13"/>
      <c r="AC49" s="13"/>
      <c r="AD49" s="13"/>
      <c r="AE49" s="96"/>
      <c r="AF49" s="98"/>
      <c r="AG49" s="34"/>
      <c r="AH49" s="17"/>
      <c r="AI49" s="13"/>
      <c r="AJ49" s="103"/>
      <c r="AK49" s="14"/>
      <c r="AL49" s="8"/>
      <c r="AM49" s="92"/>
      <c r="AN49" s="135"/>
      <c r="AO49" s="1"/>
      <c r="AP49"/>
      <c r="AQ49"/>
      <c r="AR49"/>
      <c r="AT49" s="6"/>
      <c r="BE49" s="103"/>
      <c r="BF49" s="187"/>
      <c r="BG49" s="189"/>
      <c r="BH49" s="187"/>
      <c r="BI49" s="14"/>
      <c r="BJ49" s="8"/>
      <c r="BK49" s="92"/>
      <c r="BL49" s="135"/>
      <c r="BM49" s="1"/>
      <c r="BN49"/>
      <c r="BO49"/>
      <c r="BP49"/>
      <c r="BR49" s="6"/>
      <c r="CC49" s="8"/>
      <c r="CD49" s="92"/>
      <c r="CE49" s="135"/>
      <c r="CF49" s="1"/>
      <c r="CG49"/>
      <c r="CH49"/>
      <c r="CI49"/>
      <c r="CK49" s="6"/>
      <c r="CL49" s="285" t="s">
        <v>12</v>
      </c>
      <c r="CM49" s="347">
        <f>AVERAGE($P52:$P59,$P78,$P86,$P107:$P108)</f>
        <v>3.399999999999999</v>
      </c>
      <c r="CN49" s="347">
        <f>AVERAGE($N52:$N59,$N78,$N86,$N107:$N108)</f>
        <v>165.80749949115742</v>
      </c>
      <c r="CO49" s="348">
        <f>AVERAGE($AF52:$AF59,$AF78,$AF86,$AF107:$AF108)</f>
        <v>2.9526387382479905E-6</v>
      </c>
      <c r="CP49" s="255">
        <f>COUNT($CD52:$CD59,$CD78,$CD86,$CD107:$CD108)</f>
        <v>12</v>
      </c>
      <c r="CQ49" s="256">
        <f>PERCENTILE(($CD52:$CD59,$CD78,$CD86,$CD107:$CD108),0)</f>
        <v>209.12824082129811</v>
      </c>
      <c r="CR49" s="256">
        <f>PERCENTILE(($CD52:$CD59,$CD78,$CD86,$CD107:$CD108),0.1)</f>
        <v>368.7466976516634</v>
      </c>
      <c r="CS49" s="256">
        <f>PERCENTILE(($CD52:$CD59,$CD78,$CD86,$CD107:$CD108),0.5)</f>
        <v>6130.3884854602893</v>
      </c>
      <c r="CT49" s="256">
        <f>PERCENTILE(($CD52:$CD59,$CD78,$CD86,$CD107:$CD108),0.9)</f>
        <v>44972.314285714288</v>
      </c>
      <c r="CU49" s="255">
        <f>COUNT($CD78,CD107:$CD108)</f>
        <v>3</v>
      </c>
      <c r="CV49" s="256">
        <f>PERCENTILE(($CD78,CD107:$CD108),0)</f>
        <v>13000</v>
      </c>
      <c r="CW49" s="256">
        <f>PERCENTILE(($CD78,CD107:$CD108),0.1)</f>
        <v>19600</v>
      </c>
      <c r="CX49" s="256">
        <f>PERCENTILE(($CD78,CD107:$CD108),0.5)</f>
        <v>46000</v>
      </c>
      <c r="CY49" s="349">
        <f>PERCENTILE(($CD78,CD107:$CD108),0.9)</f>
        <v>123514.05714285711</v>
      </c>
      <c r="CZ49" s="273">
        <f>COUNT($CD52:$CD59,$CD86)</f>
        <v>9</v>
      </c>
      <c r="DA49" s="256">
        <f>PERCENTILE(($CD52:$CD59,$CD86),0)</f>
        <v>209.12824082129811</v>
      </c>
      <c r="DB49" s="256">
        <f>PERCENTILE(($CD52:$CD59,$CD86),0.1)</f>
        <v>335.82271274351598</v>
      </c>
      <c r="DC49" s="256">
        <f>PERCENTILE(($CD52:$CD59,$CD86),0.5)</f>
        <v>574.468085106383</v>
      </c>
      <c r="DD49" s="349">
        <f>PERCENTILE(($CD52:$CD59,$CD86),0.9)</f>
        <v>22406.342857142845</v>
      </c>
      <c r="DE49" s="256">
        <f t="shared" si="0"/>
        <v>12</v>
      </c>
      <c r="DF49" s="349">
        <f>MIN(DA49,CY49)</f>
        <v>209.12824082129811</v>
      </c>
      <c r="EA49" s="103"/>
      <c r="EB49" s="13"/>
      <c r="EC49" s="13"/>
    </row>
    <row r="50" spans="1:133" x14ac:dyDescent="0.2">
      <c r="A50" s="12" t="s">
        <v>45</v>
      </c>
      <c r="B50" s="58"/>
      <c r="F50" s="9"/>
      <c r="I50" s="8"/>
      <c r="K50" s="9"/>
      <c r="L50" s="13"/>
      <c r="M50" s="19"/>
      <c r="N50"/>
      <c r="O50" s="13"/>
      <c r="P50" s="13"/>
      <c r="Q50" s="13"/>
      <c r="R50" s="13"/>
      <c r="S50" s="13"/>
      <c r="T50" s="13"/>
      <c r="U50" s="13"/>
      <c r="V50" s="13"/>
      <c r="W50" s="13"/>
      <c r="X50" s="118"/>
      <c r="Y50" s="13"/>
      <c r="Z50" s="13"/>
      <c r="AA50" s="13"/>
      <c r="AB50" s="13"/>
      <c r="AC50" s="13"/>
      <c r="AD50" s="13"/>
      <c r="AE50" s="96"/>
      <c r="AF50" s="98"/>
      <c r="AG50" s="34"/>
      <c r="AH50" s="17"/>
      <c r="AI50" s="13"/>
      <c r="AJ50" s="103"/>
      <c r="AK50" s="14"/>
      <c r="AL50" s="8"/>
      <c r="AM50" s="92"/>
      <c r="AN50" s="134"/>
      <c r="AO50" s="1"/>
      <c r="AP50"/>
      <c r="AQ50"/>
      <c r="AR50"/>
      <c r="AT50" s="6"/>
      <c r="BE50" s="8" t="e">
        <f>BI50*$E$38/$E$40</f>
        <v>#DIV/0!</v>
      </c>
      <c r="BF50" s="16"/>
      <c r="BG50" s="16"/>
      <c r="BH50" s="189"/>
      <c r="BI50" s="6" t="e">
        <f t="shared" ref="BI50:BI60" si="1">(1/BF50)*AF50*AG50*E$41/E$32</f>
        <v>#DIV/0!</v>
      </c>
      <c r="BJ50" s="8"/>
      <c r="BK50" s="92"/>
      <c r="BL50" s="134"/>
      <c r="BM50" s="1"/>
      <c r="BN50"/>
      <c r="BO50"/>
      <c r="BP50"/>
      <c r="BR50" s="6"/>
      <c r="CC50" s="8"/>
      <c r="CD50" s="92"/>
      <c r="CE50" s="134"/>
      <c r="CF50" s="1"/>
      <c r="CG50"/>
      <c r="CH50"/>
      <c r="CI50"/>
      <c r="CK50" s="6"/>
      <c r="CL50" s="285" t="s">
        <v>173</v>
      </c>
      <c r="CM50" s="347">
        <f>AVERAGE($P77)</f>
        <v>2.39</v>
      </c>
      <c r="CN50" s="347">
        <f>AVERAGE($N77)</f>
        <v>167.85</v>
      </c>
      <c r="CO50" s="348">
        <f>AVERAGE($AF77)</f>
        <v>1.4393113553192643E-7</v>
      </c>
      <c r="CP50" s="255">
        <f>COUNT($CD77)</f>
        <v>1</v>
      </c>
      <c r="CQ50" s="256">
        <f>PERCENTILE(($CD77),0)</f>
        <v>1479.9999999999998</v>
      </c>
      <c r="CR50" s="256">
        <f>PERCENTILE(($CD77),0.1)</f>
        <v>1479.9999999999998</v>
      </c>
      <c r="CS50" s="256">
        <f>PERCENTILE(($CD77),0.5)</f>
        <v>1479.9999999999998</v>
      </c>
      <c r="CT50" s="256">
        <f>PERCENTILE(($CD77),0.9)</f>
        <v>1479.9999999999998</v>
      </c>
      <c r="CU50" s="255">
        <f>COUNT($CD77)</f>
        <v>1</v>
      </c>
      <c r="CV50" s="256">
        <f>PERCENTILE(($CD77),0)</f>
        <v>1479.9999999999998</v>
      </c>
      <c r="CW50" s="256">
        <f>PERCENTILE(($CD77),0.1)</f>
        <v>1479.9999999999998</v>
      </c>
      <c r="CX50" s="256">
        <f>PERCENTILE(($CD77),0.5)</f>
        <v>1479.9999999999998</v>
      </c>
      <c r="CY50" s="349">
        <f>PERCENTILE(($CD77),0.9)</f>
        <v>1479.9999999999998</v>
      </c>
      <c r="CZ50" s="273"/>
      <c r="DA50" s="256"/>
      <c r="DB50" s="256"/>
      <c r="DC50" s="256"/>
      <c r="DD50" s="349"/>
      <c r="DE50" s="256">
        <f t="shared" si="0"/>
        <v>1</v>
      </c>
      <c r="DF50" s="260"/>
      <c r="EA50" s="103"/>
      <c r="EB50" s="13"/>
      <c r="EC50" s="13"/>
    </row>
    <row r="51" spans="1:133" x14ac:dyDescent="0.2">
      <c r="A51" s="21" t="s">
        <v>43</v>
      </c>
      <c r="B51" t="s">
        <v>143</v>
      </c>
      <c r="C51">
        <v>3</v>
      </c>
      <c r="D51" t="s">
        <v>17</v>
      </c>
      <c r="E51" t="s">
        <v>16</v>
      </c>
      <c r="F51" s="9">
        <v>14</v>
      </c>
      <c r="G51" s="26" t="s">
        <v>15</v>
      </c>
      <c r="H51" s="1">
        <v>14</v>
      </c>
      <c r="I51" s="11">
        <v>410</v>
      </c>
      <c r="J51" t="s">
        <v>21</v>
      </c>
      <c r="K51" s="6" t="s">
        <v>181</v>
      </c>
      <c r="L51" s="1">
        <v>1E-3</v>
      </c>
      <c r="M51" s="6">
        <v>0.02</v>
      </c>
      <c r="N51" s="1">
        <v>96.95</v>
      </c>
      <c r="O51" s="18">
        <f>VLOOKUP(I51,[1]CompDbase!$B:$K,9,FALSE)</f>
        <v>775.6</v>
      </c>
      <c r="P51" s="30">
        <v>1.906666666666667</v>
      </c>
      <c r="Q51" s="197"/>
      <c r="R51" s="1">
        <f>D$7*N51+D$8</f>
        <v>-11.77750626260643</v>
      </c>
      <c r="S51" s="1">
        <f>D$12*LOG(N51)+D$13</f>
        <v>43.961901653785603</v>
      </c>
      <c r="T51" s="1">
        <f>S51/(D$10*LN(10))*(1/(D$11+273)-1/(H51+273))</f>
        <v>-0.29535565187052482</v>
      </c>
      <c r="U51" s="1">
        <f t="shared" ref="U51:U60" si="2">D$15*(AG51/O51-D$16)</f>
        <v>-0.39173330404605328</v>
      </c>
      <c r="V51" s="197">
        <f>D$18</f>
        <v>0</v>
      </c>
      <c r="W51" s="197">
        <f>R51+T51+U51+V51</f>
        <v>-12.464595218523007</v>
      </c>
      <c r="X51" s="118">
        <f>24*60*60*10^W51</f>
        <v>2.96427522294771E-8</v>
      </c>
      <c r="Y51" s="1">
        <f>D$20*P51+D$21</f>
        <v>1.4021245208635156</v>
      </c>
      <c r="Z51" s="1">
        <f>D$25*LOG(O51)+D$26</f>
        <v>5.7032771294084306</v>
      </c>
      <c r="AA51" s="1">
        <f>Z51/(D$10*LN(10))*(1/(D$24+273)-1/(H51+273))</f>
        <v>-3.831715806155598E-2</v>
      </c>
      <c r="AB51" s="1">
        <f t="shared" ref="AB51:AB60" si="3">D$28*(AG51/O51-D$29)</f>
        <v>-0.10392453836932521</v>
      </c>
      <c r="AC51" s="197">
        <f>D$30</f>
        <v>0</v>
      </c>
      <c r="AD51" s="197">
        <f>Y51+AA51+AB51+AC51</f>
        <v>1.2598828244326343</v>
      </c>
      <c r="AE51" s="96">
        <f>10^AD51</f>
        <v>18.192099573268326</v>
      </c>
      <c r="AF51" s="98">
        <f>AE51*X51</f>
        <v>5.3926390018436909E-7</v>
      </c>
      <c r="AG51" s="290">
        <v>0.30199999999999999</v>
      </c>
      <c r="AH51" s="301">
        <f>AVERAGE(AH150:AH156)</f>
        <v>8.7857142857142854E-4</v>
      </c>
      <c r="AI51" s="162">
        <v>5.0000000000000002E-5</v>
      </c>
      <c r="AJ51" s="167">
        <f t="shared" ref="AJ51:AJ60" si="4">$E$38*AK51/$E$40</f>
        <v>4.1032425763587663E-3</v>
      </c>
      <c r="AK51" s="168">
        <f t="shared" ref="AK51:AK60" si="5">AF51*AG51*E$41/E$32</f>
        <v>3.714073305338295E-6</v>
      </c>
      <c r="AL51" s="151">
        <f>$AG51/AJ51</f>
        <v>73.600328125858937</v>
      </c>
      <c r="AM51" s="175">
        <f>AJ51/$AH51</f>
        <v>4.6703574039855882</v>
      </c>
      <c r="AN51" s="134">
        <f t="shared" ref="AN51:AN60" si="6">LOG(AM51)</f>
        <v>0.66935011667734723</v>
      </c>
      <c r="AO51" s="119">
        <f t="shared" ref="AO51:AO60" si="7">$AG51/$O51</f>
        <v>3.8937596699329551E-4</v>
      </c>
      <c r="AP51">
        <f t="shared" ref="AP51:AP60" si="8">_xlfn.RANK.AVG(AM51,AM$51:AM$117,1)</f>
        <v>5</v>
      </c>
      <c r="AQ51" s="124">
        <f t="shared" ref="AQ51:AS60" si="9">(AP51-0.5)/MAX(AP$51:AP$117)</f>
        <v>7.4999999999999997E-2</v>
      </c>
      <c r="AR51">
        <f>_xlfn.RANK.AVG(AM51,(AM$51:AM$60,AM$86:AM$88),1)</f>
        <v>2</v>
      </c>
      <c r="AS51" s="124">
        <f t="shared" si="9"/>
        <v>0.11538461538461539</v>
      </c>
      <c r="AT51" s="14">
        <f t="shared" ref="AT51:AT60" si="10">IF(AND(AJ51&gt;$AI51,$AH51&gt;$AI51),0,IF(AND(AJ51&gt;$AI51,$AH51&lt;$AI51),1,IF(AND(AJ51&lt;$AI51,$AH51&gt;$AI51),2,3)))</f>
        <v>0</v>
      </c>
      <c r="AU51" s="149" t="s">
        <v>41</v>
      </c>
      <c r="AV51" s="143">
        <f>COUNT(AM64:AM65,AM87,AM91:AM93)</f>
        <v>6</v>
      </c>
      <c r="AW51" s="143">
        <f>MIN(AM64:AM65,AM87,AM91:AM93)</f>
        <v>1.4148754463534376</v>
      </c>
      <c r="AX51" s="143">
        <f>AVERAGE(AM64:AM65,AM87,AM91:AM93)</f>
        <v>803.31416568473435</v>
      </c>
      <c r="AY51" s="143">
        <f>MAX(AM64:AM65,AM87,AM91:AM93)</f>
        <v>4233.9396274640121</v>
      </c>
      <c r="AZ51" s="83"/>
      <c r="BA51" s="83"/>
      <c r="BB51" s="83"/>
      <c r="BC51" s="83"/>
      <c r="BD51" s="83"/>
      <c r="BE51" s="8">
        <f t="shared" ref="BE51:BE60" si="11">BI51*$E$38/$E$40</f>
        <v>4.1032425763587663E-3</v>
      </c>
      <c r="BF51" s="16">
        <f>10^(MAX(0,((W51+12.5)/2+AD51)*0.73611+-1.03574))</f>
        <v>1</v>
      </c>
      <c r="BG51" s="16"/>
      <c r="BH51" s="189"/>
      <c r="BI51" s="6">
        <f t="shared" si="1"/>
        <v>3.714073305338295E-6</v>
      </c>
      <c r="BJ51" s="151">
        <f t="shared" ref="BJ51:BJ60" si="12">$AG51/BE51</f>
        <v>73.600328125858937</v>
      </c>
      <c r="BK51" s="296">
        <f t="shared" ref="BK51:BK60" si="13">BE51/$AH51</f>
        <v>4.6703574039855882</v>
      </c>
      <c r="BL51" s="134">
        <f t="shared" ref="BL51:BL60" si="14">LOG(BK51)</f>
        <v>0.66935011667734723</v>
      </c>
      <c r="BM51" s="119">
        <f t="shared" ref="BM51:BM60" si="15">$AG51/$O51</f>
        <v>3.8937596699329551E-4</v>
      </c>
      <c r="BN51">
        <f t="shared" ref="BN51:BN60" si="16">_xlfn.RANK.AVG(BK51,BK$51:BK$117,1)</f>
        <v>10</v>
      </c>
      <c r="BO51" s="124">
        <f t="shared" ref="BO51:BO60" si="17">(BN51-0.5)/MAX(BN$51:BN$117)</f>
        <v>0.15833333333333333</v>
      </c>
      <c r="BP51">
        <f>_xlfn.RANK.AVG(BK51,(BK$51:BK$60,BK$86:BK$88),1)</f>
        <v>6</v>
      </c>
      <c r="BQ51" s="124">
        <f>(BP51-0.5)/MAX(BP$51:BP$117)</f>
        <v>0.42307692307692307</v>
      </c>
      <c r="BR51" s="14">
        <f t="shared" ref="BR51:BR60" si="18">IF(AND(BE51&gt;$AI51,$AH51&gt;$AI51),0,IF(AND(BE51&gt;$AI51,$AH51&lt;$AI51),1,IF(AND(BE51&lt;$AI51,$AH51&gt;$AI51),2,3)))</f>
        <v>0</v>
      </c>
      <c r="BS51" s="149" t="s">
        <v>41</v>
      </c>
      <c r="BT51" s="143">
        <f>COUNT(BK64:BK65,BK87,BK91:BK93)</f>
        <v>6</v>
      </c>
      <c r="BU51" s="143">
        <f>MIN(BK64:BK65,BK87,BK91:BK93)</f>
        <v>0.97634437251339912</v>
      </c>
      <c r="BV51" s="143">
        <f>AVERAGE(BK64:BK65,BK87,BK91:BK93)</f>
        <v>588.46466798469885</v>
      </c>
      <c r="BW51" s="143">
        <f>MAX(BK64:BK65,BK87,BK91:BK93)</f>
        <v>3101.2347461357999</v>
      </c>
      <c r="BX51" s="83"/>
      <c r="BY51" s="83"/>
      <c r="BZ51" s="83"/>
      <c r="CA51" s="83"/>
      <c r="CB51" s="83"/>
      <c r="CC51" s="151"/>
      <c r="CD51" s="175">
        <f t="shared" ref="CD51:CD60" si="19">AG51/AH51</f>
        <v>343.73983739837399</v>
      </c>
      <c r="CE51" s="134">
        <f t="shared" ref="CE51:CE60" si="20">LOG(CD51)</f>
        <v>2.5362298671959906</v>
      </c>
      <c r="CF51" s="119">
        <f t="shared" ref="CF51:CF60" si="21">$AG51/$O51</f>
        <v>3.8937596699329551E-4</v>
      </c>
      <c r="CG51">
        <f t="shared" ref="CG51:CG60" si="22">_xlfn.RANK.AVG(CD51,CD$51:CD$117,1)</f>
        <v>10</v>
      </c>
      <c r="CH51" s="124">
        <f t="shared" ref="CH51:CJ60" si="23">(CG51-0.5)/MAX(CG$51:CG$117)</f>
        <v>0.15833333333333333</v>
      </c>
      <c r="CI51">
        <f>_xlfn.RANK.AVG(CD51,(CD$51:CD$60,CD$86:CD$88),1)</f>
        <v>5</v>
      </c>
      <c r="CJ51" s="124">
        <f t="shared" si="23"/>
        <v>0.34615384615384615</v>
      </c>
      <c r="CK51" s="14">
        <f t="shared" ref="CK51:CK60" si="24">IF(AND(BC51&gt;$AI51,$AH51&gt;$AI51),0,IF(AND(BC51&gt;$AI51,$AH51&lt;$AI51),1,IF(AND(BC51&lt;$AI51,$AH51&gt;$AI51),2,3)))</f>
        <v>2</v>
      </c>
      <c r="CL51" s="321" t="s">
        <v>19</v>
      </c>
      <c r="CM51" s="341">
        <f>AVERAGE($P60)</f>
        <v>2.61</v>
      </c>
      <c r="CN51" s="341">
        <f>AVERAGE($N60)</f>
        <v>131.4</v>
      </c>
      <c r="CO51" s="342">
        <f>AVERAGE($AF60)</f>
        <v>1.1260853861608325E-6</v>
      </c>
      <c r="CP51" s="343">
        <f>COUNT($CD60)</f>
        <v>1</v>
      </c>
      <c r="CQ51" s="344">
        <f>PERCENTILE(($CD60),0)</f>
        <v>221.46892655367233</v>
      </c>
      <c r="CR51" s="344">
        <f>PERCENTILE(($CD60),0.1)</f>
        <v>221.46892655367233</v>
      </c>
      <c r="CS51" s="344">
        <f>PERCENTILE(($CD60),0.5)</f>
        <v>221.46892655367233</v>
      </c>
      <c r="CT51" s="344">
        <f>PERCENTILE(($CD60),0.9)</f>
        <v>221.46892655367233</v>
      </c>
      <c r="CU51" s="343"/>
      <c r="CV51" s="344"/>
      <c r="CW51" s="344"/>
      <c r="CX51" s="344"/>
      <c r="CY51" s="345"/>
      <c r="CZ51" s="346">
        <f>COUNT($CD60)</f>
        <v>1</v>
      </c>
      <c r="DA51" s="344">
        <f>PERCENTILE($CD60,0.9)</f>
        <v>221.46892655367233</v>
      </c>
      <c r="DB51" s="344">
        <f>PERCENTILE($CD60,0.9)</f>
        <v>221.46892655367233</v>
      </c>
      <c r="DC51" s="344">
        <f>PERCENTILE($CD60,0.9)</f>
        <v>221.46892655367233</v>
      </c>
      <c r="DD51" s="345">
        <f>PERCENTILE($CD60,0.9)</f>
        <v>221.46892655367233</v>
      </c>
      <c r="DE51" s="344">
        <f t="shared" si="0"/>
        <v>1</v>
      </c>
      <c r="DF51" s="345">
        <f>MIN(DA51,CY51)</f>
        <v>221.46892655367233</v>
      </c>
      <c r="DN51" s="191">
        <f>AF51/BK51</f>
        <v>1.1546523178807948E-7</v>
      </c>
      <c r="DO51" s="97">
        <f>LOG(DN51/24/60/60)</f>
        <v>-11.87406251076772</v>
      </c>
      <c r="DP51">
        <f>_xlfn.RANK.AVG(DO51,(DO$51:DO$60,DO$86:DO$88),1)</f>
        <v>5</v>
      </c>
      <c r="DQ51" s="124">
        <f t="shared" ref="DQ51:DQ60" si="25">DP51/MAX(DP$51:DP$117)</f>
        <v>0.38461538461538464</v>
      </c>
      <c r="EA51" s="17">
        <f t="shared" ref="EA51:EA60" si="26">AG51/M51</f>
        <v>15.1</v>
      </c>
      <c r="EB51" s="16">
        <f t="shared" ref="EB51:EB60" si="27">AH51/L51</f>
        <v>0.87857142857142856</v>
      </c>
      <c r="EC51" s="16"/>
    </row>
    <row r="52" spans="1:133" x14ac:dyDescent="0.2">
      <c r="A52" s="21" t="s">
        <v>43</v>
      </c>
      <c r="B52" t="s">
        <v>143</v>
      </c>
      <c r="C52">
        <v>3</v>
      </c>
      <c r="D52" t="s">
        <v>17</v>
      </c>
      <c r="E52" t="s">
        <v>16</v>
      </c>
      <c r="F52" s="9">
        <v>16</v>
      </c>
      <c r="G52" s="26" t="s">
        <v>15</v>
      </c>
      <c r="H52" s="1">
        <v>14</v>
      </c>
      <c r="I52" s="11">
        <v>403</v>
      </c>
      <c r="J52" t="s">
        <v>14</v>
      </c>
      <c r="K52" s="6" t="s">
        <v>153</v>
      </c>
      <c r="L52" s="1">
        <v>0.01</v>
      </c>
      <c r="M52" s="6">
        <v>0.04</v>
      </c>
      <c r="N52" s="1">
        <v>165.80749949115744</v>
      </c>
      <c r="O52" s="18">
        <f>VLOOKUP(I52,[1]CompDbase!$B:$K,9,FALSE)</f>
        <v>118.88250367033854</v>
      </c>
      <c r="P52" s="30">
        <v>3.4</v>
      </c>
      <c r="Q52" s="197"/>
      <c r="R52" s="1">
        <f t="shared" ref="R52:R60" si="28">D$7*N52+D$8</f>
        <v>-12.551068901296079</v>
      </c>
      <c r="S52" s="1">
        <f t="shared" ref="S52:S60" si="29">D$12*LOG(N52)+D$13</f>
        <v>58.377969414674283</v>
      </c>
      <c r="T52" s="1">
        <f t="shared" ref="T52:T60" si="30">S52/(D$10*LN(10))*(1/(D$11+273)-1/(H52+273))</f>
        <v>-0.39220922122835267</v>
      </c>
      <c r="U52" s="1">
        <f t="shared" si="2"/>
        <v>-0.3911680125729648</v>
      </c>
      <c r="V52" s="197">
        <f t="shared" ref="V52:V60" si="31">D$18</f>
        <v>0</v>
      </c>
      <c r="W52" s="197">
        <f t="shared" ref="W52:W60" si="32">R52+T52+U52+V52</f>
        <v>-13.334446135097396</v>
      </c>
      <c r="X52" s="118">
        <f t="shared" ref="X52:X60" si="33">24*60*60*10^W52</f>
        <v>4.0000701470604072E-9</v>
      </c>
      <c r="Y52" s="1">
        <f t="shared" ref="Y52:Y60" si="34">D$20*P52+D$21</f>
        <v>3.0399600800535533</v>
      </c>
      <c r="Z52" s="1">
        <f t="shared" ref="Z52:Z60" si="35">D$25*LOG(O52)+D$26</f>
        <v>-0.74910321004742997</v>
      </c>
      <c r="AA52" s="1">
        <f t="shared" ref="AA52:AA60" si="36">Z52/(D$10*LN(10))*(1/(D$24+273)-1/(H52+273))</f>
        <v>5.0328092871025545E-3</v>
      </c>
      <c r="AB52" s="1">
        <f t="shared" si="3"/>
        <v>-0.103849583328558</v>
      </c>
      <c r="AC52" s="197">
        <f t="shared" ref="AC52:AC60" si="37">D$30</f>
        <v>0</v>
      </c>
      <c r="AD52" s="197">
        <f t="shared" ref="AD52:AD60" si="38">Y52+AA52+AB52+AC52</f>
        <v>2.9411433060120977</v>
      </c>
      <c r="AE52" s="96">
        <f t="shared" ref="AE52:AE60" si="39">10^AD52</f>
        <v>873.2594740242472</v>
      </c>
      <c r="AF52" s="98">
        <f t="shared" ref="AF52:AF60" si="40">AE52*X52</f>
        <v>3.4930991526820643E-6</v>
      </c>
      <c r="AG52" s="290">
        <v>0.13200000000000001</v>
      </c>
      <c r="AH52" s="301">
        <f>AVERAGE(AH158:AH164)</f>
        <v>2.442857142857143E-4</v>
      </c>
      <c r="AI52" s="162">
        <v>5.0000000000000002E-5</v>
      </c>
      <c r="AJ52" s="167">
        <f t="shared" si="4"/>
        <v>1.161726097641805E-2</v>
      </c>
      <c r="AK52" s="168">
        <f t="shared" si="5"/>
        <v>1.0515429704853499E-5</v>
      </c>
      <c r="AL52" s="151">
        <f t="shared" ref="AL52:AL60" si="41">$AG52/AJ52</f>
        <v>11.362402916483294</v>
      </c>
      <c r="AM52" s="175">
        <f t="shared" ref="AM52:AM60" si="42">AJ52/$AH52</f>
        <v>47.55603908475225</v>
      </c>
      <c r="AN52" s="134">
        <f t="shared" si="6"/>
        <v>1.6772056753143836</v>
      </c>
      <c r="AO52" s="119">
        <f t="shared" si="7"/>
        <v>1.1103400073574857E-3</v>
      </c>
      <c r="AP52">
        <f t="shared" si="8"/>
        <v>13</v>
      </c>
      <c r="AQ52" s="124">
        <f t="shared" si="9"/>
        <v>0.20833333333333334</v>
      </c>
      <c r="AR52">
        <f>_xlfn.RANK.AVG(AM52,(AM$51:AM$60,AM$86:AM$88),1)</f>
        <v>7</v>
      </c>
      <c r="AS52" s="124">
        <f t="shared" si="9"/>
        <v>0.5</v>
      </c>
      <c r="AT52" s="14">
        <f t="shared" si="10"/>
        <v>0</v>
      </c>
      <c r="AU52" s="21" t="s">
        <v>8</v>
      </c>
      <c r="AV52" s="144">
        <f>COUNT(AM51:AM51,AM66:AM72)</f>
        <v>8</v>
      </c>
      <c r="AW52" s="144">
        <f>MIN(AM51:AM51,AM66:AM72)</f>
        <v>4.6703574039855882</v>
      </c>
      <c r="AX52" s="144">
        <f>AVERAGE(AM51:AM51,AM66:AM72)</f>
        <v>809.84329202938613</v>
      </c>
      <c r="AY52" s="144">
        <f>MAX(AM51:AM51,AM66:AM72)</f>
        <v>1412.6660301122608</v>
      </c>
      <c r="AZ52" s="83"/>
      <c r="BA52" s="83"/>
      <c r="BB52" s="83"/>
      <c r="BC52" s="83"/>
      <c r="BD52" s="83"/>
      <c r="BE52" s="8">
        <f t="shared" si="11"/>
        <v>1.749688828627298E-3</v>
      </c>
      <c r="BF52" s="16">
        <f>10^(MAX(0,((W52+12.5)/2+AD52)*0.73611+-1.03574))</f>
        <v>6.6396154483836218</v>
      </c>
      <c r="BG52" s="16"/>
      <c r="BH52" s="189"/>
      <c r="BI52" s="6">
        <f t="shared" si="1"/>
        <v>1.5837407733325015E-6</v>
      </c>
      <c r="BJ52" s="151">
        <f t="shared" si="12"/>
        <v>75.441985935041586</v>
      </c>
      <c r="BK52" s="296">
        <f t="shared" si="13"/>
        <v>7.1624688891175934</v>
      </c>
      <c r="BL52" s="134">
        <f t="shared" si="14"/>
        <v>0.85506274857909037</v>
      </c>
      <c r="BM52" s="119">
        <f t="shared" si="15"/>
        <v>1.1103400073574857E-3</v>
      </c>
      <c r="BN52">
        <f t="shared" si="16"/>
        <v>13</v>
      </c>
      <c r="BO52" s="124">
        <f t="shared" si="17"/>
        <v>0.20833333333333334</v>
      </c>
      <c r="BP52">
        <f>_xlfn.RANK.AVG(BK52,(BK$51:BK$60,BK$86:BK$88),1)</f>
        <v>7</v>
      </c>
      <c r="BQ52" s="124">
        <f t="shared" ref="BQ52:BQ60" si="43">(BP52-0.5)/MAX(BP$51:BP$117)</f>
        <v>0.5</v>
      </c>
      <c r="BR52" s="14">
        <f t="shared" si="18"/>
        <v>0</v>
      </c>
      <c r="BS52" s="21" t="s">
        <v>8</v>
      </c>
      <c r="BT52" s="144">
        <f>COUNT(BK51:BK51,BK66:BK72)</f>
        <v>8</v>
      </c>
      <c r="BU52" s="144">
        <f>MIN(BK51:BK51,BK66:BK72)</f>
        <v>4.6703574039855882</v>
      </c>
      <c r="BV52" s="144">
        <f>AVERAGE(BK51:BK51,BK66:BK72)</f>
        <v>809.84329202938613</v>
      </c>
      <c r="BW52" s="144">
        <f>MAX(BK51:BK51,BK66:BK72)</f>
        <v>1412.6660301122608</v>
      </c>
      <c r="BX52" s="83"/>
      <c r="BY52" s="83"/>
      <c r="BZ52" s="83"/>
      <c r="CA52" s="83"/>
      <c r="CB52" s="83"/>
      <c r="CC52" s="151"/>
      <c r="CD52" s="175">
        <f t="shared" si="19"/>
        <v>540.35087719298247</v>
      </c>
      <c r="CE52" s="134">
        <f t="shared" si="20"/>
        <v>2.7326758608279529</v>
      </c>
      <c r="CF52" s="119">
        <f t="shared" si="21"/>
        <v>1.1103400073574857E-3</v>
      </c>
      <c r="CG52">
        <f t="shared" si="22"/>
        <v>13</v>
      </c>
      <c r="CH52" s="124">
        <f t="shared" si="23"/>
        <v>0.20833333333333334</v>
      </c>
      <c r="CI52">
        <f>_xlfn.RANK.AVG(CD52,(CD$51:CD$60,CD$86:CD$88),1)</f>
        <v>8</v>
      </c>
      <c r="CJ52" s="124">
        <f t="shared" si="23"/>
        <v>0.57692307692307687</v>
      </c>
      <c r="CK52" s="14">
        <f t="shared" si="24"/>
        <v>2</v>
      </c>
      <c r="CL52" s="338" t="s">
        <v>39</v>
      </c>
      <c r="CM52" s="347">
        <f>AVERAGE($P73:$P74,$P94)</f>
        <v>3.15</v>
      </c>
      <c r="CN52" s="347">
        <f>AVERAGE($N73:$N74,$N94)</f>
        <v>106.18666499232586</v>
      </c>
      <c r="CO52" s="348">
        <f>AVERAGE($AF73:$AF74,$AF94)</f>
        <v>9.7546255588521587E-6</v>
      </c>
      <c r="CP52" s="255">
        <f>COUNT($CD73:$CD74,$CD94)</f>
        <v>3</v>
      </c>
      <c r="CQ52" s="256">
        <f>PERCENTILE(($CD73:$CD74,$CD94),0)</f>
        <v>2500</v>
      </c>
      <c r="CR52" s="256">
        <f>PERCENTILE(($CD73:$CD74,$CD94),0.1)</f>
        <v>4417</v>
      </c>
      <c r="CS52" s="256">
        <f>PERCENTILE(($CD73:$CD74,$CD94),0.5)</f>
        <v>12085</v>
      </c>
      <c r="CT52" s="256">
        <f>PERCENTILE(($CD73:$CD74,$CD94),0.9)</f>
        <v>682416.99999999977</v>
      </c>
      <c r="CU52" s="255">
        <f>COUNT($CD73:$CD74,$CD94)</f>
        <v>3</v>
      </c>
      <c r="CV52" s="256">
        <f>PERCENTILE(($CD73:$CD74,$CD94),0)</f>
        <v>2500</v>
      </c>
      <c r="CW52" s="256">
        <f>PERCENTILE(($CD73:$CD74,$CD94),0.1)</f>
        <v>4417</v>
      </c>
      <c r="CX52" s="256">
        <f>PERCENTILE(($CD73:$CD74,$CD94),0.5)</f>
        <v>12085</v>
      </c>
      <c r="CY52" s="349">
        <f>PERCENTILE(($CD73:$CD74,$CD94),0.9)</f>
        <v>682416.99999999977</v>
      </c>
      <c r="CZ52" s="273"/>
      <c r="DA52" s="256"/>
      <c r="DB52" s="256"/>
      <c r="DC52" s="256"/>
      <c r="DD52" s="349"/>
      <c r="DE52" s="256">
        <f t="shared" si="0"/>
        <v>3</v>
      </c>
      <c r="DF52" s="260"/>
      <c r="DN52" s="191">
        <f t="shared" ref="DN52:DN60" si="44">AF52/BK52</f>
        <v>4.8769484471888707E-7</v>
      </c>
      <c r="DO52" s="97">
        <f t="shared" ref="DO52:DO60" si="45">LOG(DN52/24/60/60)</f>
        <v>-11.248365577664389</v>
      </c>
      <c r="DP52">
        <f>_xlfn.RANK.AVG(DO52,(DO$51:DO$60,DO$86:DO$88),1)</f>
        <v>7</v>
      </c>
      <c r="DQ52" s="124">
        <f t="shared" si="25"/>
        <v>0.53846153846153844</v>
      </c>
      <c r="EA52" s="17">
        <f t="shared" si="26"/>
        <v>3.3000000000000003</v>
      </c>
      <c r="EB52" s="16">
        <f t="shared" si="27"/>
        <v>2.4428571428571428E-2</v>
      </c>
      <c r="EC52" s="16"/>
    </row>
    <row r="53" spans="1:133" x14ac:dyDescent="0.2">
      <c r="A53" s="8">
        <v>65</v>
      </c>
      <c r="B53" t="s">
        <v>143</v>
      </c>
      <c r="C53">
        <v>6</v>
      </c>
      <c r="D53" t="s">
        <v>6</v>
      </c>
      <c r="E53" t="s">
        <v>5</v>
      </c>
      <c r="F53" s="9">
        <v>2</v>
      </c>
      <c r="G53" s="26" t="s">
        <v>31</v>
      </c>
      <c r="H53" s="1">
        <v>10</v>
      </c>
      <c r="I53" s="11">
        <v>403</v>
      </c>
      <c r="J53" t="s">
        <v>44</v>
      </c>
      <c r="K53" s="6" t="s">
        <v>153</v>
      </c>
      <c r="L53" s="1">
        <v>0.01</v>
      </c>
      <c r="M53" s="6">
        <v>0.04</v>
      </c>
      <c r="N53" s="1">
        <v>165.80749949115744</v>
      </c>
      <c r="O53" s="18">
        <f>VLOOKUP(I53,[1]CompDbase!$B:$K,9,FALSE)</f>
        <v>118.88250367033854</v>
      </c>
      <c r="P53" s="30">
        <v>3.4</v>
      </c>
      <c r="Q53" s="197"/>
      <c r="R53" s="1">
        <f t="shared" si="28"/>
        <v>-12.551068901296079</v>
      </c>
      <c r="S53" s="1">
        <f t="shared" si="29"/>
        <v>58.377969414674283</v>
      </c>
      <c r="T53" s="1">
        <f t="shared" si="30"/>
        <v>-0.5423902015380847</v>
      </c>
      <c r="U53" s="1">
        <f t="shared" si="2"/>
        <v>-0.38827922904922185</v>
      </c>
      <c r="V53" s="197">
        <f t="shared" si="31"/>
        <v>0</v>
      </c>
      <c r="W53" s="197">
        <f t="shared" si="32"/>
        <v>-13.481738331883385</v>
      </c>
      <c r="X53" s="118">
        <f t="shared" si="33"/>
        <v>2.8495442838666517E-9</v>
      </c>
      <c r="Y53" s="1">
        <f t="shared" si="34"/>
        <v>3.0399600800535533</v>
      </c>
      <c r="Z53" s="1">
        <f t="shared" si="35"/>
        <v>-0.74910321004742997</v>
      </c>
      <c r="AA53" s="1">
        <f t="shared" si="36"/>
        <v>6.9599241827743297E-3</v>
      </c>
      <c r="AB53" s="1">
        <f t="shared" si="3"/>
        <v>-0.10346654396373826</v>
      </c>
      <c r="AC53" s="197">
        <f t="shared" si="37"/>
        <v>0</v>
      </c>
      <c r="AD53" s="197">
        <f t="shared" si="38"/>
        <v>2.9434534602725897</v>
      </c>
      <c r="AE53" s="96">
        <f t="shared" si="39"/>
        <v>877.91700299231991</v>
      </c>
      <c r="AF53" s="98">
        <f t="shared" si="40"/>
        <v>2.5016633775861076E-6</v>
      </c>
      <c r="AG53" s="291">
        <v>0.57000000000000006</v>
      </c>
      <c r="AH53" s="297">
        <v>1.5E-3</v>
      </c>
      <c r="AI53" s="162">
        <v>5.0000000000000002E-5</v>
      </c>
      <c r="AJ53" s="167">
        <f t="shared" si="4"/>
        <v>3.5927138453617564E-2</v>
      </c>
      <c r="AK53" s="168">
        <f t="shared" si="5"/>
        <v>3.2519653270459481E-5</v>
      </c>
      <c r="AL53" s="151">
        <f t="shared" si="41"/>
        <v>15.865443910482266</v>
      </c>
      <c r="AM53" s="175">
        <f t="shared" si="42"/>
        <v>23.951425635745043</v>
      </c>
      <c r="AN53" s="134">
        <f t="shared" si="6"/>
        <v>1.379331368577744</v>
      </c>
      <c r="AO53" s="119">
        <f t="shared" si="7"/>
        <v>4.794650031770961E-3</v>
      </c>
      <c r="AP53">
        <f t="shared" si="8"/>
        <v>10</v>
      </c>
      <c r="AQ53" s="124">
        <f t="shared" si="9"/>
        <v>0.15833333333333333</v>
      </c>
      <c r="AR53">
        <f>_xlfn.RANK.AVG(AM53,(AM$51:AM$60,AM$86:AM$88),1)</f>
        <v>5</v>
      </c>
      <c r="AS53" s="124">
        <f t="shared" si="9"/>
        <v>0.34615384615384615</v>
      </c>
      <c r="AT53" s="14">
        <f t="shared" si="10"/>
        <v>0</v>
      </c>
      <c r="AU53" s="8" t="s">
        <v>12</v>
      </c>
      <c r="AV53" s="144">
        <f>COUNT(AM52:AM59,AM78,AM86,AM107:AM108)</f>
        <v>12</v>
      </c>
      <c r="AW53" s="144">
        <f>MIN(AM52:AM59,AM78,AM86,AM107:AM108)</f>
        <v>13.711289498344373</v>
      </c>
      <c r="AX53" s="144">
        <f>AVERAGE(AM52:AM59,AM78,AM86,AM107:AM108)</f>
        <v>1608.5855171854291</v>
      </c>
      <c r="AY53" s="144">
        <f>MAX(AM52:AM59,AM78,AM86,AM107:AM108)</f>
        <v>10084.847654666828</v>
      </c>
      <c r="AZ53" s="83"/>
      <c r="BA53" s="83"/>
      <c r="BB53" s="83"/>
      <c r="BC53" s="83"/>
      <c r="BD53" s="83"/>
      <c r="BE53" s="8">
        <f t="shared" si="11"/>
        <v>6.1064780835482189E-3</v>
      </c>
      <c r="BF53" s="16">
        <f t="shared" ref="BF53:BF60" si="46">10^(MAX(0,((W53+12.5)/2+AD53)*0.73611+-1.03574))</f>
        <v>5.8834467203625511</v>
      </c>
      <c r="BG53" s="16"/>
      <c r="BH53" s="189"/>
      <c r="BI53" s="6">
        <f t="shared" si="1"/>
        <v>5.5273132937380539E-6</v>
      </c>
      <c r="BJ53" s="151">
        <f t="shared" si="12"/>
        <v>93.343493942222892</v>
      </c>
      <c r="BK53" s="296">
        <f t="shared" si="13"/>
        <v>4.0709853890321455</v>
      </c>
      <c r="BL53" s="134">
        <f t="shared" si="14"/>
        <v>0.60969954367782697</v>
      </c>
      <c r="BM53" s="119">
        <f t="shared" si="15"/>
        <v>4.794650031770961E-3</v>
      </c>
      <c r="BN53">
        <f t="shared" si="16"/>
        <v>8</v>
      </c>
      <c r="BO53" s="124">
        <f t="shared" si="17"/>
        <v>0.125</v>
      </c>
      <c r="BP53">
        <f>_xlfn.RANK.AVG(BK53,(BK$51:BK$60,BK$86:BK$88),1)</f>
        <v>5</v>
      </c>
      <c r="BQ53" s="124">
        <f t="shared" si="43"/>
        <v>0.34615384615384615</v>
      </c>
      <c r="BR53" s="14">
        <f t="shared" si="18"/>
        <v>0</v>
      </c>
      <c r="BS53" s="8" t="s">
        <v>12</v>
      </c>
      <c r="BT53" s="144">
        <f>COUNT(BK52:BK59,BK78,BK86,BK107:BK108)</f>
        <v>12</v>
      </c>
      <c r="BU53" s="144">
        <f>MIN(BK52:BK59,BK78,BK86,BK107:BK108)</f>
        <v>2.2930238757236747</v>
      </c>
      <c r="BV53" s="144">
        <f>AVERAGE(BK52:BK59,BK78,BK86,BK107:BK108)</f>
        <v>260.4433758865834</v>
      </c>
      <c r="BW53" s="144">
        <f>MAX(BK52:BK59,BK78,BK86,BK107:BK108)</f>
        <v>1636.2341283351946</v>
      </c>
      <c r="BX53" s="83"/>
      <c r="BY53" s="83"/>
      <c r="BZ53" s="83"/>
      <c r="CA53" s="83"/>
      <c r="CB53" s="83"/>
      <c r="CC53" s="151"/>
      <c r="CD53" s="175">
        <f t="shared" si="19"/>
        <v>380.00000000000006</v>
      </c>
      <c r="CE53" s="134">
        <f t="shared" si="20"/>
        <v>2.5797835966168101</v>
      </c>
      <c r="CF53" s="119">
        <f t="shared" si="21"/>
        <v>4.794650031770961E-3</v>
      </c>
      <c r="CG53">
        <f t="shared" si="22"/>
        <v>12</v>
      </c>
      <c r="CH53" s="124">
        <f t="shared" si="23"/>
        <v>0.19166666666666668</v>
      </c>
      <c r="CI53">
        <f>_xlfn.RANK.AVG(CD53,(CD$51:CD$60,CD$86:CD$88),1)</f>
        <v>7</v>
      </c>
      <c r="CJ53" s="124">
        <f t="shared" si="23"/>
        <v>0.5</v>
      </c>
      <c r="CK53" s="14">
        <f t="shared" si="24"/>
        <v>2</v>
      </c>
      <c r="CL53" s="285" t="s">
        <v>37</v>
      </c>
      <c r="CM53" s="347">
        <f>AVERAGE($P184:$P185)</f>
        <v>5.8650000000000002</v>
      </c>
      <c r="CN53" s="347">
        <f>AVERAGE($N184:$N185)</f>
        <v>150</v>
      </c>
      <c r="CO53" s="348">
        <f>AVERAGE($AF74:$AF75,$AF95)</f>
        <v>1.066585834851704E-5</v>
      </c>
      <c r="CP53" s="255">
        <f>COUNT(#REF!)</f>
        <v>0</v>
      </c>
      <c r="CQ53" s="256"/>
      <c r="CR53" s="256"/>
      <c r="CS53" s="256"/>
      <c r="CT53" s="256"/>
      <c r="CU53" s="255">
        <f>COUNT(#REF!)</f>
        <v>0</v>
      </c>
      <c r="CV53" s="256"/>
      <c r="CW53" s="256"/>
      <c r="CX53" s="256"/>
      <c r="CY53" s="349"/>
      <c r="CZ53" s="273"/>
      <c r="DA53" s="256"/>
      <c r="DB53" s="256"/>
      <c r="DC53" s="256"/>
      <c r="DD53" s="349"/>
      <c r="DE53" s="256">
        <f t="shared" si="0"/>
        <v>0</v>
      </c>
      <c r="DF53" s="260"/>
      <c r="DN53" s="191">
        <f t="shared" si="44"/>
        <v>6.1451052718734132E-7</v>
      </c>
      <c r="DO53" s="97">
        <f t="shared" si="45"/>
        <v>-11.147984415288622</v>
      </c>
      <c r="DP53">
        <f>_xlfn.RANK.AVG(DO53,(DO$51:DO$60,DO$86:DO$88),1)</f>
        <v>9</v>
      </c>
      <c r="DQ53" s="124">
        <f t="shared" si="25"/>
        <v>0.69230769230769229</v>
      </c>
      <c r="EA53" s="11">
        <f t="shared" si="26"/>
        <v>14.250000000000002</v>
      </c>
      <c r="EB53" s="16">
        <f t="shared" si="27"/>
        <v>0.15</v>
      </c>
      <c r="EC53" s="16"/>
    </row>
    <row r="54" spans="1:133" x14ac:dyDescent="0.2">
      <c r="A54" s="8">
        <v>5</v>
      </c>
      <c r="B54" t="s">
        <v>143</v>
      </c>
      <c r="C54">
        <v>1</v>
      </c>
      <c r="D54" s="23" t="s">
        <v>11</v>
      </c>
      <c r="E54" t="s">
        <v>10</v>
      </c>
      <c r="F54" s="6">
        <v>48</v>
      </c>
      <c r="G54" s="28" t="s">
        <v>33</v>
      </c>
      <c r="H54" s="1">
        <v>10</v>
      </c>
      <c r="I54" s="11">
        <v>403</v>
      </c>
      <c r="J54" t="s">
        <v>12</v>
      </c>
      <c r="K54" s="6" t="s">
        <v>153</v>
      </c>
      <c r="L54" s="1">
        <v>0.01</v>
      </c>
      <c r="M54" s="6">
        <v>0.04</v>
      </c>
      <c r="N54" s="1">
        <v>165.80749949115744</v>
      </c>
      <c r="O54" s="18">
        <f>VLOOKUP(I54,[1]CompDbase!$B:$K,9,FALSE)</f>
        <v>118.88250367033854</v>
      </c>
      <c r="P54" s="30">
        <v>3.4</v>
      </c>
      <c r="Q54" s="197"/>
      <c r="R54" s="1">
        <f t="shared" si="28"/>
        <v>-12.551068901296079</v>
      </c>
      <c r="S54" s="1">
        <f t="shared" si="29"/>
        <v>58.377969414674283</v>
      </c>
      <c r="T54" s="1">
        <f t="shared" si="30"/>
        <v>-0.5423902015380847</v>
      </c>
      <c r="U54" s="1">
        <f t="shared" si="2"/>
        <v>-0.34491694893079139</v>
      </c>
      <c r="V54" s="197">
        <f t="shared" si="31"/>
        <v>0</v>
      </c>
      <c r="W54" s="197">
        <f t="shared" si="32"/>
        <v>-13.438376051764955</v>
      </c>
      <c r="X54" s="118">
        <f t="shared" si="33"/>
        <v>3.1487464488786161E-9</v>
      </c>
      <c r="Y54" s="1">
        <f t="shared" si="34"/>
        <v>3.0399600800535533</v>
      </c>
      <c r="Z54" s="1">
        <f t="shared" si="35"/>
        <v>-0.74910321004742997</v>
      </c>
      <c r="AA54" s="1">
        <f t="shared" si="36"/>
        <v>6.9599241827743297E-3</v>
      </c>
      <c r="AB54" s="1">
        <f t="shared" si="3"/>
        <v>-9.7716905717332825E-2</v>
      </c>
      <c r="AC54" s="197">
        <f t="shared" si="37"/>
        <v>0</v>
      </c>
      <c r="AD54" s="197">
        <f t="shared" si="38"/>
        <v>2.949203098518995</v>
      </c>
      <c r="AE54" s="96">
        <f t="shared" si="39"/>
        <v>889.61705145164876</v>
      </c>
      <c r="AF54" s="98">
        <f t="shared" si="40"/>
        <v>2.8011785316202442E-6</v>
      </c>
      <c r="AG54" s="291">
        <v>7.1446285714285711</v>
      </c>
      <c r="AH54" s="301">
        <v>1.07E-3</v>
      </c>
      <c r="AI54" s="162">
        <v>5.0000000000000002E-5</v>
      </c>
      <c r="AJ54" s="167">
        <f t="shared" si="4"/>
        <v>0.50424238273334143</v>
      </c>
      <c r="AK54" s="168">
        <f t="shared" si="5"/>
        <v>4.5641785448424625E-4</v>
      </c>
      <c r="AL54" s="151">
        <f t="shared" si="41"/>
        <v>14.169036193863272</v>
      </c>
      <c r="AM54" s="175">
        <f t="shared" si="42"/>
        <v>471.25456330218827</v>
      </c>
      <c r="AN54" s="134">
        <f t="shared" si="6"/>
        <v>2.673255568640617</v>
      </c>
      <c r="AO54" s="119">
        <f t="shared" si="7"/>
        <v>6.0098234398231073E-2</v>
      </c>
      <c r="AP54">
        <f t="shared" si="8"/>
        <v>22</v>
      </c>
      <c r="AQ54" s="124">
        <f t="shared" si="9"/>
        <v>0.35833333333333334</v>
      </c>
      <c r="AR54">
        <f>_xlfn.RANK.AVG(AM54,(AM$51:AM$60,AM$86:AM$88),1)</f>
        <v>10</v>
      </c>
      <c r="AS54" s="124">
        <f t="shared" si="9"/>
        <v>0.73076923076923073</v>
      </c>
      <c r="AT54" s="14">
        <f t="shared" si="10"/>
        <v>0</v>
      </c>
      <c r="AU54" t="s">
        <v>173</v>
      </c>
      <c r="AV54" s="144">
        <f>COUNT(AM77)</f>
        <v>1</v>
      </c>
      <c r="AW54" s="144">
        <f>MIN(AM77)</f>
        <v>5.3670466260330327</v>
      </c>
      <c r="AX54" s="144">
        <f>AVERAGE(AM77)</f>
        <v>5.3670466260330327</v>
      </c>
      <c r="AY54" s="144">
        <f>MAX(AM77)</f>
        <v>5.3670466260330327</v>
      </c>
      <c r="AZ54" s="83"/>
      <c r="BA54" s="83"/>
      <c r="BB54" s="83"/>
      <c r="BC54" s="83"/>
      <c r="BD54" s="83"/>
      <c r="BE54" s="8">
        <f t="shared" si="11"/>
        <v>8.1811706416759736E-2</v>
      </c>
      <c r="BF54" s="16">
        <f t="shared" si="46"/>
        <v>6.1634502544741405</v>
      </c>
      <c r="BG54" s="16"/>
      <c r="BH54" s="189"/>
      <c r="BI54" s="6">
        <f t="shared" si="1"/>
        <v>7.4052330373385538E-5</v>
      </c>
      <c r="BJ54" s="151">
        <f t="shared" si="12"/>
        <v>87.330149734719882</v>
      </c>
      <c r="BK54" s="296">
        <f t="shared" si="13"/>
        <v>76.459538707252094</v>
      </c>
      <c r="BL54" s="134">
        <f t="shared" si="14"/>
        <v>1.8834316735221501</v>
      </c>
      <c r="BM54" s="119">
        <f t="shared" si="15"/>
        <v>6.0098234398231073E-2</v>
      </c>
      <c r="BN54">
        <f t="shared" si="16"/>
        <v>21</v>
      </c>
      <c r="BO54" s="124">
        <f t="shared" si="17"/>
        <v>0.34166666666666667</v>
      </c>
      <c r="BP54">
        <f>_xlfn.RANK.AVG(BK54,(BK$51:BK$60,BK$86:BK$88),1)</f>
        <v>11</v>
      </c>
      <c r="BQ54" s="124">
        <f t="shared" si="43"/>
        <v>0.80769230769230771</v>
      </c>
      <c r="BR54" s="14">
        <f t="shared" si="18"/>
        <v>0</v>
      </c>
      <c r="BS54" t="s">
        <v>173</v>
      </c>
      <c r="BT54" s="144">
        <f>COUNT(BK77)</f>
        <v>1</v>
      </c>
      <c r="BU54" s="144">
        <f>MIN(BK77)</f>
        <v>5.3670466260330327</v>
      </c>
      <c r="BV54" s="144">
        <f>AVERAGE(BK77)</f>
        <v>5.3670466260330327</v>
      </c>
      <c r="BW54" s="144">
        <f>MAX(BK77)</f>
        <v>5.3670466260330327</v>
      </c>
      <c r="BX54" s="83"/>
      <c r="BY54" s="83"/>
      <c r="BZ54" s="83"/>
      <c r="CA54" s="83"/>
      <c r="CB54" s="83"/>
      <c r="CC54" s="151"/>
      <c r="CD54" s="175">
        <f t="shared" si="19"/>
        <v>6677.2229639519355</v>
      </c>
      <c r="CE54" s="134">
        <f t="shared" si="20"/>
        <v>3.8245958783148479</v>
      </c>
      <c r="CF54" s="119">
        <f t="shared" si="21"/>
        <v>6.0098234398231073E-2</v>
      </c>
      <c r="CG54">
        <f t="shared" si="22"/>
        <v>28</v>
      </c>
      <c r="CH54" s="124">
        <f t="shared" si="23"/>
        <v>0.45833333333333331</v>
      </c>
      <c r="CI54">
        <f>_xlfn.RANK.AVG(CD54,(CD$51:CD$60,CD$86:CD$88),1)</f>
        <v>11</v>
      </c>
      <c r="CJ54" s="124">
        <f t="shared" si="23"/>
        <v>0.80769230769230771</v>
      </c>
      <c r="CK54" s="14">
        <f t="shared" si="24"/>
        <v>2</v>
      </c>
      <c r="CL54" s="340" t="s">
        <v>35</v>
      </c>
      <c r="CM54" s="350">
        <f>AVERAGE($P75:$P76,$P95:$P106)</f>
        <v>3.2999999999999994</v>
      </c>
      <c r="CN54" s="350">
        <f>AVERAGE($N75:$N76,$N95:$N106)</f>
        <v>128.19000000000003</v>
      </c>
      <c r="CO54" s="351">
        <f>AVERAGE($AF75:$AF76,$AF95:$AF106)</f>
        <v>8.510867454904416E-6</v>
      </c>
      <c r="CP54" s="266">
        <f>COUNT($CD75:$CD76,$CD95:$CD106)</f>
        <v>14</v>
      </c>
      <c r="CQ54" s="352">
        <f>PERCENTILE(($CD75:$CD76,$CD95:$CD106),0)</f>
        <v>260</v>
      </c>
      <c r="CR54" s="352">
        <f>PERCENTILE(($CD75:$CD76,$CD95:$CD106),0.1)</f>
        <v>2297.1499999999996</v>
      </c>
      <c r="CS54" s="352">
        <f>PERCENTILE(($CD75:$CD76,$CD95:$CD106),0.5)</f>
        <v>6824.9999999999991</v>
      </c>
      <c r="CT54" s="352">
        <f>PERCENTILE(($CD75:$CD76,$CD95:$CD106),0.9)</f>
        <v>286000.00000000023</v>
      </c>
      <c r="CU54" s="266">
        <f>COUNT($CD75:$CD76,$CD95:$CD106)</f>
        <v>14</v>
      </c>
      <c r="CV54" s="352">
        <f>PERCENTILE(($CD75:$CD76,$CD95:$CD106),0)</f>
        <v>260</v>
      </c>
      <c r="CW54" s="352">
        <f>PERCENTILE(($CD75:$CD76,$CD95:$CD106),0.1)</f>
        <v>2297.1499999999996</v>
      </c>
      <c r="CX54" s="352">
        <f>PERCENTILE(($CD75:$CD76,$CD95:$CD106),0.5)</f>
        <v>6824.9999999999991</v>
      </c>
      <c r="CY54" s="353">
        <f>PERCENTILE(($CD75:$CD76,$CD95:$CD106),0.9)</f>
        <v>286000.00000000023</v>
      </c>
      <c r="CZ54" s="354"/>
      <c r="DA54" s="352"/>
      <c r="DB54" s="352"/>
      <c r="DC54" s="352"/>
      <c r="DD54" s="353"/>
      <c r="DE54" s="352">
        <f t="shared" si="0"/>
        <v>14</v>
      </c>
      <c r="DF54" s="355"/>
      <c r="DN54" s="191">
        <f t="shared" si="44"/>
        <v>3.6636089871603629E-8</v>
      </c>
      <c r="DO54" s="97">
        <f t="shared" si="45"/>
        <v>-12.37260462676811</v>
      </c>
      <c r="DP54">
        <f>_xlfn.RANK.AVG(DO54,(DO$51:DO$60,DO$86:DO$88),1)</f>
        <v>3</v>
      </c>
      <c r="DQ54" s="124">
        <f t="shared" si="25"/>
        <v>0.23076923076923078</v>
      </c>
      <c r="EA54" s="11">
        <f t="shared" si="26"/>
        <v>178.61571428571426</v>
      </c>
      <c r="EB54" s="16">
        <f t="shared" si="27"/>
        <v>0.107</v>
      </c>
      <c r="EC54" s="16"/>
    </row>
    <row r="55" spans="1:133" x14ac:dyDescent="0.2">
      <c r="A55" s="8">
        <v>4</v>
      </c>
      <c r="B55" t="s">
        <v>143</v>
      </c>
      <c r="C55">
        <v>1</v>
      </c>
      <c r="D55" s="23" t="s">
        <v>11</v>
      </c>
      <c r="E55" t="s">
        <v>10</v>
      </c>
      <c r="F55" s="6">
        <v>46</v>
      </c>
      <c r="G55" s="28" t="s">
        <v>33</v>
      </c>
      <c r="H55" s="1">
        <v>10</v>
      </c>
      <c r="I55" s="11">
        <v>403</v>
      </c>
      <c r="J55" t="s">
        <v>12</v>
      </c>
      <c r="K55" s="6" t="s">
        <v>153</v>
      </c>
      <c r="L55" s="1">
        <v>0.01</v>
      </c>
      <c r="M55" s="6">
        <v>0.04</v>
      </c>
      <c r="N55" s="1">
        <v>165.80749949115744</v>
      </c>
      <c r="O55" s="18">
        <f>VLOOKUP(I55,[1]CompDbase!$B:$K,9,FALSE)</f>
        <v>118.88250367033854</v>
      </c>
      <c r="P55" s="30">
        <v>3.4</v>
      </c>
      <c r="Q55" s="197"/>
      <c r="R55" s="1">
        <f t="shared" si="28"/>
        <v>-12.551068901296079</v>
      </c>
      <c r="S55" s="1">
        <f t="shared" si="29"/>
        <v>58.377969414674283</v>
      </c>
      <c r="T55" s="1">
        <f t="shared" si="30"/>
        <v>-0.5423902015380847</v>
      </c>
      <c r="U55" s="1">
        <f t="shared" si="2"/>
        <v>-0.34491694893079139</v>
      </c>
      <c r="V55" s="197">
        <f t="shared" si="31"/>
        <v>0</v>
      </c>
      <c r="W55" s="197">
        <f t="shared" si="32"/>
        <v>-13.438376051764955</v>
      </c>
      <c r="X55" s="118">
        <f t="shared" si="33"/>
        <v>3.1487464488786161E-9</v>
      </c>
      <c r="Y55" s="1">
        <f t="shared" si="34"/>
        <v>3.0399600800535533</v>
      </c>
      <c r="Z55" s="1">
        <f t="shared" si="35"/>
        <v>-0.74910321004742997</v>
      </c>
      <c r="AA55" s="1">
        <f t="shared" si="36"/>
        <v>6.9599241827743297E-3</v>
      </c>
      <c r="AB55" s="1">
        <f t="shared" si="3"/>
        <v>-9.7716905717332825E-2</v>
      </c>
      <c r="AC55" s="197">
        <f t="shared" si="37"/>
        <v>0</v>
      </c>
      <c r="AD55" s="197">
        <f t="shared" si="38"/>
        <v>2.949203098518995</v>
      </c>
      <c r="AE55" s="96">
        <f t="shared" si="39"/>
        <v>889.61705145164876</v>
      </c>
      <c r="AF55" s="98">
        <f t="shared" si="40"/>
        <v>2.8011785316202442E-6</v>
      </c>
      <c r="AG55" s="291">
        <v>7.1446285714285711</v>
      </c>
      <c r="AH55" s="301">
        <v>2.0000000000000001E-4</v>
      </c>
      <c r="AI55" s="162">
        <v>5.0000000000000002E-5</v>
      </c>
      <c r="AJ55" s="167">
        <f t="shared" si="4"/>
        <v>0.50424238273334143</v>
      </c>
      <c r="AK55" s="168">
        <f t="shared" si="5"/>
        <v>4.5641785448424625E-4</v>
      </c>
      <c r="AL55" s="151">
        <f t="shared" si="41"/>
        <v>14.169036193863272</v>
      </c>
      <c r="AM55" s="175">
        <f t="shared" si="42"/>
        <v>2521.211913666707</v>
      </c>
      <c r="AN55" s="134">
        <f t="shared" si="6"/>
        <v>3.4016093506618454</v>
      </c>
      <c r="AO55" s="119">
        <f t="shared" si="7"/>
        <v>6.0098234398231073E-2</v>
      </c>
      <c r="AP55">
        <f t="shared" si="8"/>
        <v>43</v>
      </c>
      <c r="AQ55" s="124">
        <f t="shared" si="9"/>
        <v>0.70833333333333337</v>
      </c>
      <c r="AR55">
        <f>_xlfn.RANK.AVG(AM55,(AM$51:AM$60,AM$86:AM$88),1)</f>
        <v>12</v>
      </c>
      <c r="AS55" s="124">
        <f t="shared" si="9"/>
        <v>0.88461538461538458</v>
      </c>
      <c r="AT55" s="14">
        <f t="shared" si="10"/>
        <v>0</v>
      </c>
      <c r="AU55" s="8" t="s">
        <v>19</v>
      </c>
      <c r="AV55" s="144">
        <f>COUNT(AM60)</f>
        <v>1</v>
      </c>
      <c r="AW55" s="144">
        <f>MIN(AM60)</f>
        <v>6.2835203245355791</v>
      </c>
      <c r="AX55" s="144">
        <f>AVERAGE(AM60)</f>
        <v>6.2835203245355791</v>
      </c>
      <c r="AY55" s="144">
        <f>MAX(AM60)</f>
        <v>6.2835203245355791</v>
      </c>
      <c r="AZ55" s="83"/>
      <c r="BA55" s="83"/>
      <c r="BB55" s="83"/>
      <c r="BC55" s="83"/>
      <c r="BD55" s="83"/>
      <c r="BE55" s="8">
        <f t="shared" si="11"/>
        <v>8.1811706416759736E-2</v>
      </c>
      <c r="BF55" s="16">
        <f t="shared" si="46"/>
        <v>6.1634502544741405</v>
      </c>
      <c r="BG55" s="16"/>
      <c r="BH55" s="189"/>
      <c r="BI55" s="6">
        <f t="shared" si="1"/>
        <v>7.4052330373385538E-5</v>
      </c>
      <c r="BJ55" s="151">
        <f t="shared" si="12"/>
        <v>87.330149734719882</v>
      </c>
      <c r="BK55" s="296">
        <f t="shared" si="13"/>
        <v>409.05853208379864</v>
      </c>
      <c r="BL55" s="134">
        <f t="shared" si="14"/>
        <v>2.6117854555433784</v>
      </c>
      <c r="BM55" s="119">
        <f t="shared" si="15"/>
        <v>6.0098234398231073E-2</v>
      </c>
      <c r="BN55">
        <f t="shared" si="16"/>
        <v>37</v>
      </c>
      <c r="BO55" s="124">
        <f t="shared" si="17"/>
        <v>0.60833333333333328</v>
      </c>
      <c r="BP55">
        <f>_xlfn.RANK.AVG(BK55,(BK$51:BK$60,BK$86:BK$88),1)</f>
        <v>13</v>
      </c>
      <c r="BQ55" s="124">
        <f t="shared" si="43"/>
        <v>0.96153846153846156</v>
      </c>
      <c r="BR55" s="14">
        <f t="shared" si="18"/>
        <v>0</v>
      </c>
      <c r="BS55" s="8" t="s">
        <v>19</v>
      </c>
      <c r="BT55" s="144">
        <f>COUNT(BK60)</f>
        <v>1</v>
      </c>
      <c r="BU55" s="144">
        <f>MIN(BK60)</f>
        <v>3.1287170889939904</v>
      </c>
      <c r="BV55" s="144">
        <f>AVERAGE(BK60)</f>
        <v>3.1287170889939904</v>
      </c>
      <c r="BW55" s="144">
        <f>MAX(BK60)</f>
        <v>3.1287170889939904</v>
      </c>
      <c r="BX55" s="83"/>
      <c r="BY55" s="83"/>
      <c r="BZ55" s="83"/>
      <c r="CA55" s="83"/>
      <c r="CB55" s="83"/>
      <c r="CC55" s="151"/>
      <c r="CD55" s="175">
        <f t="shared" si="19"/>
        <v>35723.142857142855</v>
      </c>
      <c r="CE55" s="134">
        <f t="shared" si="20"/>
        <v>4.5529496603360764</v>
      </c>
      <c r="CF55" s="119">
        <f t="shared" si="21"/>
        <v>6.0098234398231073E-2</v>
      </c>
      <c r="CG55">
        <f t="shared" si="22"/>
        <v>41</v>
      </c>
      <c r="CH55" s="124">
        <f t="shared" si="23"/>
        <v>0.67500000000000004</v>
      </c>
      <c r="CI55">
        <f>_xlfn.RANK.AVG(CD55,(CD$51:CD$60,CD$86:CD$88),1)</f>
        <v>13</v>
      </c>
      <c r="CJ55" s="124">
        <f t="shared" si="23"/>
        <v>0.96153846153846156</v>
      </c>
      <c r="CK55" s="14">
        <f t="shared" si="24"/>
        <v>2</v>
      </c>
      <c r="CL55" s="319" t="s">
        <v>135</v>
      </c>
      <c r="CM55" s="347">
        <f>AVERAGE($P88)</f>
        <v>4.47</v>
      </c>
      <c r="CN55" s="347">
        <f>AVERAGE($N88)</f>
        <v>178.21</v>
      </c>
      <c r="CO55" s="348">
        <f>AVERAGE($AF88)</f>
        <v>2.507964471238642E-3</v>
      </c>
      <c r="CP55" s="255">
        <f>COUNT($CD88)</f>
        <v>1</v>
      </c>
      <c r="CQ55" s="256">
        <f>PERCENTILE(($CD88),0)</f>
        <v>94.444444444444443</v>
      </c>
      <c r="CR55" s="256">
        <f>PERCENTILE(($CD88),0.1)</f>
        <v>94.444444444444443</v>
      </c>
      <c r="CS55" s="256">
        <f>PERCENTILE(($CD88),0.5)</f>
        <v>94.444444444444443</v>
      </c>
      <c r="CT55" s="256">
        <f>PERCENTILE(($CD88),0.9)</f>
        <v>94.444444444444443</v>
      </c>
      <c r="CU55" s="255"/>
      <c r="CV55" s="256"/>
      <c r="CW55" s="256"/>
      <c r="CX55" s="256"/>
      <c r="CY55" s="349"/>
      <c r="CZ55" s="273">
        <f>COUNT($CD88)</f>
        <v>1</v>
      </c>
      <c r="DA55" s="256">
        <f>PERCENTILE($CD88,0.9)</f>
        <v>94.444444444444443</v>
      </c>
      <c r="DB55" s="256">
        <f>PERCENTILE($CD88,0.9)</f>
        <v>94.444444444444443</v>
      </c>
      <c r="DC55" s="256">
        <f>PERCENTILE($CD88,0.9)</f>
        <v>94.444444444444443</v>
      </c>
      <c r="DD55" s="349">
        <f>PERCENTILE($CD88,0.9)</f>
        <v>94.444444444444443</v>
      </c>
      <c r="DE55" s="256">
        <f t="shared" si="0"/>
        <v>1</v>
      </c>
      <c r="DF55" s="349">
        <f>MIN(DA55,CY55)</f>
        <v>94.444444444444443</v>
      </c>
      <c r="DN55" s="191">
        <f t="shared" si="44"/>
        <v>6.8478672657203055E-9</v>
      </c>
      <c r="DO55" s="97">
        <f t="shared" si="45"/>
        <v>-13.100958408789339</v>
      </c>
      <c r="DP55">
        <f>_xlfn.RANK.AVG(DO55,(DO$51:DO$60,DO$86:DO$88),1)</f>
        <v>1</v>
      </c>
      <c r="DQ55" s="124">
        <f t="shared" si="25"/>
        <v>7.6923076923076927E-2</v>
      </c>
      <c r="EA55" s="11">
        <f t="shared" si="26"/>
        <v>178.61571428571426</v>
      </c>
      <c r="EB55" s="16">
        <f t="shared" si="27"/>
        <v>0.02</v>
      </c>
      <c r="EC55" s="16"/>
    </row>
    <row r="56" spans="1:133" x14ac:dyDescent="0.2">
      <c r="A56" s="8">
        <v>6</v>
      </c>
      <c r="B56" t="s">
        <v>143</v>
      </c>
      <c r="C56">
        <v>1</v>
      </c>
      <c r="D56" s="23" t="s">
        <v>11</v>
      </c>
      <c r="E56" t="s">
        <v>10</v>
      </c>
      <c r="F56" s="6">
        <v>52</v>
      </c>
      <c r="G56" s="28" t="s">
        <v>33</v>
      </c>
      <c r="H56" s="1">
        <v>10</v>
      </c>
      <c r="I56" s="11">
        <v>403</v>
      </c>
      <c r="J56" t="s">
        <v>12</v>
      </c>
      <c r="K56" s="6" t="s">
        <v>153</v>
      </c>
      <c r="L56" s="1">
        <v>0.01</v>
      </c>
      <c r="M56" s="6">
        <v>0.04</v>
      </c>
      <c r="N56" s="1">
        <v>165.80749949115744</v>
      </c>
      <c r="O56" s="18">
        <f>VLOOKUP(I56,[1]CompDbase!$B:$K,9,FALSE)</f>
        <v>118.88250367033854</v>
      </c>
      <c r="P56" s="30">
        <v>3.4</v>
      </c>
      <c r="Q56" s="197"/>
      <c r="R56" s="1">
        <f t="shared" si="28"/>
        <v>-12.551068901296079</v>
      </c>
      <c r="S56" s="1">
        <f t="shared" si="29"/>
        <v>58.377969414674283</v>
      </c>
      <c r="T56" s="1">
        <f t="shared" si="30"/>
        <v>-0.5423902015380847</v>
      </c>
      <c r="U56" s="1">
        <f t="shared" si="2"/>
        <v>-0.37316540761922812</v>
      </c>
      <c r="V56" s="197">
        <f t="shared" si="31"/>
        <v>0</v>
      </c>
      <c r="W56" s="197">
        <f t="shared" si="32"/>
        <v>-13.466624510453391</v>
      </c>
      <c r="X56" s="118">
        <f t="shared" si="33"/>
        <v>2.9504566088063177E-9</v>
      </c>
      <c r="Y56" s="1">
        <f t="shared" si="34"/>
        <v>3.0399600800535533</v>
      </c>
      <c r="Z56" s="1">
        <f t="shared" si="35"/>
        <v>-0.74910321004742997</v>
      </c>
      <c r="AA56" s="1">
        <f t="shared" si="36"/>
        <v>6.9599241827743297E-3</v>
      </c>
      <c r="AB56" s="1">
        <f t="shared" si="3"/>
        <v>-0.10146252098556699</v>
      </c>
      <c r="AC56" s="197">
        <f t="shared" si="37"/>
        <v>0</v>
      </c>
      <c r="AD56" s="197">
        <f t="shared" si="38"/>
        <v>2.945457483250761</v>
      </c>
      <c r="AE56" s="96">
        <f t="shared" si="39"/>
        <v>881.9774536993956</v>
      </c>
      <c r="AF56" s="98">
        <f t="shared" si="40"/>
        <v>2.6022362070855499E-6</v>
      </c>
      <c r="AG56" s="291">
        <v>2.8615714285714287</v>
      </c>
      <c r="AH56" s="301">
        <v>1.3683333333333332E-2</v>
      </c>
      <c r="AI56" s="162">
        <v>5.0000000000000002E-5</v>
      </c>
      <c r="AJ56" s="167">
        <f t="shared" si="4"/>
        <v>0.18761614463567883</v>
      </c>
      <c r="AK56" s="168">
        <f t="shared" si="5"/>
        <v>1.6982181810470102E-4</v>
      </c>
      <c r="AL56" s="151">
        <f t="shared" si="41"/>
        <v>15.252266451419478</v>
      </c>
      <c r="AM56" s="175">
        <f t="shared" si="42"/>
        <v>13.711289498344373</v>
      </c>
      <c r="AN56" s="134">
        <f t="shared" si="6"/>
        <v>1.1370783005721905</v>
      </c>
      <c r="AO56" s="119">
        <f t="shared" si="7"/>
        <v>2.4070585159499776E-2</v>
      </c>
      <c r="AP56">
        <f t="shared" si="8"/>
        <v>9</v>
      </c>
      <c r="AQ56" s="124">
        <f t="shared" si="9"/>
        <v>0.14166666666666666</v>
      </c>
      <c r="AR56">
        <f>_xlfn.RANK.AVG(AM56,(AM$51:AM$60,AM$86:AM$88),1)</f>
        <v>4</v>
      </c>
      <c r="AS56" s="124">
        <f t="shared" si="9"/>
        <v>0.26923076923076922</v>
      </c>
      <c r="AT56" s="14">
        <f t="shared" si="10"/>
        <v>0</v>
      </c>
      <c r="AU56" s="21" t="s">
        <v>39</v>
      </c>
      <c r="AV56" s="144">
        <f>COUNT(AM73:AM74,AM94)</f>
        <v>3</v>
      </c>
      <c r="AW56" s="144">
        <f>MIN(AM73:AM74,AM94)</f>
        <v>647.7796298130994</v>
      </c>
      <c r="AX56" s="144">
        <f>AVERAGE(AM73:AM74,AM94)</f>
        <v>80475.08744589299</v>
      </c>
      <c r="AY56" s="144">
        <f>MAX(AM73:AM74,AM94)</f>
        <v>238387.75807097025</v>
      </c>
      <c r="AZ56" s="83"/>
      <c r="BA56" s="83"/>
      <c r="BB56" s="83"/>
      <c r="BC56" s="83"/>
      <c r="BD56" s="83"/>
      <c r="BE56" s="8">
        <f t="shared" si="11"/>
        <v>3.1376210032818944E-2</v>
      </c>
      <c r="BF56" s="16">
        <f t="shared" si="46"/>
        <v>5.9795668259307195</v>
      </c>
      <c r="BG56" s="16"/>
      <c r="BH56" s="189"/>
      <c r="BI56" s="6">
        <f t="shared" si="1"/>
        <v>2.840035458225157E-5</v>
      </c>
      <c r="BJ56" s="151">
        <f t="shared" si="12"/>
        <v>91.201946493164002</v>
      </c>
      <c r="BK56" s="296">
        <f t="shared" si="13"/>
        <v>2.2930238757236747</v>
      </c>
      <c r="BL56" s="134">
        <f t="shared" si="14"/>
        <v>0.36040857677139543</v>
      </c>
      <c r="BM56" s="119">
        <f t="shared" si="15"/>
        <v>2.4070585159499776E-2</v>
      </c>
      <c r="BN56">
        <f t="shared" si="16"/>
        <v>5</v>
      </c>
      <c r="BO56" s="124">
        <f t="shared" si="17"/>
        <v>7.4999999999999997E-2</v>
      </c>
      <c r="BP56">
        <f>_xlfn.RANK.AVG(BK56,(BK$51:BK$60,BK$86:BK$88),1)</f>
        <v>2</v>
      </c>
      <c r="BQ56" s="124">
        <f t="shared" si="43"/>
        <v>0.11538461538461539</v>
      </c>
      <c r="BR56" s="14">
        <f t="shared" si="18"/>
        <v>0</v>
      </c>
      <c r="BS56" s="21" t="s">
        <v>39</v>
      </c>
      <c r="BT56" s="144">
        <f>COUNT(BK73:BK74,BK94)</f>
        <v>3</v>
      </c>
      <c r="BU56" s="144">
        <f>MIN(BK73:BK74,BK94)</f>
        <v>83.197405761333727</v>
      </c>
      <c r="BV56" s="144">
        <f>AVERAGE(BK73:BK74,BK94)</f>
        <v>9964.254168660178</v>
      </c>
      <c r="BW56" s="144">
        <f>MAX(BK73:BK74,BK94)</f>
        <v>29470.434514250112</v>
      </c>
      <c r="BX56" s="83"/>
      <c r="BY56" s="83"/>
      <c r="BZ56" s="83"/>
      <c r="CA56" s="83"/>
      <c r="CB56" s="83"/>
      <c r="CC56" s="151"/>
      <c r="CD56" s="175">
        <f t="shared" si="19"/>
        <v>209.12824082129811</v>
      </c>
      <c r="CE56" s="134">
        <f t="shared" si="20"/>
        <v>2.3204126842030912</v>
      </c>
      <c r="CF56" s="119">
        <f t="shared" si="21"/>
        <v>2.4070585159499776E-2</v>
      </c>
      <c r="CG56">
        <f t="shared" si="22"/>
        <v>7</v>
      </c>
      <c r="CH56" s="124">
        <f t="shared" si="23"/>
        <v>0.10833333333333334</v>
      </c>
      <c r="CI56">
        <f>_xlfn.RANK.AVG(CD56,(CD$51:CD$60,CD$86:CD$88),1)</f>
        <v>3</v>
      </c>
      <c r="CJ56" s="124">
        <f t="shared" si="23"/>
        <v>0.19230769230769232</v>
      </c>
      <c r="CK56" s="14">
        <f t="shared" si="24"/>
        <v>2</v>
      </c>
      <c r="CL56" s="338" t="s">
        <v>32</v>
      </c>
      <c r="CM56" s="347">
        <f>AVERAGE($P79:$P80)</f>
        <v>2.73</v>
      </c>
      <c r="CN56" s="347">
        <f>AVERAGE($N79:$N80)</f>
        <v>92.14249284505685</v>
      </c>
      <c r="CO56" s="348">
        <f>AVERAGE($AF79:$AF80)</f>
        <v>4.4301472619879881E-6</v>
      </c>
      <c r="CP56" s="255">
        <f>COUNT($CD79:$CD80)</f>
        <v>2</v>
      </c>
      <c r="CQ56" s="256">
        <f>PERCENTILE(($CD79:$CD80),0)</f>
        <v>22</v>
      </c>
      <c r="CR56" s="256">
        <f>PERCENTILE(($CD79:$CD80),0.1)</f>
        <v>114.35000000000007</v>
      </c>
      <c r="CS56" s="256">
        <f>PERCENTILE(($CD79:$CD80),0.5)</f>
        <v>483.74999999999994</v>
      </c>
      <c r="CT56" s="256">
        <f>PERCENTILE(($CD79:$CD80),0.9)</f>
        <v>853.14999999999986</v>
      </c>
      <c r="CU56" s="255">
        <f>COUNT($CD79:$CD80)</f>
        <v>2</v>
      </c>
      <c r="CV56" s="256">
        <f>PERCENTILE(($CD79:$CD80),0)</f>
        <v>22</v>
      </c>
      <c r="CW56" s="256">
        <f>PERCENTILE(($CD79:$CD80),0.1)</f>
        <v>114.35000000000007</v>
      </c>
      <c r="CX56" s="256">
        <f>PERCENTILE(($CD79:$CD80),0.5)</f>
        <v>483.74999999999994</v>
      </c>
      <c r="CY56" s="349">
        <f>PERCENTILE(($CD79:$CD80),0.9)</f>
        <v>853.14999999999986</v>
      </c>
      <c r="CZ56" s="273"/>
      <c r="DA56" s="259"/>
      <c r="DB56" s="259"/>
      <c r="DC56" s="259"/>
      <c r="DD56" s="260"/>
      <c r="DE56" s="256">
        <f t="shared" si="0"/>
        <v>2</v>
      </c>
      <c r="DF56" s="260"/>
      <c r="DN56" s="191">
        <f t="shared" si="44"/>
        <v>1.1348491547059396E-6</v>
      </c>
      <c r="DO56" s="97">
        <f t="shared" si="45"/>
        <v>-10.881575603974026</v>
      </c>
      <c r="DP56">
        <f>_xlfn.RANK.AVG(DO56,(DO$51:DO$60,DO$86:DO$88),1)</f>
        <v>11</v>
      </c>
      <c r="DQ56" s="124">
        <f t="shared" si="25"/>
        <v>0.84615384615384615</v>
      </c>
      <c r="EA56" s="11">
        <f t="shared" si="26"/>
        <v>71.539285714285711</v>
      </c>
      <c r="EB56" s="16">
        <f t="shared" si="27"/>
        <v>1.3683333333333332</v>
      </c>
      <c r="EC56" s="16"/>
    </row>
    <row r="57" spans="1:133" x14ac:dyDescent="0.2">
      <c r="A57" s="8">
        <v>8</v>
      </c>
      <c r="B57" t="s">
        <v>143</v>
      </c>
      <c r="C57">
        <v>1</v>
      </c>
      <c r="D57" s="23" t="s">
        <v>11</v>
      </c>
      <c r="E57" t="s">
        <v>10</v>
      </c>
      <c r="F57" s="6">
        <v>56</v>
      </c>
      <c r="G57" s="28" t="s">
        <v>33</v>
      </c>
      <c r="H57" s="1">
        <v>10</v>
      </c>
      <c r="I57" s="11">
        <v>403</v>
      </c>
      <c r="J57" t="s">
        <v>12</v>
      </c>
      <c r="K57" s="6" t="s">
        <v>153</v>
      </c>
      <c r="L57" s="1">
        <v>0.01</v>
      </c>
      <c r="M57" s="6">
        <v>0.04</v>
      </c>
      <c r="N57" s="1">
        <v>165.80749949115744</v>
      </c>
      <c r="O57" s="18">
        <f>VLOOKUP(I57,[1]CompDbase!$B:$K,9,FALSE)</f>
        <v>118.88250367033854</v>
      </c>
      <c r="P57" s="30">
        <v>3.4</v>
      </c>
      <c r="Q57" s="197"/>
      <c r="R57" s="1">
        <f t="shared" si="28"/>
        <v>-12.551068901296079</v>
      </c>
      <c r="S57" s="1">
        <f t="shared" si="29"/>
        <v>58.377969414674283</v>
      </c>
      <c r="T57" s="1">
        <f t="shared" si="30"/>
        <v>-0.5423902015380847</v>
      </c>
      <c r="U57" s="1">
        <f t="shared" si="2"/>
        <v>-0.37316540761922812</v>
      </c>
      <c r="V57" s="197">
        <f t="shared" si="31"/>
        <v>0</v>
      </c>
      <c r="W57" s="197">
        <f t="shared" si="32"/>
        <v>-13.466624510453391</v>
      </c>
      <c r="X57" s="118">
        <f t="shared" si="33"/>
        <v>2.9504566088063177E-9</v>
      </c>
      <c r="Y57" s="1">
        <f t="shared" si="34"/>
        <v>3.0399600800535533</v>
      </c>
      <c r="Z57" s="1">
        <f t="shared" si="35"/>
        <v>-0.74910321004742997</v>
      </c>
      <c r="AA57" s="1">
        <f t="shared" si="36"/>
        <v>6.9599241827743297E-3</v>
      </c>
      <c r="AB57" s="1">
        <f t="shared" si="3"/>
        <v>-0.10146252098556699</v>
      </c>
      <c r="AC57" s="197">
        <f t="shared" si="37"/>
        <v>0</v>
      </c>
      <c r="AD57" s="197">
        <f t="shared" si="38"/>
        <v>2.945457483250761</v>
      </c>
      <c r="AE57" s="96">
        <f t="shared" si="39"/>
        <v>881.9774536993956</v>
      </c>
      <c r="AF57" s="98">
        <f t="shared" si="40"/>
        <v>2.6022362070855499E-6</v>
      </c>
      <c r="AG57" s="291">
        <v>2.8615714285714287</v>
      </c>
      <c r="AH57" s="301">
        <v>7.7866666666666666E-3</v>
      </c>
      <c r="AI57" s="162">
        <v>5.0000000000000002E-5</v>
      </c>
      <c r="AJ57" s="167">
        <f t="shared" si="4"/>
        <v>0.18761614463567883</v>
      </c>
      <c r="AK57" s="168">
        <f t="shared" si="5"/>
        <v>1.6982181810470102E-4</v>
      </c>
      <c r="AL57" s="151">
        <f t="shared" si="41"/>
        <v>15.252266451419478</v>
      </c>
      <c r="AM57" s="175">
        <f t="shared" si="42"/>
        <v>24.094539122732726</v>
      </c>
      <c r="AN57" s="134">
        <f t="shared" si="6"/>
        <v>1.3819186235872882</v>
      </c>
      <c r="AO57" s="119">
        <f t="shared" si="7"/>
        <v>2.4070585159499776E-2</v>
      </c>
      <c r="AP57">
        <f t="shared" si="8"/>
        <v>11</v>
      </c>
      <c r="AQ57" s="124">
        <f t="shared" si="9"/>
        <v>0.17499999999999999</v>
      </c>
      <c r="AR57">
        <f>_xlfn.RANK.AVG(AM57,(AM$51:AM$60,AM$86:AM$88),1)</f>
        <v>6</v>
      </c>
      <c r="AS57" s="124">
        <f t="shared" si="9"/>
        <v>0.42307692307692307</v>
      </c>
      <c r="AT57" s="14">
        <f t="shared" si="10"/>
        <v>0</v>
      </c>
      <c r="AU57" s="8" t="s">
        <v>37</v>
      </c>
      <c r="AV57" s="144">
        <f>COUNT(AM184:AM185)</f>
        <v>0</v>
      </c>
      <c r="AW57" s="144">
        <f>MIN(AM184:AM185)</f>
        <v>0</v>
      </c>
      <c r="AX57" s="144" t="e">
        <f>AVERAGE(AM184:AM185)</f>
        <v>#DIV/0!</v>
      </c>
      <c r="AY57" s="144">
        <f>MAX(AM184:AM185)</f>
        <v>0</v>
      </c>
      <c r="AZ57" s="83"/>
      <c r="BA57" s="83"/>
      <c r="BB57" s="83"/>
      <c r="BC57" s="83"/>
      <c r="BD57" s="83"/>
      <c r="BE57" s="8">
        <f t="shared" si="11"/>
        <v>3.1376210032818944E-2</v>
      </c>
      <c r="BF57" s="16">
        <f t="shared" si="46"/>
        <v>5.9795668259307195</v>
      </c>
      <c r="BG57" s="16"/>
      <c r="BH57" s="189"/>
      <c r="BI57" s="6">
        <f t="shared" si="1"/>
        <v>2.840035458225157E-5</v>
      </c>
      <c r="BJ57" s="151">
        <f t="shared" si="12"/>
        <v>91.201946493164002</v>
      </c>
      <c r="BK57" s="296">
        <f t="shared" si="13"/>
        <v>4.0294790281873647</v>
      </c>
      <c r="BL57" s="134">
        <f t="shared" si="14"/>
        <v>0.6052488997864931</v>
      </c>
      <c r="BM57" s="119">
        <f t="shared" si="15"/>
        <v>2.4070585159499776E-2</v>
      </c>
      <c r="BN57">
        <f t="shared" si="16"/>
        <v>7</v>
      </c>
      <c r="BO57" s="124">
        <f t="shared" si="17"/>
        <v>0.10833333333333334</v>
      </c>
      <c r="BP57">
        <f>_xlfn.RANK.AVG(BK57,(BK$51:BK$60,BK$86:BK$88),1)</f>
        <v>4</v>
      </c>
      <c r="BQ57" s="124">
        <f t="shared" si="43"/>
        <v>0.26923076923076922</v>
      </c>
      <c r="BR57" s="14">
        <f t="shared" si="18"/>
        <v>0</v>
      </c>
      <c r="BS57" s="8" t="s">
        <v>37</v>
      </c>
      <c r="BT57" s="144">
        <f>COUNT(BK185:BK186)</f>
        <v>2</v>
      </c>
      <c r="BU57" s="144"/>
      <c r="BV57" s="144"/>
      <c r="BW57" s="144"/>
      <c r="BX57" s="83"/>
      <c r="BY57" s="83"/>
      <c r="BZ57" s="83"/>
      <c r="CA57" s="83"/>
      <c r="CB57" s="83"/>
      <c r="CC57" s="151"/>
      <c r="CD57" s="175">
        <f t="shared" si="19"/>
        <v>367.49633072407045</v>
      </c>
      <c r="CE57" s="134">
        <f t="shared" si="20"/>
        <v>2.5652530072181889</v>
      </c>
      <c r="CF57" s="119">
        <f t="shared" si="21"/>
        <v>2.4070585159499776E-2</v>
      </c>
      <c r="CG57">
        <f t="shared" si="22"/>
        <v>11</v>
      </c>
      <c r="CH57" s="124">
        <f t="shared" si="23"/>
        <v>0.17499999999999999</v>
      </c>
      <c r="CI57">
        <f>_xlfn.RANK.AVG(CD57,(CD$51:CD$60,CD$86:CD$88),1)</f>
        <v>6</v>
      </c>
      <c r="CJ57" s="124">
        <f t="shared" si="23"/>
        <v>0.42307692307692307</v>
      </c>
      <c r="CK57" s="14">
        <f t="shared" si="24"/>
        <v>2</v>
      </c>
      <c r="CL57" s="338" t="s">
        <v>30</v>
      </c>
      <c r="CM57" s="347">
        <f>AVERAGE($P81,$P109:$P110)</f>
        <v>1.5200000000000002</v>
      </c>
      <c r="CN57" s="347">
        <f>AVERAGE($N81,$N109:$N110)</f>
        <v>62.5</v>
      </c>
      <c r="CO57" s="348">
        <f>AVERAGE($AF81,$AF109:$AF110)</f>
        <v>5.3542705414412814E-7</v>
      </c>
      <c r="CP57" s="255">
        <f>COUNT($CD81,$CD109:$CD110)</f>
        <v>3</v>
      </c>
      <c r="CQ57" s="256">
        <f>PERCENTILE(($CD81,$CD109:$CD110),0)</f>
        <v>54.999999999999993</v>
      </c>
      <c r="CR57" s="256">
        <f>PERCENTILE(($CD81,$CD109:$CD110),0.1)</f>
        <v>431.99999999999994</v>
      </c>
      <c r="CS57" s="256">
        <f>PERCENTILE(($CD81,$CD109:$CD110),0.5)</f>
        <v>1940</v>
      </c>
      <c r="CT57" s="256">
        <f>PERCENTILE(($CD81,$CD109:$CD110),0.9)</f>
        <v>11187.999999999998</v>
      </c>
      <c r="CU57" s="255">
        <f>COUNT($CD81,$CD109:$CD110)</f>
        <v>3</v>
      </c>
      <c r="CV57" s="256">
        <f>PERCENTILE(($CD81,$CD109:$CD110),0)</f>
        <v>54.999999999999993</v>
      </c>
      <c r="CW57" s="256">
        <f>PERCENTILE(($CD81,$CD109:$CD110),0.1)</f>
        <v>431.99999999999994</v>
      </c>
      <c r="CX57" s="256">
        <f>PERCENTILE(($CD81,$CD109:$CD110),0.5)</f>
        <v>1940</v>
      </c>
      <c r="CY57" s="349">
        <f>PERCENTILE(($CD81,$CD109:$CD110),0.9)</f>
        <v>11187.999999999998</v>
      </c>
      <c r="CZ57" s="273"/>
      <c r="DA57" s="259"/>
      <c r="DB57" s="259"/>
      <c r="DC57" s="259"/>
      <c r="DD57" s="260"/>
      <c r="DE57" s="256">
        <f t="shared" si="0"/>
        <v>3</v>
      </c>
      <c r="DF57" s="260"/>
      <c r="DN57" s="191">
        <f t="shared" si="44"/>
        <v>6.4579966513838621E-7</v>
      </c>
      <c r="DO57" s="97">
        <f t="shared" si="45"/>
        <v>-11.126415926989123</v>
      </c>
      <c r="DP57">
        <f>_xlfn.RANK.AVG(DO57,(DO$51:DO$60,DO$86:DO$88),1)</f>
        <v>10</v>
      </c>
      <c r="DQ57" s="124">
        <f t="shared" si="25"/>
        <v>0.76923076923076927</v>
      </c>
      <c r="EA57" s="11">
        <f t="shared" si="26"/>
        <v>71.539285714285711</v>
      </c>
      <c r="EB57" s="16">
        <f t="shared" si="27"/>
        <v>0.77866666666666662</v>
      </c>
      <c r="EC57" s="16"/>
    </row>
    <row r="58" spans="1:133" x14ac:dyDescent="0.2">
      <c r="A58" s="8">
        <v>7</v>
      </c>
      <c r="B58" t="s">
        <v>143</v>
      </c>
      <c r="C58">
        <v>1</v>
      </c>
      <c r="D58" s="23" t="s">
        <v>11</v>
      </c>
      <c r="E58" t="s">
        <v>10</v>
      </c>
      <c r="F58" s="6">
        <v>54</v>
      </c>
      <c r="G58" s="28" t="s">
        <v>33</v>
      </c>
      <c r="H58" s="1">
        <v>10</v>
      </c>
      <c r="I58" s="11">
        <v>403</v>
      </c>
      <c r="J58" t="s">
        <v>12</v>
      </c>
      <c r="K58" s="6" t="s">
        <v>153</v>
      </c>
      <c r="L58" s="1">
        <v>0.01</v>
      </c>
      <c r="M58" s="6">
        <v>0.04</v>
      </c>
      <c r="N58" s="1">
        <v>165.80749949115744</v>
      </c>
      <c r="O58" s="18">
        <f>VLOOKUP(I58,[1]CompDbase!$B:$K,9,FALSE)</f>
        <v>118.88250367033854</v>
      </c>
      <c r="P58" s="30">
        <v>3.4</v>
      </c>
      <c r="Q58" s="197"/>
      <c r="R58" s="1">
        <f t="shared" si="28"/>
        <v>-12.551068901296079</v>
      </c>
      <c r="S58" s="1">
        <f t="shared" si="29"/>
        <v>58.377969414674283</v>
      </c>
      <c r="T58" s="1">
        <f t="shared" si="30"/>
        <v>-0.5423902015380847</v>
      </c>
      <c r="U58" s="1">
        <f t="shared" si="2"/>
        <v>-0.37316540761922812</v>
      </c>
      <c r="V58" s="197">
        <f t="shared" si="31"/>
        <v>0</v>
      </c>
      <c r="W58" s="197">
        <f t="shared" si="32"/>
        <v>-13.466624510453391</v>
      </c>
      <c r="X58" s="118">
        <f t="shared" si="33"/>
        <v>2.9504566088063177E-9</v>
      </c>
      <c r="Y58" s="1">
        <f t="shared" si="34"/>
        <v>3.0399600800535533</v>
      </c>
      <c r="Z58" s="1">
        <f t="shared" si="35"/>
        <v>-0.74910321004742997</v>
      </c>
      <c r="AA58" s="1">
        <f t="shared" si="36"/>
        <v>6.9599241827743297E-3</v>
      </c>
      <c r="AB58" s="1">
        <f t="shared" si="3"/>
        <v>-0.10146252098556699</v>
      </c>
      <c r="AC58" s="197">
        <f t="shared" si="37"/>
        <v>0</v>
      </c>
      <c r="AD58" s="197">
        <f t="shared" si="38"/>
        <v>2.945457483250761</v>
      </c>
      <c r="AE58" s="96">
        <f t="shared" si="39"/>
        <v>881.9774536993956</v>
      </c>
      <c r="AF58" s="98">
        <f t="shared" si="40"/>
        <v>2.6022362070855499E-6</v>
      </c>
      <c r="AG58" s="291">
        <v>2.8615714285714287</v>
      </c>
      <c r="AH58" s="301">
        <v>5.1249999999999993E-4</v>
      </c>
      <c r="AI58" s="162">
        <v>5.0000000000000002E-5</v>
      </c>
      <c r="AJ58" s="167">
        <f t="shared" si="4"/>
        <v>0.18761614463567883</v>
      </c>
      <c r="AK58" s="168">
        <f t="shared" si="5"/>
        <v>1.6982181810470102E-4</v>
      </c>
      <c r="AL58" s="151">
        <f t="shared" si="41"/>
        <v>15.252266451419478</v>
      </c>
      <c r="AM58" s="175">
        <f t="shared" si="42"/>
        <v>366.08028221595873</v>
      </c>
      <c r="AN58" s="134">
        <f t="shared" si="6"/>
        <v>2.5635763375801957</v>
      </c>
      <c r="AO58" s="119">
        <f t="shared" si="7"/>
        <v>2.4070585159499776E-2</v>
      </c>
      <c r="AP58">
        <f t="shared" si="8"/>
        <v>19</v>
      </c>
      <c r="AQ58" s="124">
        <f t="shared" si="9"/>
        <v>0.30833333333333335</v>
      </c>
      <c r="AR58">
        <f>_xlfn.RANK.AVG(AM58,(AM$51:AM$60,AM$86:AM$88),1)</f>
        <v>9</v>
      </c>
      <c r="AS58" s="124">
        <f t="shared" si="9"/>
        <v>0.65384615384615385</v>
      </c>
      <c r="AT58" s="14">
        <f t="shared" si="10"/>
        <v>0</v>
      </c>
      <c r="AU58" s="21" t="s">
        <v>35</v>
      </c>
      <c r="AV58" s="144">
        <f>COUNT(AM75:AM76,AM95:AM106)</f>
        <v>14</v>
      </c>
      <c r="AW58" s="144">
        <f>MIN(AM75:AM76,AM95:AM106)</f>
        <v>56.069769088970475</v>
      </c>
      <c r="AX58" s="144">
        <f>AVERAGE(AM75:AM76,AM95:AM106)</f>
        <v>26153.194580931515</v>
      </c>
      <c r="AY58" s="144">
        <f>MAX(AM75:AM76,AM95:AM106)</f>
        <v>209872.83975237879</v>
      </c>
      <c r="AZ58" s="83"/>
      <c r="BA58" s="83"/>
      <c r="BB58" s="83"/>
      <c r="BC58" s="83"/>
      <c r="BD58" s="83"/>
      <c r="BE58" s="8">
        <f t="shared" si="11"/>
        <v>3.1376210032818944E-2</v>
      </c>
      <c r="BF58" s="16">
        <f t="shared" si="46"/>
        <v>5.9795668259307195</v>
      </c>
      <c r="BG58" s="16"/>
      <c r="BH58" s="189"/>
      <c r="BI58" s="6">
        <f t="shared" si="1"/>
        <v>2.840035458225157E-5</v>
      </c>
      <c r="BJ58" s="151">
        <f t="shared" si="12"/>
        <v>91.201946493164002</v>
      </c>
      <c r="BK58" s="296">
        <f t="shared" si="13"/>
        <v>61.22187323476868</v>
      </c>
      <c r="BL58" s="134">
        <f t="shared" si="14"/>
        <v>1.7869066137794007</v>
      </c>
      <c r="BM58" s="119">
        <f t="shared" si="15"/>
        <v>2.4070585159499776E-2</v>
      </c>
      <c r="BN58">
        <f t="shared" si="16"/>
        <v>19</v>
      </c>
      <c r="BO58" s="124">
        <f t="shared" si="17"/>
        <v>0.30833333333333335</v>
      </c>
      <c r="BP58">
        <f>_xlfn.RANK.AVG(BK58,(BK$51:BK$60,BK$86:BK$88),1)</f>
        <v>10</v>
      </c>
      <c r="BQ58" s="124">
        <f t="shared" si="43"/>
        <v>0.73076923076923073</v>
      </c>
      <c r="BR58" s="14">
        <f t="shared" si="18"/>
        <v>0</v>
      </c>
      <c r="BS58" s="21" t="s">
        <v>35</v>
      </c>
      <c r="BT58" s="144">
        <f>COUNT(BK75:BK76,BK95:BK106)</f>
        <v>14</v>
      </c>
      <c r="BU58" s="144">
        <f>MIN(BK75:BK76,BK95:BK106)</f>
        <v>6.4938928098078037</v>
      </c>
      <c r="BV58" s="144">
        <f>AVERAGE(BK75:BK76,BK95:BK106)</f>
        <v>2534.1068639587438</v>
      </c>
      <c r="BW58" s="144">
        <f>MAX(BK75:BK76,BK95:BK106)</f>
        <v>19002.426061737111</v>
      </c>
      <c r="BX58" s="83"/>
      <c r="BY58" s="83"/>
      <c r="BZ58" s="83"/>
      <c r="CA58" s="83"/>
      <c r="CB58" s="83"/>
      <c r="CC58" s="151"/>
      <c r="CD58" s="175">
        <f t="shared" si="19"/>
        <v>5583.5540069686422</v>
      </c>
      <c r="CE58" s="134">
        <f t="shared" si="20"/>
        <v>3.7469107212110964</v>
      </c>
      <c r="CF58" s="119">
        <f t="shared" si="21"/>
        <v>2.4070585159499776E-2</v>
      </c>
      <c r="CG58">
        <f t="shared" si="22"/>
        <v>27</v>
      </c>
      <c r="CH58" s="124">
        <f t="shared" si="23"/>
        <v>0.44166666666666665</v>
      </c>
      <c r="CI58">
        <f>_xlfn.RANK.AVG(CD58,(CD$51:CD$60,CD$86:CD$88),1)</f>
        <v>10</v>
      </c>
      <c r="CJ58" s="124">
        <f t="shared" si="23"/>
        <v>0.73076923076923073</v>
      </c>
      <c r="CK58" s="14">
        <f t="shared" si="24"/>
        <v>2</v>
      </c>
      <c r="CL58" s="339" t="s">
        <v>24</v>
      </c>
      <c r="CM58" s="350">
        <f>AVERAGE($P82:$P83,$P111:$P117)</f>
        <v>3.1566666666666667</v>
      </c>
      <c r="CN58" s="350">
        <f>AVERAGE($N82:$N83,$N111:$N117)</f>
        <v>106.1877763476281</v>
      </c>
      <c r="CO58" s="351">
        <f>AVERAGE($AF82:$AF83,$AF111:$AF117)</f>
        <v>9.1715061841403158E-6</v>
      </c>
      <c r="CP58" s="266">
        <f>COUNT($CD82:$CD83,$CD111:$CD117)</f>
        <v>9</v>
      </c>
      <c r="CQ58" s="352">
        <f>PERCENTILE(($CD82:$CD83,$CD111:$CD117),0)</f>
        <v>5102.0999999999995</v>
      </c>
      <c r="CR58" s="352">
        <f>PERCENTILE(($CD82:$CD83,$CD111:$CD117),0.1)</f>
        <v>9820.42</v>
      </c>
      <c r="CS58" s="352">
        <f>PERCENTILE(($CD82:$CD83,$CD111:$CD117),0.5)</f>
        <v>34500</v>
      </c>
      <c r="CT58" s="352">
        <f>PERCENTILE(($CD82:$CD83,$CD111:$CD117),0.9)</f>
        <v>271999.99999999977</v>
      </c>
      <c r="CU58" s="266">
        <f>COUNT($CD82:$CD83,$CD111:$CD117)</f>
        <v>9</v>
      </c>
      <c r="CV58" s="352">
        <f>PERCENTILE(($CD82:$CD83,$CD111:$CD117),0)</f>
        <v>5102.0999999999995</v>
      </c>
      <c r="CW58" s="352">
        <f>PERCENTILE(($CD82:$CD83,$CD111:$CD117),0.1)</f>
        <v>9820.42</v>
      </c>
      <c r="CX58" s="352">
        <f>PERCENTILE(($CD82:$CD83,$CD111:$CD117),0.5)</f>
        <v>34500</v>
      </c>
      <c r="CY58" s="353">
        <f>PERCENTILE(($CD82:$CD83,$CD111:$CD117),0.9)</f>
        <v>271999.99999999977</v>
      </c>
      <c r="CZ58" s="354"/>
      <c r="DA58" s="263"/>
      <c r="DB58" s="263"/>
      <c r="DC58" s="263"/>
      <c r="DD58" s="355"/>
      <c r="DE58" s="352">
        <f t="shared" si="0"/>
        <v>9</v>
      </c>
      <c r="DF58" s="355"/>
      <c r="DN58" s="191">
        <f t="shared" si="44"/>
        <v>4.2505007925953285E-8</v>
      </c>
      <c r="DO58" s="97">
        <f t="shared" si="45"/>
        <v>-12.30807364098203</v>
      </c>
      <c r="DP58">
        <f>_xlfn.RANK.AVG(DO58,(DO$51:DO$60,DO$86:DO$88),1)</f>
        <v>4</v>
      </c>
      <c r="DQ58" s="124">
        <f t="shared" si="25"/>
        <v>0.30769230769230771</v>
      </c>
      <c r="EA58" s="11">
        <f t="shared" si="26"/>
        <v>71.539285714285711</v>
      </c>
      <c r="EB58" s="16">
        <f t="shared" si="27"/>
        <v>5.124999999999999E-2</v>
      </c>
      <c r="EC58" s="16"/>
    </row>
    <row r="59" spans="1:133" x14ac:dyDescent="0.2">
      <c r="A59" s="8">
        <v>9</v>
      </c>
      <c r="B59" t="s">
        <v>143</v>
      </c>
      <c r="C59">
        <v>1</v>
      </c>
      <c r="D59" s="23" t="s">
        <v>11</v>
      </c>
      <c r="E59" t="s">
        <v>10</v>
      </c>
      <c r="F59" s="6" t="s">
        <v>40</v>
      </c>
      <c r="G59" s="28" t="s">
        <v>33</v>
      </c>
      <c r="H59" s="1">
        <v>10</v>
      </c>
      <c r="I59" s="11">
        <v>403</v>
      </c>
      <c r="J59" t="s">
        <v>12</v>
      </c>
      <c r="K59" s="6" t="s">
        <v>153</v>
      </c>
      <c r="L59" s="1">
        <v>0.01</v>
      </c>
      <c r="M59" s="6">
        <v>0.04</v>
      </c>
      <c r="N59" s="1">
        <v>165.80749949115744</v>
      </c>
      <c r="O59" s="18">
        <f>VLOOKUP(I59,[1]CompDbase!$B:$K,9,FALSE)</f>
        <v>118.88250367033854</v>
      </c>
      <c r="P59" s="30">
        <v>3.4</v>
      </c>
      <c r="Q59" s="197"/>
      <c r="R59" s="1">
        <f t="shared" si="28"/>
        <v>-12.551068901296079</v>
      </c>
      <c r="S59" s="1">
        <f t="shared" si="29"/>
        <v>58.377969414674283</v>
      </c>
      <c r="T59" s="1">
        <f t="shared" si="30"/>
        <v>-0.5423902015380847</v>
      </c>
      <c r="U59" s="1">
        <f t="shared" si="2"/>
        <v>-0.37316540761922812</v>
      </c>
      <c r="V59" s="197">
        <f t="shared" si="31"/>
        <v>0</v>
      </c>
      <c r="W59" s="197">
        <f t="shared" si="32"/>
        <v>-13.466624510453391</v>
      </c>
      <c r="X59" s="118">
        <f t="shared" si="33"/>
        <v>2.9504566088063177E-9</v>
      </c>
      <c r="Y59" s="1">
        <f t="shared" si="34"/>
        <v>3.0399600800535533</v>
      </c>
      <c r="Z59" s="1">
        <f t="shared" si="35"/>
        <v>-0.74910321004742997</v>
      </c>
      <c r="AA59" s="1">
        <f t="shared" si="36"/>
        <v>6.9599241827743297E-3</v>
      </c>
      <c r="AB59" s="1">
        <f t="shared" si="3"/>
        <v>-0.10146252098556699</v>
      </c>
      <c r="AC59" s="197">
        <f t="shared" si="37"/>
        <v>0</v>
      </c>
      <c r="AD59" s="197">
        <f t="shared" si="38"/>
        <v>2.945457483250761</v>
      </c>
      <c r="AE59" s="96">
        <f t="shared" si="39"/>
        <v>881.9774536993956</v>
      </c>
      <c r="AF59" s="98">
        <f t="shared" si="40"/>
        <v>2.6022362070855499E-6</v>
      </c>
      <c r="AG59" s="291">
        <v>2.8615714285714287</v>
      </c>
      <c r="AH59" s="301">
        <v>1.4999999999999999E-4</v>
      </c>
      <c r="AI59" s="162">
        <v>5.0000000000000002E-5</v>
      </c>
      <c r="AJ59" s="167">
        <f t="shared" si="4"/>
        <v>0.18761614463567883</v>
      </c>
      <c r="AK59" s="168">
        <f t="shared" si="5"/>
        <v>1.6982181810470102E-4</v>
      </c>
      <c r="AL59" s="151">
        <f t="shared" si="41"/>
        <v>15.252266451419478</v>
      </c>
      <c r="AM59" s="175">
        <f t="shared" si="42"/>
        <v>1250.7742975711924</v>
      </c>
      <c r="AN59" s="134">
        <f t="shared" si="6"/>
        <v>3.0971789482523064</v>
      </c>
      <c r="AO59" s="119">
        <f t="shared" si="7"/>
        <v>2.4070585159499776E-2</v>
      </c>
      <c r="AP59">
        <f t="shared" si="8"/>
        <v>34</v>
      </c>
      <c r="AQ59" s="124">
        <f t="shared" si="9"/>
        <v>0.55833333333333335</v>
      </c>
      <c r="AR59">
        <f>_xlfn.RANK.AVG(AM59,(AM$51:AM$60,AM$86:AM$88),1)</f>
        <v>11</v>
      </c>
      <c r="AS59" s="124">
        <f t="shared" si="9"/>
        <v>0.80769230769230771</v>
      </c>
      <c r="AT59" s="14">
        <f t="shared" si="10"/>
        <v>0</v>
      </c>
      <c r="AU59" s="9" t="s">
        <v>135</v>
      </c>
      <c r="AV59" s="144">
        <f>COUNT(AM88)</f>
        <v>1</v>
      </c>
      <c r="AW59" s="144">
        <f>MIN(AM88)</f>
        <v>5967.8334888520631</v>
      </c>
      <c r="AX59" s="144">
        <f>AVERAGE(AM88)</f>
        <v>5967.8334888520631</v>
      </c>
      <c r="AY59" s="144">
        <f>MAX(AM88)</f>
        <v>5967.8334888520631</v>
      </c>
      <c r="AZ59" s="83"/>
      <c r="BA59" s="83"/>
      <c r="BB59" s="83"/>
      <c r="BC59" s="83"/>
      <c r="BD59" s="83"/>
      <c r="BE59" s="8">
        <f t="shared" si="11"/>
        <v>3.1376210032818944E-2</v>
      </c>
      <c r="BF59" s="16">
        <f t="shared" si="46"/>
        <v>5.9795668259307195</v>
      </c>
      <c r="BG59" s="16"/>
      <c r="BH59" s="189"/>
      <c r="BI59" s="6">
        <f t="shared" si="1"/>
        <v>2.840035458225157E-5</v>
      </c>
      <c r="BJ59" s="151">
        <f t="shared" si="12"/>
        <v>91.201946493164002</v>
      </c>
      <c r="BK59" s="296">
        <f t="shared" si="13"/>
        <v>209.1747335521263</v>
      </c>
      <c r="BL59" s="134">
        <f t="shared" si="14"/>
        <v>2.3205092244515111</v>
      </c>
      <c r="BM59" s="119">
        <f t="shared" si="15"/>
        <v>2.4070585159499776E-2</v>
      </c>
      <c r="BN59">
        <f t="shared" si="16"/>
        <v>32</v>
      </c>
      <c r="BO59" s="124">
        <f t="shared" si="17"/>
        <v>0.52500000000000002</v>
      </c>
      <c r="BP59">
        <f>_xlfn.RANK.AVG(BK59,(BK$51:BK$60,BK$86:BK$88),1)</f>
        <v>12</v>
      </c>
      <c r="BQ59" s="124">
        <f t="shared" si="43"/>
        <v>0.88461538461538458</v>
      </c>
      <c r="BR59" s="14">
        <f t="shared" si="18"/>
        <v>0</v>
      </c>
      <c r="BS59" s="9" t="s">
        <v>135</v>
      </c>
      <c r="BT59" s="144">
        <f>COUNT(BK88)</f>
        <v>1</v>
      </c>
      <c r="BU59" s="144">
        <f>MIN(BK88)</f>
        <v>22.063811310090323</v>
      </c>
      <c r="BV59" s="144">
        <f>AVERAGE(BK88)</f>
        <v>22.063811310090323</v>
      </c>
      <c r="BW59" s="144">
        <f>MAX(BK88)</f>
        <v>22.063811310090323</v>
      </c>
      <c r="BX59" s="83"/>
      <c r="BY59" s="83"/>
      <c r="BZ59" s="83"/>
      <c r="CA59" s="83"/>
      <c r="CB59" s="83"/>
      <c r="CC59" s="151"/>
      <c r="CD59" s="175">
        <f t="shared" si="19"/>
        <v>19077.142857142859</v>
      </c>
      <c r="CE59" s="134">
        <f t="shared" si="20"/>
        <v>4.2805133318832072</v>
      </c>
      <c r="CF59" s="119">
        <f t="shared" si="21"/>
        <v>2.4070585159499776E-2</v>
      </c>
      <c r="CG59">
        <f t="shared" si="22"/>
        <v>37</v>
      </c>
      <c r="CH59" s="124">
        <f t="shared" si="23"/>
        <v>0.60833333333333328</v>
      </c>
      <c r="CI59">
        <f>_xlfn.RANK.AVG(CD59,(CD$51:CD$60,CD$86:CD$88),1)</f>
        <v>12</v>
      </c>
      <c r="CJ59" s="124">
        <f t="shared" si="23"/>
        <v>0.88461538461538458</v>
      </c>
      <c r="CK59" s="14">
        <f t="shared" si="24"/>
        <v>2</v>
      </c>
      <c r="DN59" s="191">
        <f t="shared" si="44"/>
        <v>1.2440490124669256E-8</v>
      </c>
      <c r="DO59" s="97">
        <f t="shared" si="45"/>
        <v>-12.841676251654143</v>
      </c>
      <c r="DP59">
        <f>_xlfn.RANK.AVG(DO59,(DO$51:DO$60,DO$86:DO$88),1)</f>
        <v>2</v>
      </c>
      <c r="DQ59" s="124">
        <f t="shared" si="25"/>
        <v>0.15384615384615385</v>
      </c>
      <c r="EA59" s="11">
        <f t="shared" si="26"/>
        <v>71.539285714285711</v>
      </c>
      <c r="EB59" s="16">
        <f t="shared" si="27"/>
        <v>1.4999999999999998E-2</v>
      </c>
      <c r="EC59" s="16"/>
    </row>
    <row r="60" spans="1:133" x14ac:dyDescent="0.2">
      <c r="A60" s="21" t="s">
        <v>43</v>
      </c>
      <c r="B60" t="s">
        <v>143</v>
      </c>
      <c r="C60">
        <v>3</v>
      </c>
      <c r="D60" t="s">
        <v>17</v>
      </c>
      <c r="E60" t="s">
        <v>16</v>
      </c>
      <c r="F60" s="9">
        <v>11</v>
      </c>
      <c r="G60" s="26" t="s">
        <v>15</v>
      </c>
      <c r="H60" s="1">
        <v>14</v>
      </c>
      <c r="I60" s="11">
        <v>405</v>
      </c>
      <c r="J60" t="s">
        <v>19</v>
      </c>
      <c r="K60" s="6" t="s">
        <v>182</v>
      </c>
      <c r="L60" s="1">
        <v>1E-3</v>
      </c>
      <c r="M60" s="6">
        <v>0.5</v>
      </c>
      <c r="N60" s="1">
        <v>131.4</v>
      </c>
      <c r="O60" s="18">
        <f>VLOOKUP(I60,[1]CompDbase!$B:$K,9,FALSE)</f>
        <v>1164.8441611748488</v>
      </c>
      <c r="P60" s="30">
        <v>2.61</v>
      </c>
      <c r="Q60" s="197"/>
      <c r="R60" s="1">
        <f t="shared" si="28"/>
        <v>-12.164526312706865</v>
      </c>
      <c r="S60" s="1">
        <f t="shared" si="29"/>
        <v>52.129910815588886</v>
      </c>
      <c r="T60" s="1">
        <f t="shared" si="30"/>
        <v>-0.35023197841044118</v>
      </c>
      <c r="U60" s="1">
        <f t="shared" si="2"/>
        <v>-0.3920197575725014</v>
      </c>
      <c r="V60" s="197">
        <f t="shared" si="31"/>
        <v>0</v>
      </c>
      <c r="W60" s="197">
        <f t="shared" si="32"/>
        <v>-12.906778048689809</v>
      </c>
      <c r="X60" s="118">
        <f t="shared" si="33"/>
        <v>1.0708673903320032E-8</v>
      </c>
      <c r="Y60" s="1">
        <f t="shared" si="34"/>
        <v>2.1735158221784663</v>
      </c>
      <c r="Z60" s="1">
        <f t="shared" si="35"/>
        <v>7.1024868613095045</v>
      </c>
      <c r="AA60" s="1">
        <f t="shared" si="36"/>
        <v>-4.7717672755479314E-2</v>
      </c>
      <c r="AB60" s="1">
        <f t="shared" si="3"/>
        <v>-0.10396252078507884</v>
      </c>
      <c r="AC60" s="197">
        <f t="shared" si="37"/>
        <v>0</v>
      </c>
      <c r="AD60" s="197">
        <f t="shared" si="38"/>
        <v>2.0218356286379082</v>
      </c>
      <c r="AE60" s="96">
        <f t="shared" si="39"/>
        <v>105.15638036299806</v>
      </c>
      <c r="AF60" s="98">
        <f t="shared" si="40"/>
        <v>1.1260853861608325E-6</v>
      </c>
      <c r="AG60" s="290">
        <v>2.8000000000000001E-2</v>
      </c>
      <c r="AH60" s="301">
        <f>(AVERAGE(AH166:AH172))</f>
        <v>1.2642857142857142E-4</v>
      </c>
      <c r="AI60" s="162">
        <v>5.0000000000000002E-5</v>
      </c>
      <c r="AJ60" s="167">
        <f t="shared" si="4"/>
        <v>7.9441649817342671E-4</v>
      </c>
      <c r="AK60" s="168">
        <f t="shared" si="5"/>
        <v>7.1907060191517029E-7</v>
      </c>
      <c r="AL60" s="151">
        <f t="shared" si="41"/>
        <v>35.245995097507908</v>
      </c>
      <c r="AM60" s="175">
        <f t="shared" si="42"/>
        <v>6.2835203245355791</v>
      </c>
      <c r="AN60" s="134">
        <f t="shared" si="6"/>
        <v>0.79820302417847844</v>
      </c>
      <c r="AO60" s="119">
        <f t="shared" si="7"/>
        <v>2.4037550200500225E-5</v>
      </c>
      <c r="AP60">
        <f t="shared" si="8"/>
        <v>8</v>
      </c>
      <c r="AQ60" s="124">
        <f t="shared" si="9"/>
        <v>0.125</v>
      </c>
      <c r="AR60">
        <f>_xlfn.RANK.AVG(AM60,(AM$51:AM$60,AM$86:AM$88),1)</f>
        <v>3</v>
      </c>
      <c r="AS60" s="124">
        <f t="shared" si="9"/>
        <v>0.19230769230769232</v>
      </c>
      <c r="AT60" s="14">
        <f t="shared" si="10"/>
        <v>0</v>
      </c>
      <c r="AU60" s="21" t="s">
        <v>32</v>
      </c>
      <c r="AV60" s="144">
        <f>COUNT(AM79:AM80)</f>
        <v>2</v>
      </c>
      <c r="AW60" s="144">
        <f>MIN(AM79:AM80)</f>
        <v>2.7984587184950938</v>
      </c>
      <c r="AX60" s="144">
        <f>AVERAGE(AM79:AM80)</f>
        <v>46.799673656199083</v>
      </c>
      <c r="AY60" s="144">
        <f>MAX(AM79:AM80)</f>
        <v>90.800888593903068</v>
      </c>
      <c r="AZ60" s="83"/>
      <c r="BA60" s="83"/>
      <c r="BB60" s="83"/>
      <c r="BC60" s="83"/>
      <c r="BD60" s="83"/>
      <c r="BE60" s="8">
        <f t="shared" si="11"/>
        <v>3.9555923196566876E-4</v>
      </c>
      <c r="BF60" s="16">
        <f t="shared" si="46"/>
        <v>2.0083376495239413</v>
      </c>
      <c r="BG60" s="16"/>
      <c r="BH60" s="189"/>
      <c r="BI60" s="6">
        <f t="shared" si="1"/>
        <v>3.5804268375171859E-7</v>
      </c>
      <c r="BJ60" s="151">
        <f t="shared" si="12"/>
        <v>70.785858949261396</v>
      </c>
      <c r="BK60" s="296">
        <f t="shared" si="13"/>
        <v>3.1287170889939904</v>
      </c>
      <c r="BL60" s="134">
        <f t="shared" si="14"/>
        <v>0.4953662942923554</v>
      </c>
      <c r="BM60" s="119">
        <f t="shared" si="15"/>
        <v>2.4037550200500225E-5</v>
      </c>
      <c r="BN60">
        <f t="shared" si="16"/>
        <v>6</v>
      </c>
      <c r="BO60" s="124">
        <f t="shared" si="17"/>
        <v>9.166666666666666E-2</v>
      </c>
      <c r="BP60">
        <f>_xlfn.RANK.AVG(BK60,(BK$51:BK$60,BK$86:BK$88),1)</f>
        <v>3</v>
      </c>
      <c r="BQ60" s="124">
        <f t="shared" si="43"/>
        <v>0.19230769230769232</v>
      </c>
      <c r="BR60" s="14">
        <f t="shared" si="18"/>
        <v>0</v>
      </c>
      <c r="BS60" s="21" t="s">
        <v>32</v>
      </c>
      <c r="BT60" s="144">
        <f>COUNT(BK79:BK80)</f>
        <v>2</v>
      </c>
      <c r="BU60" s="144">
        <f>MIN(BK79:BK80)</f>
        <v>0.70846908776270645</v>
      </c>
      <c r="BV60" s="144">
        <f>AVERAGE(BK79:BK80)</f>
        <v>13.236959050621895</v>
      </c>
      <c r="BW60" s="144">
        <f>MAX(BK79:BK80)</f>
        <v>25.765449013481081</v>
      </c>
      <c r="BX60" s="83"/>
      <c r="BY60" s="83"/>
      <c r="BZ60" s="83"/>
      <c r="CA60" s="83"/>
      <c r="CB60" s="83"/>
      <c r="CC60" s="151"/>
      <c r="CD60" s="175">
        <f t="shared" si="19"/>
        <v>221.46892655367233</v>
      </c>
      <c r="CE60" s="134">
        <f t="shared" si="20"/>
        <v>2.3453128006586508</v>
      </c>
      <c r="CF60" s="119">
        <f t="shared" si="21"/>
        <v>2.4037550200500225E-5</v>
      </c>
      <c r="CG60">
        <f t="shared" si="22"/>
        <v>8</v>
      </c>
      <c r="CH60" s="124">
        <f t="shared" si="23"/>
        <v>0.125</v>
      </c>
      <c r="CI60">
        <f>_xlfn.RANK.AVG(CD60,(CD$51:CD$60,CD$86:CD$88),1)</f>
        <v>4</v>
      </c>
      <c r="CJ60" s="124">
        <f t="shared" si="23"/>
        <v>0.26923076923076922</v>
      </c>
      <c r="CK60" s="14">
        <f t="shared" si="24"/>
        <v>2</v>
      </c>
      <c r="DN60" s="191">
        <f t="shared" si="44"/>
        <v>3.5991921101530939E-7</v>
      </c>
      <c r="DO60" s="97">
        <f t="shared" si="45"/>
        <v>-11.380308714344258</v>
      </c>
      <c r="DP60">
        <f>_xlfn.RANK.AVG(DO60,(DO$51:DO$60,DO$86:DO$88),1)</f>
        <v>6</v>
      </c>
      <c r="DQ60" s="124">
        <f t="shared" si="25"/>
        <v>0.46153846153846156</v>
      </c>
      <c r="EA60" s="17">
        <f t="shared" si="26"/>
        <v>5.6000000000000001E-2</v>
      </c>
      <c r="EB60" s="16">
        <f t="shared" si="27"/>
        <v>0.12642857142857142</v>
      </c>
      <c r="EC60" s="16"/>
    </row>
    <row r="61" spans="1:133" x14ac:dyDescent="0.2">
      <c r="A61" s="8"/>
      <c r="D61" s="1"/>
      <c r="E61" s="1"/>
      <c r="F61" s="6"/>
      <c r="G61" s="1"/>
      <c r="I61" s="11"/>
      <c r="K61" s="6"/>
      <c r="M61" s="9"/>
      <c r="O61" s="31"/>
      <c r="X61" s="9"/>
      <c r="AG61" s="10"/>
      <c r="AH61" s="8"/>
      <c r="AJ61" s="167"/>
      <c r="AK61" s="168"/>
      <c r="AL61" s="8"/>
      <c r="AM61" s="176"/>
      <c r="AN61" s="97"/>
      <c r="AO61" s="97"/>
      <c r="AP61"/>
      <c r="AQ61"/>
      <c r="AR61"/>
      <c r="AT61" s="6"/>
      <c r="AU61" s="21" t="s">
        <v>30</v>
      </c>
      <c r="AV61" s="144">
        <f>COUNT(AM81,AM109:AM110)</f>
        <v>3</v>
      </c>
      <c r="AW61" s="144">
        <f>MIN(AM81,AM109:AM110)</f>
        <v>0.76439555829233852</v>
      </c>
      <c r="AX61" s="144">
        <f>AVERAGE(AM81,AM109:AM110)</f>
        <v>71.684851800174357</v>
      </c>
      <c r="AY61" s="144">
        <f>MAX(AM81,AM109:AM110)</f>
        <v>190.05029403782405</v>
      </c>
      <c r="BE61" s="167"/>
      <c r="BF61" s="3"/>
      <c r="BG61" s="3"/>
      <c r="BH61" s="3"/>
      <c r="BI61" s="168"/>
      <c r="BJ61" s="8"/>
      <c r="BK61" s="176"/>
      <c r="BL61" s="97"/>
      <c r="BM61" s="97"/>
      <c r="BN61"/>
      <c r="BO61"/>
      <c r="BP61"/>
      <c r="BR61" s="6"/>
      <c r="BS61" s="21" t="s">
        <v>30</v>
      </c>
      <c r="BT61" s="144">
        <f>COUNT(BK81,BK109:BK110)</f>
        <v>3</v>
      </c>
      <c r="BU61" s="144">
        <f>MIN(BK81,BK109:BK110)</f>
        <v>0.76439555829233852</v>
      </c>
      <c r="BV61" s="144">
        <f>AVERAGE(BK81,BK109:BK110)</f>
        <v>71.684851800174357</v>
      </c>
      <c r="BW61" s="144">
        <f>MAX(BK81,BK109:BK110)</f>
        <v>190.05029403782405</v>
      </c>
      <c r="CC61" s="8"/>
      <c r="CD61" s="176"/>
      <c r="CE61" s="97"/>
      <c r="CF61" s="97"/>
      <c r="CG61"/>
      <c r="CH61"/>
      <c r="CI61"/>
      <c r="CK61" s="6"/>
      <c r="EA61" s="11"/>
    </row>
    <row r="62" spans="1:133" x14ac:dyDescent="0.2">
      <c r="A62" s="8"/>
      <c r="F62" s="9"/>
      <c r="I62" s="8"/>
      <c r="K62" s="6"/>
      <c r="M62" s="9"/>
      <c r="X62" s="9"/>
      <c r="AE62" s="191"/>
      <c r="AG62" s="10"/>
      <c r="AH62" s="8"/>
      <c r="AJ62" s="167"/>
      <c r="AK62" s="168"/>
      <c r="AL62" s="8"/>
      <c r="AN62" s="97"/>
      <c r="AO62" s="97"/>
      <c r="AP62"/>
      <c r="AQ62"/>
      <c r="AR62"/>
      <c r="AT62" s="6"/>
      <c r="AU62" s="5" t="s">
        <v>24</v>
      </c>
      <c r="AV62" s="145">
        <f>COUNT(AM82:AM83,AM111:AM117)</f>
        <v>9</v>
      </c>
      <c r="AW62" s="145">
        <f>MIN(AM82:AM83,AM111:AM117)</f>
        <v>1326.3431075814105</v>
      </c>
      <c r="AX62" s="145">
        <f>AVERAGE(AM82:AM83,AM111:AM117)</f>
        <v>25394.429193304204</v>
      </c>
      <c r="AY62" s="145">
        <f>MAX(AM82:AM83,AM111:AM117)</f>
        <v>124298.78148698482</v>
      </c>
      <c r="BE62" s="167"/>
      <c r="BF62" s="3"/>
      <c r="BG62" s="3"/>
      <c r="BH62" s="3"/>
      <c r="BI62" s="168"/>
      <c r="BJ62" s="8"/>
      <c r="BL62" s="97"/>
      <c r="BM62" s="97"/>
      <c r="BN62"/>
      <c r="BO62"/>
      <c r="BP62"/>
      <c r="BR62" s="6"/>
      <c r="BS62" s="5" t="s">
        <v>24</v>
      </c>
      <c r="BT62" s="145">
        <f>COUNT(BK82:BK83,BK111:BK117)</f>
        <v>9</v>
      </c>
      <c r="BU62" s="145">
        <f>MIN(BK82:BK83,BK111:BK117)</f>
        <v>169.98630521133234</v>
      </c>
      <c r="BV62" s="145">
        <f>AVERAGE(BK82:BK83,BK111:BK117)</f>
        <v>3351.3486936781646</v>
      </c>
      <c r="BW62" s="145">
        <f>MAX(BK82:BK83,BK111:BK117)</f>
        <v>16149.035148441206</v>
      </c>
      <c r="CC62" s="8"/>
      <c r="CE62" s="97"/>
      <c r="CF62" s="97"/>
      <c r="CG62"/>
      <c r="CH62"/>
      <c r="CI62"/>
      <c r="CK62" s="6"/>
      <c r="EA62" s="11"/>
    </row>
    <row r="63" spans="1:133" x14ac:dyDescent="0.2">
      <c r="A63" s="12" t="s">
        <v>42</v>
      </c>
      <c r="B63" s="58"/>
      <c r="F63" s="9"/>
      <c r="I63" s="8"/>
      <c r="K63" s="6"/>
      <c r="M63" s="9"/>
      <c r="X63" s="9"/>
      <c r="AG63" s="10"/>
      <c r="AH63" s="8"/>
      <c r="AJ63" s="167"/>
      <c r="AK63" s="168"/>
      <c r="AL63" s="8"/>
      <c r="AM63" s="13"/>
      <c r="AN63" s="97"/>
      <c r="AO63" s="97"/>
      <c r="AP63"/>
      <c r="AQ63"/>
      <c r="AR63"/>
      <c r="AT63" s="6"/>
      <c r="BE63" s="167"/>
      <c r="BF63" s="3"/>
      <c r="BG63" s="3"/>
      <c r="BH63" s="3"/>
      <c r="BI63" s="168"/>
      <c r="BJ63" s="8"/>
      <c r="BK63" s="13"/>
      <c r="BL63" s="97"/>
      <c r="BM63" s="97"/>
      <c r="BN63"/>
      <c r="BO63"/>
      <c r="BP63"/>
      <c r="BR63" s="6"/>
      <c r="CC63" s="8"/>
      <c r="CD63" s="13"/>
      <c r="CE63" s="97"/>
      <c r="CF63" s="97"/>
      <c r="CG63"/>
      <c r="CH63"/>
      <c r="CI63"/>
      <c r="CK63" s="6"/>
      <c r="CL63" s="16"/>
      <c r="EA63" s="11"/>
    </row>
    <row r="64" spans="1:133" x14ac:dyDescent="0.2">
      <c r="A64" s="8">
        <v>22</v>
      </c>
      <c r="B64" t="s">
        <v>143</v>
      </c>
      <c r="C64">
        <v>2</v>
      </c>
      <c r="D64" t="s">
        <v>2</v>
      </c>
      <c r="E64" t="s">
        <v>1</v>
      </c>
      <c r="F64" s="6">
        <v>59</v>
      </c>
      <c r="G64" s="26" t="s">
        <v>29</v>
      </c>
      <c r="H64" s="1">
        <v>10</v>
      </c>
      <c r="I64" s="11">
        <v>200</v>
      </c>
      <c r="J64" s="13" t="s">
        <v>41</v>
      </c>
      <c r="K64" s="6" t="s">
        <v>151</v>
      </c>
      <c r="L64" s="1">
        <v>1E-3</v>
      </c>
      <c r="M64" s="6">
        <v>0.03</v>
      </c>
      <c r="N64" s="1">
        <v>78.106666524406961</v>
      </c>
      <c r="O64" s="18">
        <f>VLOOKUP(I64,[1]CompDbase!$B:$K,9,FALSE)</f>
        <v>1988.89882593368</v>
      </c>
      <c r="P64" s="30">
        <v>2.13</v>
      </c>
      <c r="Q64" s="1"/>
      <c r="R64" s="1">
        <f t="shared" ref="R64:R83" si="47">D$7*N64+D$8</f>
        <v>-11.565815468244072</v>
      </c>
      <c r="S64" s="1">
        <f t="shared" ref="S64:S83" si="48">D$12*LOG(N64)+D$13</f>
        <v>38.156061539688011</v>
      </c>
      <c r="T64" s="1">
        <f t="shared" ref="T64:T83" si="49">S64/(D$10*LN(10))*(1/(D$11+273)-1/(H64+273))</f>
        <v>-0.35450828653195304</v>
      </c>
      <c r="U64" s="1">
        <f t="shared" ref="U64:U83" si="50">D$15*(AG64/O64-D$16)</f>
        <v>-0.39203515735446914</v>
      </c>
      <c r="V64" s="197">
        <f t="shared" ref="V64:V83" si="51">D$18</f>
        <v>0</v>
      </c>
      <c r="W64" s="197">
        <f t="shared" ref="W64:W83" si="52">R64+T64+U64+V64</f>
        <v>-12.312358912130493</v>
      </c>
      <c r="X64" s="118">
        <f t="shared" ref="X64:X83" si="53">24*60*60*10^W64</f>
        <v>4.2087664839690904E-8</v>
      </c>
      <c r="Y64" s="1">
        <f t="shared" ref="Y64:Y83" si="54">D$20*P64+D$21</f>
        <v>1.6470686781530968</v>
      </c>
      <c r="Z64" s="1">
        <f t="shared" ref="Z64:Z82" si="55">D$25*LOG(O64)+D$26</f>
        <v>8.9430527115373621</v>
      </c>
      <c r="AA64" s="1">
        <f t="shared" ref="AA64:AA83" si="56">Z64/(D$10*LN(10))*(1/(D$24+273)-1/(H64+273))</f>
        <v>-8.3089977455728006E-2</v>
      </c>
      <c r="AB64" s="1">
        <f t="shared" ref="AB64:AB83" si="57">D$28*(AG64/O64-D$29)</f>
        <v>-0.10396456272510474</v>
      </c>
      <c r="AC64" s="197">
        <f t="shared" ref="AC64:AC83" si="58">D$30</f>
        <v>0</v>
      </c>
      <c r="AD64" s="197">
        <f t="shared" ref="AD64:AD83" si="59">Y64+AA64+AB64+AC64</f>
        <v>1.460014137972264</v>
      </c>
      <c r="AE64" s="96">
        <f t="shared" ref="AE64:AE83" si="60">10^AD64</f>
        <v>28.841253910823326</v>
      </c>
      <c r="AF64" s="98">
        <f t="shared" ref="AF64:AF83" si="61">AE64*X64</f>
        <v>1.2138610281551568E-6</v>
      </c>
      <c r="AG64" s="291">
        <v>8.745000000000001E-3</v>
      </c>
      <c r="AH64" s="21"/>
      <c r="AI64" s="162">
        <v>5.0000000000000002E-5</v>
      </c>
      <c r="AJ64" s="167">
        <f t="shared" ref="AJ64:AJ83" si="62">$E$38*AK64/$E$40</f>
        <v>2.6745312903040676E-4</v>
      </c>
      <c r="AK64" s="168">
        <f t="shared" ref="AK64:AK83" si="63">AF64*AG64*E$41/E$32</f>
        <v>2.4208671763260134E-7</v>
      </c>
      <c r="AL64" s="151">
        <f>$AG64/AJ64</f>
        <v>32.697317962601893</v>
      </c>
      <c r="AM64" s="177">
        <f>AJ64/$AI64</f>
        <v>5.3490625806081349</v>
      </c>
      <c r="AN64" s="134">
        <f t="shared" ref="AN64:AN83" si="64">LOG(AM64)</f>
        <v>0.72827767889217565</v>
      </c>
      <c r="AO64" s="119">
        <f t="shared" ref="AO64:AO83" si="65">$AG64/$O64</f>
        <v>4.3969054061333151E-6</v>
      </c>
      <c r="AP64">
        <f t="shared" ref="AP64:AP83" si="66">_xlfn.RANK.AVG(AM64,AM$51:AM$117,1)</f>
        <v>6</v>
      </c>
      <c r="AQ64" s="124">
        <f t="shared" ref="AQ64" si="67">(AP64-0.5)/MAX(AP$51:AP$117)</f>
        <v>9.166666666666666E-2</v>
      </c>
      <c r="AR64" s="124"/>
      <c r="AS64" s="124"/>
      <c r="AT64" s="14">
        <f t="shared" ref="AT64:AT83" si="68">IF(AND(AJ64&gt;$AI64,$AH64&gt;$AI64),0,IF(AND(AJ64&gt;$AI64,$AH64&lt;$AI64),1,IF(AND(AJ64&lt;$AI64,$AH64&gt;$AI64),2,3)))</f>
        <v>1</v>
      </c>
      <c r="AZ64" s="83"/>
      <c r="BA64" s="83"/>
      <c r="BB64" s="83"/>
      <c r="BC64" s="83"/>
      <c r="BD64" s="83"/>
      <c r="BE64" s="8">
        <f t="shared" ref="BE64:BE83" si="69">BI64*$E$38/$E$40</f>
        <v>2.0854243276754715E-4</v>
      </c>
      <c r="BF64" s="16">
        <f t="shared" ref="BF64:BF83" si="70">10^(MAX(0,((W64+12.5)/2+AD64)*0.73611+-1.03574))</f>
        <v>1.2824878154582799</v>
      </c>
      <c r="BG64" s="16"/>
      <c r="BH64" s="189"/>
      <c r="BI64" s="6">
        <f t="shared" ref="BI64:BI83" si="71">(1/BF64)*AF64*AG64*E$41/E$32</f>
        <v>1.8876336657131894E-7</v>
      </c>
      <c r="BJ64" s="151">
        <f t="shared" ref="BJ64:BJ83" si="72">$AG64/BE64</f>
        <v>41.933911885202079</v>
      </c>
      <c r="BK64" s="177">
        <f t="shared" ref="BK64:BK83" si="73">BE64/$AI64</f>
        <v>4.1708486553509427</v>
      </c>
      <c r="BL64" s="134">
        <f t="shared" ref="BL64:BL83" si="74">LOG(BK64)</f>
        <v>0.62022443119360116</v>
      </c>
      <c r="BM64" s="119">
        <f t="shared" ref="BM64:BM83" si="75">$AG64/$O64</f>
        <v>4.3969054061333151E-6</v>
      </c>
      <c r="BN64">
        <f t="shared" ref="BN64:BN83" si="76">_xlfn.RANK.AVG(BK64,BK$51:BK$117,1)</f>
        <v>9</v>
      </c>
      <c r="BO64" s="124">
        <f t="shared" ref="BO64:BO83" si="77">(BN64-0.5)/MAX(BN$51:BN$117)</f>
        <v>0.14166666666666666</v>
      </c>
      <c r="BP64" s="124"/>
      <c r="BQ64" s="124"/>
      <c r="BR64" s="14">
        <f t="shared" ref="BR64:BR83" si="78">IF(AND(BE64&gt;$AI64,$AH64&gt;$AI64),0,IF(AND(BE64&gt;$AI64,$AH64&lt;$AI64),1,IF(AND(BE64&lt;$AI64,$AH64&gt;$AI64),2,3)))</f>
        <v>1</v>
      </c>
      <c r="BX64" s="83"/>
      <c r="BY64" s="83"/>
      <c r="BZ64" s="83"/>
      <c r="CA64" s="83"/>
      <c r="CB64" s="83"/>
      <c r="CC64" s="151"/>
      <c r="CD64" s="177">
        <f t="shared" ref="CD64:CD83" si="79">AG64/AI64</f>
        <v>174.9</v>
      </c>
      <c r="CE64" s="134">
        <f t="shared" ref="CE64:CE83" si="80">LOG(CD64)</f>
        <v>2.2427898094786767</v>
      </c>
      <c r="CF64" s="119">
        <f t="shared" ref="CF64:CF83" si="81">$AG64/$O64</f>
        <v>4.3969054061333151E-6</v>
      </c>
      <c r="CG64">
        <f t="shared" ref="CG64:CG83" si="82">_xlfn.RANK.AVG(CD64,CD$51:CD$117,1)</f>
        <v>6</v>
      </c>
      <c r="CH64" s="124">
        <f t="shared" ref="CH64:CH83" si="83">(CG64-0.5)/MAX(CG$51:CG$117)</f>
        <v>9.166666666666666E-2</v>
      </c>
      <c r="CI64" s="124"/>
      <c r="CJ64" s="124"/>
      <c r="CK64" s="14">
        <f t="shared" ref="CK64:CK83" si="84">IF(AND(BC64&gt;$AI64,$AH64&gt;$AI64),0,IF(AND(BC64&gt;$AI64,$AH64&lt;$AI64),1,IF(AND(BC64&lt;$AI64,$AH64&gt;$AI64),2,3)))</f>
        <v>3</v>
      </c>
      <c r="CL64" s="1"/>
      <c r="CP64" s="83">
        <f>SUM(CP47:CP58)</f>
        <v>60</v>
      </c>
      <c r="CU64" s="83">
        <f>SUM(CU47:CU58)</f>
        <v>47</v>
      </c>
      <c r="CZ64" s="83">
        <f>SUM(CZ47:CZ58)</f>
        <v>13</v>
      </c>
      <c r="DN64" s="191">
        <f t="shared" ref="DN64:DN83" si="85">AF64/BK64</f>
        <v>2.9103454199850853E-7</v>
      </c>
      <c r="DO64" s="97"/>
      <c r="DP64" s="124"/>
      <c r="DQ64" s="124"/>
      <c r="EA64" s="17">
        <f t="shared" ref="EA64:EA83" si="86">AG64/M64</f>
        <v>0.29150000000000004</v>
      </c>
      <c r="EB64" s="16">
        <f t="shared" ref="EB64:EB83" si="87">AI64/L64</f>
        <v>0.05</v>
      </c>
      <c r="EC64" s="16"/>
    </row>
    <row r="65" spans="1:133" x14ac:dyDescent="0.2">
      <c r="A65" s="8">
        <v>87</v>
      </c>
      <c r="B65" t="s">
        <v>143</v>
      </c>
      <c r="C65">
        <v>8</v>
      </c>
      <c r="D65" s="16" t="s">
        <v>28</v>
      </c>
      <c r="E65" t="s">
        <v>27</v>
      </c>
      <c r="F65" s="14" t="s">
        <v>26</v>
      </c>
      <c r="G65" s="16"/>
      <c r="H65" s="99">
        <v>14</v>
      </c>
      <c r="I65" s="11">
        <v>200</v>
      </c>
      <c r="J65" t="s">
        <v>41</v>
      </c>
      <c r="K65" s="6" t="s">
        <v>151</v>
      </c>
      <c r="L65" s="1">
        <v>1E-3</v>
      </c>
      <c r="M65" s="6">
        <v>0.03</v>
      </c>
      <c r="N65" s="1">
        <v>78.106666524406961</v>
      </c>
      <c r="O65" s="18">
        <f>VLOOKUP(I65,[1]CompDbase!$B:$K,9,FALSE)</f>
        <v>1988.89882593368</v>
      </c>
      <c r="P65" s="30">
        <v>2.13</v>
      </c>
      <c r="Q65" s="1"/>
      <c r="R65" s="1">
        <f t="shared" si="47"/>
        <v>-11.565815468244072</v>
      </c>
      <c r="S65" s="1">
        <f t="shared" si="48"/>
        <v>38.156061539688011</v>
      </c>
      <c r="T65" s="1">
        <f t="shared" si="49"/>
        <v>-0.25634942995911042</v>
      </c>
      <c r="U65" s="1">
        <f t="shared" si="50"/>
        <v>-0.39203791497090024</v>
      </c>
      <c r="V65" s="197">
        <f t="shared" si="51"/>
        <v>0</v>
      </c>
      <c r="W65" s="197">
        <f t="shared" si="52"/>
        <v>-12.214202813174083</v>
      </c>
      <c r="X65" s="118">
        <f t="shared" si="53"/>
        <v>5.2760746214694103E-8</v>
      </c>
      <c r="Y65" s="1">
        <f t="shared" si="54"/>
        <v>1.6470686781530968</v>
      </c>
      <c r="Z65" s="1">
        <f t="shared" si="55"/>
        <v>8.9430527115373621</v>
      </c>
      <c r="AA65" s="1">
        <f t="shared" si="56"/>
        <v>-6.0083414592260478E-2</v>
      </c>
      <c r="AB65" s="1">
        <f t="shared" si="57"/>
        <v>-0.10396492837231834</v>
      </c>
      <c r="AC65" s="197">
        <f t="shared" si="58"/>
        <v>0</v>
      </c>
      <c r="AD65" s="197">
        <f t="shared" si="59"/>
        <v>1.4830203351885181</v>
      </c>
      <c r="AE65" s="96">
        <f t="shared" si="60"/>
        <v>30.410274138957252</v>
      </c>
      <c r="AF65" s="98">
        <f t="shared" si="61"/>
        <v>1.6044687561647987E-6</v>
      </c>
      <c r="AG65" s="291">
        <v>1.75E-3</v>
      </c>
      <c r="AH65" s="21"/>
      <c r="AI65" s="162">
        <v>5.0000000000000002E-5</v>
      </c>
      <c r="AJ65" s="167">
        <f t="shared" si="62"/>
        <v>7.0743772317671889E-5</v>
      </c>
      <c r="AK65" s="168">
        <f t="shared" si="63"/>
        <v>6.4034127009171025E-8</v>
      </c>
      <c r="AL65" s="151">
        <f t="shared" ref="AL65:AL83" si="88">$AG65/AJ65</f>
        <v>24.737159790429324</v>
      </c>
      <c r="AM65" s="177">
        <f t="shared" ref="AM65:AM83" si="89">AJ65/$AI65</f>
        <v>1.4148754463534376</v>
      </c>
      <c r="AN65" s="134">
        <f t="shared" si="64"/>
        <v>0.150718209936439</v>
      </c>
      <c r="AO65" s="119">
        <f t="shared" si="65"/>
        <v>8.798838720106691E-7</v>
      </c>
      <c r="AP65">
        <f t="shared" si="66"/>
        <v>2</v>
      </c>
      <c r="AQ65" s="124">
        <f t="shared" ref="AQ65" si="90">(AP65-0.5)/MAX(AP$51:AP$117)</f>
        <v>2.5000000000000001E-2</v>
      </c>
      <c r="AR65" s="124"/>
      <c r="AS65" s="124"/>
      <c r="AT65" s="14">
        <f t="shared" si="68"/>
        <v>1</v>
      </c>
      <c r="AZ65" s="83"/>
      <c r="BA65" s="83"/>
      <c r="BB65" s="83"/>
      <c r="BC65" s="83"/>
      <c r="BD65" s="83"/>
      <c r="BE65" s="8">
        <f t="shared" si="69"/>
        <v>4.881721862566996E-5</v>
      </c>
      <c r="BF65" s="16">
        <f t="shared" si="70"/>
        <v>1.4491561442722616</v>
      </c>
      <c r="BG65" s="16"/>
      <c r="BH65" s="189"/>
      <c r="BI65" s="6">
        <f t="shared" si="71"/>
        <v>4.4187182493938742E-8</v>
      </c>
      <c r="BJ65" s="151">
        <f t="shared" si="72"/>
        <v>35.848007102145374</v>
      </c>
      <c r="BK65" s="177">
        <f t="shared" si="73"/>
        <v>0.97634437251339912</v>
      </c>
      <c r="BL65" s="134">
        <f t="shared" si="74"/>
        <v>-1.0396972596393855E-2</v>
      </c>
      <c r="BM65" s="119">
        <f t="shared" si="75"/>
        <v>8.798838720106691E-7</v>
      </c>
      <c r="BN65">
        <f t="shared" si="76"/>
        <v>3</v>
      </c>
      <c r="BO65" s="124">
        <f t="shared" si="77"/>
        <v>4.1666666666666664E-2</v>
      </c>
      <c r="BP65" s="124"/>
      <c r="BQ65" s="124"/>
      <c r="BR65" s="14">
        <f t="shared" si="78"/>
        <v>3</v>
      </c>
      <c r="BX65" s="83"/>
      <c r="BY65" s="83"/>
      <c r="BZ65" s="83"/>
      <c r="CA65" s="83"/>
      <c r="CB65" s="83"/>
      <c r="CC65" s="151"/>
      <c r="CD65" s="177">
        <f t="shared" si="79"/>
        <v>35</v>
      </c>
      <c r="CE65" s="134">
        <f t="shared" si="80"/>
        <v>1.5440680443502757</v>
      </c>
      <c r="CF65" s="119">
        <f t="shared" si="81"/>
        <v>8.798838720106691E-7</v>
      </c>
      <c r="CG65">
        <f t="shared" si="82"/>
        <v>2.5</v>
      </c>
      <c r="CH65" s="124">
        <f t="shared" si="83"/>
        <v>3.3333333333333333E-2</v>
      </c>
      <c r="CI65" s="124"/>
      <c r="CJ65" s="124"/>
      <c r="CK65" s="14">
        <f t="shared" si="84"/>
        <v>3</v>
      </c>
      <c r="CL65" s="16"/>
      <c r="DN65" s="191">
        <f t="shared" si="85"/>
        <v>1.6433430676047445E-6</v>
      </c>
      <c r="DO65" s="97"/>
      <c r="DP65" s="124"/>
      <c r="DQ65" s="124"/>
      <c r="EA65" s="17">
        <f t="shared" si="86"/>
        <v>5.8333333333333334E-2</v>
      </c>
      <c r="EB65" s="16">
        <f t="shared" si="87"/>
        <v>0.05</v>
      </c>
      <c r="EC65" s="16"/>
    </row>
    <row r="66" spans="1:133" x14ac:dyDescent="0.2">
      <c r="A66" s="8">
        <v>13</v>
      </c>
      <c r="B66" t="s">
        <v>143</v>
      </c>
      <c r="C66">
        <v>1</v>
      </c>
      <c r="D66" s="23" t="s">
        <v>11</v>
      </c>
      <c r="E66" t="s">
        <v>10</v>
      </c>
      <c r="F66" s="6">
        <v>42</v>
      </c>
      <c r="G66" s="28" t="s">
        <v>33</v>
      </c>
      <c r="H66" s="1">
        <v>10</v>
      </c>
      <c r="I66" s="11">
        <v>410</v>
      </c>
      <c r="J66" t="s">
        <v>8</v>
      </c>
      <c r="K66" s="6" t="s">
        <v>181</v>
      </c>
      <c r="L66" s="1">
        <v>1E-3</v>
      </c>
      <c r="M66" s="6">
        <v>0.02</v>
      </c>
      <c r="N66" s="1">
        <v>96.95</v>
      </c>
      <c r="O66" s="18">
        <f>VLOOKUP(I66,[1]CompDbase!$B:$K,9,FALSE)</f>
        <v>775.6</v>
      </c>
      <c r="P66" s="30">
        <v>1.906666666666667</v>
      </c>
      <c r="Q66" s="1"/>
      <c r="R66" s="1">
        <f t="shared" si="47"/>
        <v>-11.77750626260643</v>
      </c>
      <c r="S66" s="1">
        <f t="shared" si="48"/>
        <v>43.961901653785603</v>
      </c>
      <c r="T66" s="1">
        <f t="shared" si="49"/>
        <v>-0.40845039553569185</v>
      </c>
      <c r="U66" s="1">
        <f t="shared" si="50"/>
        <v>-0.38510639877314112</v>
      </c>
      <c r="V66" s="197">
        <f t="shared" si="51"/>
        <v>0</v>
      </c>
      <c r="W66" s="197">
        <f t="shared" si="52"/>
        <v>-12.571063056915262</v>
      </c>
      <c r="X66" s="118">
        <f t="shared" si="53"/>
        <v>2.3198007556462741E-8</v>
      </c>
      <c r="Y66" s="1">
        <f t="shared" si="54"/>
        <v>1.4021245208635156</v>
      </c>
      <c r="Z66" s="1">
        <f t="shared" si="55"/>
        <v>5.7032771294084306</v>
      </c>
      <c r="AA66" s="1">
        <f t="shared" si="56"/>
        <v>-5.298919545615112E-2</v>
      </c>
      <c r="AB66" s="1">
        <f t="shared" si="57"/>
        <v>-0.10304584131030577</v>
      </c>
      <c r="AC66" s="197">
        <f t="shared" si="58"/>
        <v>0</v>
      </c>
      <c r="AD66" s="197">
        <f t="shared" si="59"/>
        <v>1.2460894840970587</v>
      </c>
      <c r="AE66" s="96">
        <f t="shared" si="60"/>
        <v>17.62339129726422</v>
      </c>
      <c r="AF66" s="98">
        <f t="shared" si="61"/>
        <v>4.0882756448443508E-7</v>
      </c>
      <c r="AG66" s="291">
        <v>6.8572571428571436</v>
      </c>
      <c r="AH66" s="21"/>
      <c r="AI66" s="162">
        <v>5.0000000000000002E-5</v>
      </c>
      <c r="AJ66" s="167">
        <f t="shared" si="62"/>
        <v>7.0633301505613047E-2</v>
      </c>
      <c r="AK66" s="168">
        <f t="shared" si="63"/>
        <v>6.3934133726675188E-5</v>
      </c>
      <c r="AL66" s="151">
        <f t="shared" si="88"/>
        <v>97.082495036880232</v>
      </c>
      <c r="AM66" s="177">
        <f t="shared" si="89"/>
        <v>1412.6660301122608</v>
      </c>
      <c r="AN66" s="134">
        <f t="shared" si="64"/>
        <v>3.1500395019598835</v>
      </c>
      <c r="AO66" s="119">
        <f t="shared" si="65"/>
        <v>8.841228910336698E-3</v>
      </c>
      <c r="AP66">
        <f t="shared" si="66"/>
        <v>37</v>
      </c>
      <c r="AQ66" s="124">
        <f t="shared" ref="AQ66" si="91">(AP66-0.5)/MAX(AP$51:AP$117)</f>
        <v>0.60833333333333328</v>
      </c>
      <c r="AR66" s="124"/>
      <c r="AS66" s="124"/>
      <c r="AT66" s="14">
        <f t="shared" si="68"/>
        <v>1</v>
      </c>
      <c r="AV66" t="s">
        <v>191</v>
      </c>
      <c r="AZ66" s="83"/>
      <c r="BA66" s="83"/>
      <c r="BB66" s="83"/>
      <c r="BC66" s="83"/>
      <c r="BD66" s="83"/>
      <c r="BE66" s="8">
        <f t="shared" si="69"/>
        <v>7.0633301505613047E-2</v>
      </c>
      <c r="BF66" s="16">
        <f t="shared" si="70"/>
        <v>1</v>
      </c>
      <c r="BG66" s="16"/>
      <c r="BH66" s="189"/>
      <c r="BI66" s="6">
        <f t="shared" si="71"/>
        <v>6.3934133726675188E-5</v>
      </c>
      <c r="BJ66" s="151">
        <f t="shared" si="72"/>
        <v>97.082495036880232</v>
      </c>
      <c r="BK66" s="177">
        <f t="shared" si="73"/>
        <v>1412.6660301122608</v>
      </c>
      <c r="BL66" s="134">
        <f t="shared" si="74"/>
        <v>3.1500395019598835</v>
      </c>
      <c r="BM66" s="119">
        <f t="shared" si="75"/>
        <v>8.841228910336698E-3</v>
      </c>
      <c r="BN66">
        <f t="shared" si="76"/>
        <v>48</v>
      </c>
      <c r="BO66" s="124">
        <f t="shared" si="77"/>
        <v>0.79166666666666663</v>
      </c>
      <c r="BP66" s="124"/>
      <c r="BQ66" s="124"/>
      <c r="BR66" s="14">
        <f t="shared" si="78"/>
        <v>1</v>
      </c>
      <c r="BT66" t="s">
        <v>191</v>
      </c>
      <c r="BX66" s="83"/>
      <c r="BY66" s="83"/>
      <c r="BZ66" s="83"/>
      <c r="CA66" s="83"/>
      <c r="CB66" s="83"/>
      <c r="CC66" s="151"/>
      <c r="CD66" s="177">
        <f t="shared" si="79"/>
        <v>137145.14285714287</v>
      </c>
      <c r="CE66" s="134">
        <f t="shared" si="80"/>
        <v>5.1371804312063585</v>
      </c>
      <c r="CF66" s="119">
        <f t="shared" si="81"/>
        <v>8.841228910336698E-3</v>
      </c>
      <c r="CG66">
        <f t="shared" si="82"/>
        <v>53</v>
      </c>
      <c r="CH66" s="124">
        <f t="shared" si="83"/>
        <v>0.875</v>
      </c>
      <c r="CI66" s="124"/>
      <c r="CJ66" s="124"/>
      <c r="CK66" s="14">
        <f t="shared" si="84"/>
        <v>3</v>
      </c>
      <c r="CL66" s="16"/>
      <c r="DN66" s="191">
        <f t="shared" si="85"/>
        <v>2.8940142664288926E-10</v>
      </c>
      <c r="DO66" s="97"/>
      <c r="DP66" s="124"/>
      <c r="DQ66" s="124"/>
      <c r="EA66" s="17">
        <f t="shared" si="86"/>
        <v>342.86285714285719</v>
      </c>
      <c r="EB66" s="16">
        <f t="shared" si="87"/>
        <v>0.05</v>
      </c>
      <c r="EC66" s="16"/>
    </row>
    <row r="67" spans="1:133" x14ac:dyDescent="0.2">
      <c r="A67" s="8">
        <v>14</v>
      </c>
      <c r="B67" t="s">
        <v>143</v>
      </c>
      <c r="C67">
        <v>1</v>
      </c>
      <c r="D67" s="23" t="s">
        <v>11</v>
      </c>
      <c r="E67" t="s">
        <v>10</v>
      </c>
      <c r="F67" s="6">
        <v>46</v>
      </c>
      <c r="G67" s="28" t="s">
        <v>33</v>
      </c>
      <c r="H67" s="1">
        <v>10</v>
      </c>
      <c r="I67" s="11">
        <v>410</v>
      </c>
      <c r="J67" t="s">
        <v>8</v>
      </c>
      <c r="K67" s="6" t="s">
        <v>181</v>
      </c>
      <c r="L67" s="1">
        <v>1E-3</v>
      </c>
      <c r="M67" s="6">
        <v>0.02</v>
      </c>
      <c r="N67" s="1">
        <v>96.95</v>
      </c>
      <c r="O67" s="18">
        <f>VLOOKUP(I67,[1]CompDbase!$B:$K,9,FALSE)</f>
        <v>775.6</v>
      </c>
      <c r="P67" s="30">
        <v>1.906666666666667</v>
      </c>
      <c r="Q67" s="1"/>
      <c r="R67" s="1">
        <f t="shared" si="47"/>
        <v>-11.77750626260643</v>
      </c>
      <c r="S67" s="1">
        <f t="shared" si="48"/>
        <v>43.961901653785603</v>
      </c>
      <c r="T67" s="1">
        <f t="shared" si="49"/>
        <v>-0.40845039553569185</v>
      </c>
      <c r="U67" s="1">
        <f t="shared" si="50"/>
        <v>-0.38510639877314112</v>
      </c>
      <c r="V67" s="197">
        <f t="shared" si="51"/>
        <v>0</v>
      </c>
      <c r="W67" s="197">
        <f t="shared" si="52"/>
        <v>-12.571063056915262</v>
      </c>
      <c r="X67" s="118">
        <f t="shared" si="53"/>
        <v>2.3198007556462741E-8</v>
      </c>
      <c r="Y67" s="1">
        <f t="shared" si="54"/>
        <v>1.4021245208635156</v>
      </c>
      <c r="Z67" s="1">
        <f t="shared" si="55"/>
        <v>5.7032771294084306</v>
      </c>
      <c r="AA67" s="1">
        <f t="shared" si="56"/>
        <v>-5.298919545615112E-2</v>
      </c>
      <c r="AB67" s="1">
        <f t="shared" si="57"/>
        <v>-0.10304584131030577</v>
      </c>
      <c r="AC67" s="197">
        <f t="shared" si="58"/>
        <v>0</v>
      </c>
      <c r="AD67" s="197">
        <f t="shared" si="59"/>
        <v>1.2460894840970587</v>
      </c>
      <c r="AE67" s="96">
        <f t="shared" si="60"/>
        <v>17.62339129726422</v>
      </c>
      <c r="AF67" s="98">
        <f t="shared" si="61"/>
        <v>4.0882756448443508E-7</v>
      </c>
      <c r="AG67" s="291">
        <v>6.8572571428571436</v>
      </c>
      <c r="AH67" s="21"/>
      <c r="AI67" s="162">
        <v>5.0000000000000002E-5</v>
      </c>
      <c r="AJ67" s="167">
        <f t="shared" si="62"/>
        <v>7.0633301505613047E-2</v>
      </c>
      <c r="AK67" s="168">
        <f t="shared" si="63"/>
        <v>6.3934133726675188E-5</v>
      </c>
      <c r="AL67" s="151">
        <f t="shared" si="88"/>
        <v>97.082495036880232</v>
      </c>
      <c r="AM67" s="177">
        <f t="shared" si="89"/>
        <v>1412.6660301122608</v>
      </c>
      <c r="AN67" s="134">
        <f t="shared" si="64"/>
        <v>3.1500395019598835</v>
      </c>
      <c r="AO67" s="119">
        <f t="shared" si="65"/>
        <v>8.841228910336698E-3</v>
      </c>
      <c r="AP67">
        <f t="shared" si="66"/>
        <v>37</v>
      </c>
      <c r="AQ67" s="124">
        <f t="shared" ref="AQ67" si="92">(AP67-0.5)/MAX(AP$51:AP$117)</f>
        <v>0.60833333333333328</v>
      </c>
      <c r="AR67" s="124"/>
      <c r="AS67" s="124"/>
      <c r="AT67" s="14">
        <f t="shared" si="68"/>
        <v>1</v>
      </c>
      <c r="AV67" s="74">
        <v>4.2361111111111106E-2</v>
      </c>
      <c r="AZ67" s="83"/>
      <c r="BA67" s="83"/>
      <c r="BB67" s="83"/>
      <c r="BC67" s="83"/>
      <c r="BD67" s="83"/>
      <c r="BE67" s="8">
        <f t="shared" si="69"/>
        <v>7.0633301505613047E-2</v>
      </c>
      <c r="BF67" s="16">
        <f t="shared" si="70"/>
        <v>1</v>
      </c>
      <c r="BG67" s="16"/>
      <c r="BH67" s="189"/>
      <c r="BI67" s="6">
        <f t="shared" si="71"/>
        <v>6.3934133726675188E-5</v>
      </c>
      <c r="BJ67" s="151">
        <f t="shared" si="72"/>
        <v>97.082495036880232</v>
      </c>
      <c r="BK67" s="177">
        <f t="shared" si="73"/>
        <v>1412.6660301122608</v>
      </c>
      <c r="BL67" s="134">
        <f t="shared" si="74"/>
        <v>3.1500395019598835</v>
      </c>
      <c r="BM67" s="119">
        <f t="shared" si="75"/>
        <v>8.841228910336698E-3</v>
      </c>
      <c r="BN67">
        <f t="shared" si="76"/>
        <v>48</v>
      </c>
      <c r="BO67" s="124">
        <f t="shared" si="77"/>
        <v>0.79166666666666663</v>
      </c>
      <c r="BP67" s="124"/>
      <c r="BQ67" s="124"/>
      <c r="BR67" s="14">
        <f t="shared" si="78"/>
        <v>1</v>
      </c>
      <c r="BT67" s="74">
        <v>4.2361111111111106E-2</v>
      </c>
      <c r="BX67" s="83"/>
      <c r="BY67" s="83"/>
      <c r="BZ67" s="83"/>
      <c r="CA67" s="83"/>
      <c r="CB67" s="83"/>
      <c r="CC67" s="151"/>
      <c r="CD67" s="177">
        <f t="shared" si="79"/>
        <v>137145.14285714287</v>
      </c>
      <c r="CE67" s="134">
        <f t="shared" si="80"/>
        <v>5.1371804312063585</v>
      </c>
      <c r="CF67" s="119">
        <f t="shared" si="81"/>
        <v>8.841228910336698E-3</v>
      </c>
      <c r="CG67">
        <f t="shared" si="82"/>
        <v>53</v>
      </c>
      <c r="CH67" s="124">
        <f t="shared" si="83"/>
        <v>0.875</v>
      </c>
      <c r="CI67" s="124"/>
      <c r="CJ67" s="124"/>
      <c r="CK67" s="14">
        <f t="shared" si="84"/>
        <v>3</v>
      </c>
      <c r="CL67" s="16"/>
      <c r="DN67" s="191">
        <f t="shared" si="85"/>
        <v>2.8940142664288926E-10</v>
      </c>
      <c r="DO67" s="97"/>
      <c r="DP67" s="124"/>
      <c r="DQ67" s="124"/>
      <c r="EA67" s="17">
        <f t="shared" si="86"/>
        <v>342.86285714285719</v>
      </c>
      <c r="EB67" s="16">
        <f t="shared" si="87"/>
        <v>0.05</v>
      </c>
      <c r="EC67" s="16"/>
    </row>
    <row r="68" spans="1:133" x14ac:dyDescent="0.2">
      <c r="A68" s="8">
        <v>15</v>
      </c>
      <c r="B68" t="s">
        <v>143</v>
      </c>
      <c r="C68">
        <v>1</v>
      </c>
      <c r="D68" s="23" t="s">
        <v>11</v>
      </c>
      <c r="E68" t="s">
        <v>10</v>
      </c>
      <c r="F68" s="6">
        <v>48</v>
      </c>
      <c r="G68" s="28" t="s">
        <v>33</v>
      </c>
      <c r="H68" s="1">
        <v>10</v>
      </c>
      <c r="I68" s="11">
        <v>410</v>
      </c>
      <c r="J68" s="13" t="s">
        <v>8</v>
      </c>
      <c r="K68" s="6" t="s">
        <v>181</v>
      </c>
      <c r="L68" s="1">
        <v>1E-3</v>
      </c>
      <c r="M68" s="6">
        <v>0.02</v>
      </c>
      <c r="N68" s="1">
        <v>96.95</v>
      </c>
      <c r="O68" s="18">
        <f>VLOOKUP(I68,[1]CompDbase!$B:$K,9,FALSE)</f>
        <v>775.6</v>
      </c>
      <c r="P68" s="30">
        <v>1.906666666666667</v>
      </c>
      <c r="Q68" s="1"/>
      <c r="R68" s="1">
        <f t="shared" si="47"/>
        <v>-11.77750626260643</v>
      </c>
      <c r="S68" s="1">
        <f t="shared" si="48"/>
        <v>43.961901653785603</v>
      </c>
      <c r="T68" s="1">
        <f t="shared" si="49"/>
        <v>-0.40845039553569185</v>
      </c>
      <c r="U68" s="1">
        <f t="shared" si="50"/>
        <v>-0.38510639877314112</v>
      </c>
      <c r="V68" s="197">
        <f t="shared" si="51"/>
        <v>0</v>
      </c>
      <c r="W68" s="197">
        <f t="shared" si="52"/>
        <v>-12.571063056915262</v>
      </c>
      <c r="X68" s="118">
        <f t="shared" si="53"/>
        <v>2.3198007556462741E-8</v>
      </c>
      <c r="Y68" s="1">
        <f t="shared" si="54"/>
        <v>1.4021245208635156</v>
      </c>
      <c r="Z68" s="1">
        <f t="shared" si="55"/>
        <v>5.7032771294084306</v>
      </c>
      <c r="AA68" s="1">
        <f t="shared" si="56"/>
        <v>-5.298919545615112E-2</v>
      </c>
      <c r="AB68" s="1">
        <f t="shared" si="57"/>
        <v>-0.10304584131030577</v>
      </c>
      <c r="AC68" s="197">
        <f t="shared" si="58"/>
        <v>0</v>
      </c>
      <c r="AD68" s="197">
        <f t="shared" si="59"/>
        <v>1.2460894840970587</v>
      </c>
      <c r="AE68" s="96">
        <f t="shared" si="60"/>
        <v>17.62339129726422</v>
      </c>
      <c r="AF68" s="98">
        <f t="shared" si="61"/>
        <v>4.0882756448443508E-7</v>
      </c>
      <c r="AG68" s="291">
        <v>6.8572571428571436</v>
      </c>
      <c r="AH68" s="21"/>
      <c r="AI68" s="162">
        <v>5.0000000000000002E-5</v>
      </c>
      <c r="AJ68" s="167">
        <f t="shared" si="62"/>
        <v>7.0633301505613047E-2</v>
      </c>
      <c r="AK68" s="168">
        <f t="shared" si="63"/>
        <v>6.3934133726675188E-5</v>
      </c>
      <c r="AL68" s="151">
        <f t="shared" si="88"/>
        <v>97.082495036880232</v>
      </c>
      <c r="AM68" s="177">
        <f t="shared" si="89"/>
        <v>1412.6660301122608</v>
      </c>
      <c r="AN68" s="134">
        <f t="shared" si="64"/>
        <v>3.1500395019598835</v>
      </c>
      <c r="AO68" s="119">
        <f t="shared" si="65"/>
        <v>8.841228910336698E-3</v>
      </c>
      <c r="AP68">
        <f t="shared" si="66"/>
        <v>37</v>
      </c>
      <c r="AQ68" s="124">
        <f t="shared" ref="AQ68" si="93">(AP68-0.5)/MAX(AP$51:AP$117)</f>
        <v>0.60833333333333328</v>
      </c>
      <c r="AR68" s="124"/>
      <c r="AS68" s="124"/>
      <c r="AT68" s="14">
        <f t="shared" si="68"/>
        <v>1</v>
      </c>
      <c r="AV68">
        <v>1.0000000000000001E-5</v>
      </c>
      <c r="AZ68" s="83"/>
      <c r="BA68" s="83"/>
      <c r="BB68" s="83"/>
      <c r="BC68" s="83"/>
      <c r="BD68" s="83"/>
      <c r="BE68" s="8">
        <f t="shared" si="69"/>
        <v>7.0633301505613047E-2</v>
      </c>
      <c r="BF68" s="16">
        <f t="shared" si="70"/>
        <v>1</v>
      </c>
      <c r="BG68" s="16"/>
      <c r="BH68" s="189"/>
      <c r="BI68" s="6">
        <f t="shared" si="71"/>
        <v>6.3934133726675188E-5</v>
      </c>
      <c r="BJ68" s="151">
        <f t="shared" si="72"/>
        <v>97.082495036880232</v>
      </c>
      <c r="BK68" s="177">
        <f t="shared" si="73"/>
        <v>1412.6660301122608</v>
      </c>
      <c r="BL68" s="134">
        <f t="shared" si="74"/>
        <v>3.1500395019598835</v>
      </c>
      <c r="BM68" s="119">
        <f t="shared" si="75"/>
        <v>8.841228910336698E-3</v>
      </c>
      <c r="BN68">
        <f t="shared" si="76"/>
        <v>48</v>
      </c>
      <c r="BO68" s="124">
        <f t="shared" si="77"/>
        <v>0.79166666666666663</v>
      </c>
      <c r="BP68" s="124"/>
      <c r="BQ68" s="124"/>
      <c r="BR68" s="14">
        <f t="shared" si="78"/>
        <v>1</v>
      </c>
      <c r="BT68">
        <v>1.0000000000000001E-5</v>
      </c>
      <c r="BX68" s="83"/>
      <c r="BY68" s="83"/>
      <c r="BZ68" s="83"/>
      <c r="CA68" s="83"/>
      <c r="CB68" s="83"/>
      <c r="CC68" s="151"/>
      <c r="CD68" s="177">
        <f t="shared" si="79"/>
        <v>137145.14285714287</v>
      </c>
      <c r="CE68" s="134">
        <f t="shared" si="80"/>
        <v>5.1371804312063585</v>
      </c>
      <c r="CF68" s="119">
        <f t="shared" si="81"/>
        <v>8.841228910336698E-3</v>
      </c>
      <c r="CG68">
        <f t="shared" si="82"/>
        <v>53</v>
      </c>
      <c r="CH68" s="124">
        <f t="shared" si="83"/>
        <v>0.875</v>
      </c>
      <c r="CI68" s="124"/>
      <c r="CJ68" s="124"/>
      <c r="CK68" s="14">
        <f t="shared" si="84"/>
        <v>3</v>
      </c>
      <c r="CL68" s="16"/>
      <c r="DN68" s="191">
        <f t="shared" si="85"/>
        <v>2.8940142664288926E-10</v>
      </c>
      <c r="DO68" s="97"/>
      <c r="DP68" s="124"/>
      <c r="DQ68" s="124"/>
      <c r="EA68" s="17">
        <f t="shared" si="86"/>
        <v>342.86285714285719</v>
      </c>
      <c r="EB68" s="16">
        <f t="shared" si="87"/>
        <v>0.05</v>
      </c>
      <c r="EC68" s="16"/>
    </row>
    <row r="69" spans="1:133" x14ac:dyDescent="0.2">
      <c r="A69" s="8">
        <v>16</v>
      </c>
      <c r="B69" t="s">
        <v>143</v>
      </c>
      <c r="C69">
        <v>1</v>
      </c>
      <c r="D69" s="23" t="s">
        <v>11</v>
      </c>
      <c r="E69" t="s">
        <v>10</v>
      </c>
      <c r="F69" s="6">
        <v>52</v>
      </c>
      <c r="G69" s="28" t="s">
        <v>33</v>
      </c>
      <c r="H69" s="1">
        <v>10</v>
      </c>
      <c r="I69" s="11">
        <v>410</v>
      </c>
      <c r="J69" s="13" t="s">
        <v>8</v>
      </c>
      <c r="K69" s="6" t="s">
        <v>181</v>
      </c>
      <c r="L69" s="1">
        <v>1E-3</v>
      </c>
      <c r="M69" s="6">
        <v>0.02</v>
      </c>
      <c r="N69" s="1">
        <v>96.95</v>
      </c>
      <c r="O69" s="18">
        <f>VLOOKUP(I69,[1]CompDbase!$B:$K,9,FALSE)</f>
        <v>775.6</v>
      </c>
      <c r="P69" s="30">
        <v>1.906666666666667</v>
      </c>
      <c r="Q69" s="1"/>
      <c r="R69" s="1">
        <f t="shared" si="47"/>
        <v>-11.77750626260643</v>
      </c>
      <c r="S69" s="1">
        <f t="shared" si="48"/>
        <v>43.961901653785603</v>
      </c>
      <c r="T69" s="1">
        <f t="shared" si="49"/>
        <v>-0.40845039553569185</v>
      </c>
      <c r="U69" s="1">
        <f t="shared" si="50"/>
        <v>-0.38926547980676174</v>
      </c>
      <c r="V69" s="197">
        <f t="shared" si="51"/>
        <v>0</v>
      </c>
      <c r="W69" s="197">
        <f t="shared" si="52"/>
        <v>-12.575222137948883</v>
      </c>
      <c r="X69" s="118">
        <f t="shared" si="53"/>
        <v>2.2976909016158317E-8</v>
      </c>
      <c r="Y69" s="1">
        <f t="shared" si="54"/>
        <v>1.4021245208635156</v>
      </c>
      <c r="Z69" s="1">
        <f t="shared" si="55"/>
        <v>5.7032771294084306</v>
      </c>
      <c r="AA69" s="1">
        <f t="shared" si="56"/>
        <v>-5.298919545615112E-2</v>
      </c>
      <c r="AB69" s="1">
        <f t="shared" si="57"/>
        <v>-0.10359731626308714</v>
      </c>
      <c r="AC69" s="197">
        <f t="shared" si="58"/>
        <v>0</v>
      </c>
      <c r="AD69" s="197">
        <f t="shared" si="59"/>
        <v>1.2455380091442771</v>
      </c>
      <c r="AE69" s="96">
        <f t="shared" si="60"/>
        <v>17.601026999976913</v>
      </c>
      <c r="AF69" s="98">
        <f t="shared" si="61"/>
        <v>4.044171959694155E-7</v>
      </c>
      <c r="AG69" s="291">
        <v>2.7431428571428573</v>
      </c>
      <c r="AH69" s="21"/>
      <c r="AI69" s="162">
        <v>5.0000000000000002E-5</v>
      </c>
      <c r="AJ69" s="167">
        <f t="shared" si="62"/>
        <v>2.7950973606179014E-2</v>
      </c>
      <c r="AK69" s="168">
        <f t="shared" si="63"/>
        <v>2.5299982391255034E-5</v>
      </c>
      <c r="AL69" s="151">
        <f t="shared" si="88"/>
        <v>98.141227414577116</v>
      </c>
      <c r="AM69" s="177">
        <f t="shared" si="89"/>
        <v>559.01947212358027</v>
      </c>
      <c r="AN69" s="134">
        <f t="shared" si="64"/>
        <v>2.7474269357728933</v>
      </c>
      <c r="AO69" s="119">
        <f t="shared" si="65"/>
        <v>3.5368010019892434E-3</v>
      </c>
      <c r="AP69">
        <f t="shared" si="66"/>
        <v>25.5</v>
      </c>
      <c r="AQ69" s="124">
        <f t="shared" ref="AQ69" si="94">(AP69-0.5)/MAX(AP$51:AP$117)</f>
        <v>0.41666666666666669</v>
      </c>
      <c r="AR69" s="124"/>
      <c r="AS69" s="124"/>
      <c r="AT69" s="14">
        <f t="shared" si="68"/>
        <v>1</v>
      </c>
      <c r="AV69">
        <v>1000</v>
      </c>
      <c r="AZ69" s="83"/>
      <c r="BA69" s="83"/>
      <c r="BB69" s="83"/>
      <c r="BC69" s="83"/>
      <c r="BD69" s="83"/>
      <c r="BE69" s="8">
        <f t="shared" si="69"/>
        <v>2.7950973606179014E-2</v>
      </c>
      <c r="BF69" s="16">
        <f t="shared" si="70"/>
        <v>1</v>
      </c>
      <c r="BG69" s="16"/>
      <c r="BH69" s="189"/>
      <c r="BI69" s="6">
        <f t="shared" si="71"/>
        <v>2.5299982391255034E-5</v>
      </c>
      <c r="BJ69" s="151">
        <f t="shared" si="72"/>
        <v>98.141227414577116</v>
      </c>
      <c r="BK69" s="177">
        <f t="shared" si="73"/>
        <v>559.01947212358027</v>
      </c>
      <c r="BL69" s="134">
        <f t="shared" si="74"/>
        <v>2.7474269357728933</v>
      </c>
      <c r="BM69" s="119">
        <f t="shared" si="75"/>
        <v>3.5368010019892434E-3</v>
      </c>
      <c r="BN69">
        <f t="shared" si="76"/>
        <v>41.5</v>
      </c>
      <c r="BO69" s="124">
        <f t="shared" si="77"/>
        <v>0.68333333333333335</v>
      </c>
      <c r="BP69" s="124"/>
      <c r="BQ69" s="124"/>
      <c r="BR69" s="14">
        <f t="shared" si="78"/>
        <v>1</v>
      </c>
      <c r="BT69">
        <v>1</v>
      </c>
      <c r="BX69" s="83"/>
      <c r="BY69" s="83"/>
      <c r="BZ69" s="83"/>
      <c r="CA69" s="83"/>
      <c r="CB69" s="83"/>
      <c r="CC69" s="151"/>
      <c r="CD69" s="177">
        <f t="shared" si="79"/>
        <v>54862.857142857145</v>
      </c>
      <c r="CE69" s="134">
        <f t="shared" si="80"/>
        <v>4.7392784210057712</v>
      </c>
      <c r="CF69" s="119">
        <f t="shared" si="81"/>
        <v>3.5368010019892434E-3</v>
      </c>
      <c r="CG69">
        <f t="shared" si="82"/>
        <v>45.5</v>
      </c>
      <c r="CH69" s="124">
        <f t="shared" si="83"/>
        <v>0.75</v>
      </c>
      <c r="CI69" s="124"/>
      <c r="CJ69" s="124"/>
      <c r="CK69" s="14">
        <f t="shared" si="84"/>
        <v>3</v>
      </c>
      <c r="CL69" s="16"/>
      <c r="DN69" s="191">
        <f t="shared" si="85"/>
        <v>7.2344026663889189E-10</v>
      </c>
      <c r="DO69" s="97"/>
      <c r="DP69" s="124"/>
      <c r="DQ69" s="124"/>
      <c r="EA69" s="17">
        <f t="shared" si="86"/>
        <v>137.15714285714287</v>
      </c>
      <c r="EB69" s="16">
        <f t="shared" si="87"/>
        <v>0.05</v>
      </c>
      <c r="EC69" s="16"/>
    </row>
    <row r="70" spans="1:133" x14ac:dyDescent="0.2">
      <c r="A70" s="8">
        <v>17</v>
      </c>
      <c r="B70" t="s">
        <v>143</v>
      </c>
      <c r="C70">
        <v>1</v>
      </c>
      <c r="D70" s="23" t="s">
        <v>11</v>
      </c>
      <c r="E70" t="s">
        <v>10</v>
      </c>
      <c r="F70" s="6">
        <v>54</v>
      </c>
      <c r="G70" s="28" t="s">
        <v>33</v>
      </c>
      <c r="H70" s="1">
        <v>10</v>
      </c>
      <c r="I70" s="11">
        <v>410</v>
      </c>
      <c r="J70" s="13" t="s">
        <v>8</v>
      </c>
      <c r="K70" s="6" t="s">
        <v>181</v>
      </c>
      <c r="L70" s="1">
        <v>1E-3</v>
      </c>
      <c r="M70" s="6">
        <v>0.02</v>
      </c>
      <c r="N70" s="1">
        <v>96.95</v>
      </c>
      <c r="O70" s="18">
        <f>VLOOKUP(I70,[1]CompDbase!$B:$K,9,FALSE)</f>
        <v>775.6</v>
      </c>
      <c r="P70" s="30">
        <v>1.906666666666667</v>
      </c>
      <c r="Q70" s="1"/>
      <c r="R70" s="1">
        <f t="shared" si="47"/>
        <v>-11.77750626260643</v>
      </c>
      <c r="S70" s="1">
        <f t="shared" si="48"/>
        <v>43.961901653785603</v>
      </c>
      <c r="T70" s="1">
        <f t="shared" si="49"/>
        <v>-0.40845039553569185</v>
      </c>
      <c r="U70" s="1">
        <f t="shared" si="50"/>
        <v>-0.38926547980676174</v>
      </c>
      <c r="V70" s="197">
        <f t="shared" si="51"/>
        <v>0</v>
      </c>
      <c r="W70" s="197">
        <f t="shared" si="52"/>
        <v>-12.575222137948883</v>
      </c>
      <c r="X70" s="118">
        <f t="shared" si="53"/>
        <v>2.2976909016158317E-8</v>
      </c>
      <c r="Y70" s="1">
        <f t="shared" si="54"/>
        <v>1.4021245208635156</v>
      </c>
      <c r="Z70" s="1">
        <f t="shared" si="55"/>
        <v>5.7032771294084306</v>
      </c>
      <c r="AA70" s="1">
        <f t="shared" si="56"/>
        <v>-5.298919545615112E-2</v>
      </c>
      <c r="AB70" s="1">
        <f t="shared" si="57"/>
        <v>-0.10359731626308714</v>
      </c>
      <c r="AC70" s="197">
        <f t="shared" si="58"/>
        <v>0</v>
      </c>
      <c r="AD70" s="197">
        <f t="shared" si="59"/>
        <v>1.2455380091442771</v>
      </c>
      <c r="AE70" s="96">
        <f t="shared" si="60"/>
        <v>17.601026999976913</v>
      </c>
      <c r="AF70" s="98">
        <f t="shared" si="61"/>
        <v>4.044171959694155E-7</v>
      </c>
      <c r="AG70" s="291">
        <v>2.7431428571428573</v>
      </c>
      <c r="AH70" s="21"/>
      <c r="AI70" s="162">
        <v>5.0000000000000002E-5</v>
      </c>
      <c r="AJ70" s="167">
        <f t="shared" si="62"/>
        <v>2.7950973606179014E-2</v>
      </c>
      <c r="AK70" s="168">
        <f t="shared" si="63"/>
        <v>2.5299982391255034E-5</v>
      </c>
      <c r="AL70" s="151">
        <f t="shared" si="88"/>
        <v>98.141227414577116</v>
      </c>
      <c r="AM70" s="177">
        <f t="shared" si="89"/>
        <v>559.01947212358027</v>
      </c>
      <c r="AN70" s="134">
        <f t="shared" si="64"/>
        <v>2.7474269357728933</v>
      </c>
      <c r="AO70" s="119">
        <f t="shared" si="65"/>
        <v>3.5368010019892434E-3</v>
      </c>
      <c r="AP70">
        <f t="shared" si="66"/>
        <v>25.5</v>
      </c>
      <c r="AQ70" s="124">
        <f t="shared" ref="AQ70" si="95">(AP70-0.5)/MAX(AP$51:AP$117)</f>
        <v>0.41666666666666669</v>
      </c>
      <c r="AR70" s="124"/>
      <c r="AS70" s="124"/>
      <c r="AT70" s="14">
        <f t="shared" si="68"/>
        <v>1</v>
      </c>
      <c r="AZ70" s="83"/>
      <c r="BA70" s="83"/>
      <c r="BB70" s="83"/>
      <c r="BC70" s="83"/>
      <c r="BD70" s="83"/>
      <c r="BE70" s="8">
        <f t="shared" si="69"/>
        <v>2.7950973606179014E-2</v>
      </c>
      <c r="BF70" s="16">
        <f t="shared" si="70"/>
        <v>1</v>
      </c>
      <c r="BG70" s="16"/>
      <c r="BH70" s="189"/>
      <c r="BI70" s="6">
        <f t="shared" si="71"/>
        <v>2.5299982391255034E-5</v>
      </c>
      <c r="BJ70" s="151">
        <f t="shared" si="72"/>
        <v>98.141227414577116</v>
      </c>
      <c r="BK70" s="177">
        <f t="shared" si="73"/>
        <v>559.01947212358027</v>
      </c>
      <c r="BL70" s="134">
        <f t="shared" si="74"/>
        <v>2.7474269357728933</v>
      </c>
      <c r="BM70" s="119">
        <f t="shared" si="75"/>
        <v>3.5368010019892434E-3</v>
      </c>
      <c r="BN70">
        <f t="shared" si="76"/>
        <v>41.5</v>
      </c>
      <c r="BO70" s="124">
        <f t="shared" si="77"/>
        <v>0.68333333333333335</v>
      </c>
      <c r="BP70" s="124"/>
      <c r="BQ70" s="124"/>
      <c r="BR70" s="14">
        <f t="shared" si="78"/>
        <v>1</v>
      </c>
      <c r="BX70" s="83"/>
      <c r="BY70" s="83"/>
      <c r="BZ70" s="83"/>
      <c r="CA70" s="83"/>
      <c r="CB70" s="83"/>
      <c r="CC70" s="151"/>
      <c r="CD70" s="177">
        <f t="shared" si="79"/>
        <v>54862.857142857145</v>
      </c>
      <c r="CE70" s="134">
        <f t="shared" si="80"/>
        <v>4.7392784210057712</v>
      </c>
      <c r="CF70" s="119">
        <f t="shared" si="81"/>
        <v>3.5368010019892434E-3</v>
      </c>
      <c r="CG70">
        <f t="shared" si="82"/>
        <v>45.5</v>
      </c>
      <c r="CH70" s="124">
        <f t="shared" si="83"/>
        <v>0.75</v>
      </c>
      <c r="CI70" s="124"/>
      <c r="CJ70" s="124"/>
      <c r="CK70" s="14">
        <f t="shared" si="84"/>
        <v>3</v>
      </c>
      <c r="CL70" s="16"/>
      <c r="DN70" s="191">
        <f t="shared" si="85"/>
        <v>7.2344026663889189E-10</v>
      </c>
      <c r="DO70" s="97"/>
      <c r="DP70" s="124"/>
      <c r="DQ70" s="124"/>
      <c r="EA70" s="17">
        <f t="shared" si="86"/>
        <v>137.15714285714287</v>
      </c>
      <c r="EB70" s="16">
        <f t="shared" si="87"/>
        <v>0.05</v>
      </c>
      <c r="EC70" s="16"/>
    </row>
    <row r="71" spans="1:133" x14ac:dyDescent="0.2">
      <c r="A71" s="8">
        <v>18</v>
      </c>
      <c r="B71" t="s">
        <v>143</v>
      </c>
      <c r="C71">
        <v>1</v>
      </c>
      <c r="D71" s="23" t="s">
        <v>11</v>
      </c>
      <c r="E71" t="s">
        <v>10</v>
      </c>
      <c r="F71" s="6">
        <v>56</v>
      </c>
      <c r="G71" s="28" t="s">
        <v>33</v>
      </c>
      <c r="H71" s="1">
        <v>10</v>
      </c>
      <c r="I71" s="11">
        <v>410</v>
      </c>
      <c r="J71" s="13" t="s">
        <v>8</v>
      </c>
      <c r="K71" s="6" t="s">
        <v>181</v>
      </c>
      <c r="L71" s="1">
        <v>1E-3</v>
      </c>
      <c r="M71" s="6">
        <v>0.02</v>
      </c>
      <c r="N71" s="1">
        <v>96.95</v>
      </c>
      <c r="O71" s="18">
        <f>VLOOKUP(I71,[1]CompDbase!$B:$K,9,FALSE)</f>
        <v>775.6</v>
      </c>
      <c r="P71" s="30">
        <v>1.906666666666667</v>
      </c>
      <c r="Q71" s="1"/>
      <c r="R71" s="1">
        <f t="shared" si="47"/>
        <v>-11.77750626260643</v>
      </c>
      <c r="S71" s="1">
        <f t="shared" si="48"/>
        <v>43.961901653785603</v>
      </c>
      <c r="T71" s="1">
        <f t="shared" si="49"/>
        <v>-0.40845039553569185</v>
      </c>
      <c r="U71" s="1">
        <f t="shared" si="50"/>
        <v>-0.38926547980676174</v>
      </c>
      <c r="V71" s="197">
        <f t="shared" si="51"/>
        <v>0</v>
      </c>
      <c r="W71" s="197">
        <f t="shared" si="52"/>
        <v>-12.575222137948883</v>
      </c>
      <c r="X71" s="118">
        <f t="shared" si="53"/>
        <v>2.2976909016158317E-8</v>
      </c>
      <c r="Y71" s="1">
        <f t="shared" si="54"/>
        <v>1.4021245208635156</v>
      </c>
      <c r="Z71" s="1">
        <f t="shared" si="55"/>
        <v>5.7032771294084306</v>
      </c>
      <c r="AA71" s="1">
        <f t="shared" si="56"/>
        <v>-5.298919545615112E-2</v>
      </c>
      <c r="AB71" s="1">
        <f t="shared" si="57"/>
        <v>-0.10359731626308714</v>
      </c>
      <c r="AC71" s="197">
        <f t="shared" si="58"/>
        <v>0</v>
      </c>
      <c r="AD71" s="197">
        <f t="shared" si="59"/>
        <v>1.2455380091442771</v>
      </c>
      <c r="AE71" s="96">
        <f t="shared" si="60"/>
        <v>17.601026999976913</v>
      </c>
      <c r="AF71" s="98">
        <f t="shared" si="61"/>
        <v>4.044171959694155E-7</v>
      </c>
      <c r="AG71" s="291">
        <v>2.7431428571428573</v>
      </c>
      <c r="AH71" s="21"/>
      <c r="AI71" s="162">
        <v>5.0000000000000002E-5</v>
      </c>
      <c r="AJ71" s="167">
        <f t="shared" si="62"/>
        <v>2.7950973606179014E-2</v>
      </c>
      <c r="AK71" s="168">
        <f t="shared" si="63"/>
        <v>2.5299982391255034E-5</v>
      </c>
      <c r="AL71" s="151">
        <f t="shared" si="88"/>
        <v>98.141227414577116</v>
      </c>
      <c r="AM71" s="177">
        <f t="shared" si="89"/>
        <v>559.01947212358027</v>
      </c>
      <c r="AN71" s="134">
        <f t="shared" si="64"/>
        <v>2.7474269357728933</v>
      </c>
      <c r="AO71" s="119">
        <f t="shared" si="65"/>
        <v>3.5368010019892434E-3</v>
      </c>
      <c r="AP71">
        <f t="shared" si="66"/>
        <v>25.5</v>
      </c>
      <c r="AQ71" s="124">
        <f t="shared" ref="AQ71" si="96">(AP71-0.5)/MAX(AP$51:AP$117)</f>
        <v>0.41666666666666669</v>
      </c>
      <c r="AR71" s="124"/>
      <c r="AS71" s="124"/>
      <c r="AT71" s="14">
        <f t="shared" si="68"/>
        <v>1</v>
      </c>
      <c r="AZ71" s="83"/>
      <c r="BA71" s="83"/>
      <c r="BB71" s="83"/>
      <c r="BC71" s="83"/>
      <c r="BD71" s="83"/>
      <c r="BE71" s="8">
        <f t="shared" si="69"/>
        <v>2.7950973606179014E-2</v>
      </c>
      <c r="BF71" s="16">
        <f t="shared" si="70"/>
        <v>1</v>
      </c>
      <c r="BG71" s="16"/>
      <c r="BH71" s="189"/>
      <c r="BI71" s="6">
        <f t="shared" si="71"/>
        <v>2.5299982391255034E-5</v>
      </c>
      <c r="BJ71" s="151">
        <f t="shared" si="72"/>
        <v>98.141227414577116</v>
      </c>
      <c r="BK71" s="177">
        <f t="shared" si="73"/>
        <v>559.01947212358027</v>
      </c>
      <c r="BL71" s="134">
        <f t="shared" si="74"/>
        <v>2.7474269357728933</v>
      </c>
      <c r="BM71" s="119">
        <f t="shared" si="75"/>
        <v>3.5368010019892434E-3</v>
      </c>
      <c r="BN71">
        <f t="shared" si="76"/>
        <v>41.5</v>
      </c>
      <c r="BO71" s="124">
        <f t="shared" si="77"/>
        <v>0.68333333333333335</v>
      </c>
      <c r="BP71" s="124"/>
      <c r="BQ71" s="124"/>
      <c r="BR71" s="14">
        <f t="shared" si="78"/>
        <v>1</v>
      </c>
      <c r="BX71" s="83"/>
      <c r="BY71" s="83"/>
      <c r="BZ71" s="83"/>
      <c r="CA71" s="83"/>
      <c r="CB71" s="83"/>
      <c r="CC71" s="151"/>
      <c r="CD71" s="177">
        <f t="shared" si="79"/>
        <v>54862.857142857145</v>
      </c>
      <c r="CE71" s="134">
        <f t="shared" si="80"/>
        <v>4.7392784210057712</v>
      </c>
      <c r="CF71" s="119">
        <f t="shared" si="81"/>
        <v>3.5368010019892434E-3</v>
      </c>
      <c r="CG71">
        <f t="shared" si="82"/>
        <v>45.5</v>
      </c>
      <c r="CH71" s="124">
        <f t="shared" si="83"/>
        <v>0.75</v>
      </c>
      <c r="CI71" s="124"/>
      <c r="CJ71" s="124"/>
      <c r="CK71" s="14">
        <f t="shared" si="84"/>
        <v>3</v>
      </c>
      <c r="CL71" s="16"/>
      <c r="DN71" s="191">
        <f t="shared" si="85"/>
        <v>7.2344026663889189E-10</v>
      </c>
      <c r="DO71" s="97"/>
      <c r="DP71" s="124"/>
      <c r="DQ71" s="124"/>
      <c r="EA71" s="17">
        <f t="shared" si="86"/>
        <v>137.15714285714287</v>
      </c>
      <c r="EB71" s="16">
        <f t="shared" si="87"/>
        <v>0.05</v>
      </c>
      <c r="EC71" s="16"/>
    </row>
    <row r="72" spans="1:133" x14ac:dyDescent="0.2">
      <c r="A72" s="8">
        <v>19</v>
      </c>
      <c r="B72" t="s">
        <v>143</v>
      </c>
      <c r="C72">
        <v>1</v>
      </c>
      <c r="D72" s="23" t="s">
        <v>11</v>
      </c>
      <c r="E72" t="s">
        <v>10</v>
      </c>
      <c r="F72" s="6" t="s">
        <v>40</v>
      </c>
      <c r="G72" s="28" t="s">
        <v>33</v>
      </c>
      <c r="H72" s="1">
        <v>10</v>
      </c>
      <c r="I72" s="11">
        <v>410</v>
      </c>
      <c r="J72" s="13" t="s">
        <v>8</v>
      </c>
      <c r="K72" s="6" t="s">
        <v>181</v>
      </c>
      <c r="L72" s="1">
        <v>1E-3</v>
      </c>
      <c r="M72" s="6">
        <v>0.02</v>
      </c>
      <c r="N72" s="1">
        <v>96.95</v>
      </c>
      <c r="O72" s="18">
        <f>VLOOKUP(I72,[1]CompDbase!$B:$K,9,FALSE)</f>
        <v>775.6</v>
      </c>
      <c r="P72" s="30">
        <v>1.906666666666667</v>
      </c>
      <c r="Q72" s="1"/>
      <c r="R72" s="1">
        <f t="shared" si="47"/>
        <v>-11.77750626260643</v>
      </c>
      <c r="S72" s="1">
        <f t="shared" si="48"/>
        <v>43.961901653785603</v>
      </c>
      <c r="T72" s="1">
        <f t="shared" si="49"/>
        <v>-0.40845039553569185</v>
      </c>
      <c r="U72" s="1">
        <f t="shared" si="50"/>
        <v>-0.38926547980676174</v>
      </c>
      <c r="V72" s="197">
        <f t="shared" si="51"/>
        <v>0</v>
      </c>
      <c r="W72" s="197">
        <f t="shared" si="52"/>
        <v>-12.575222137948883</v>
      </c>
      <c r="X72" s="118">
        <f t="shared" si="53"/>
        <v>2.2976909016158317E-8</v>
      </c>
      <c r="Y72" s="1">
        <f t="shared" si="54"/>
        <v>1.4021245208635156</v>
      </c>
      <c r="Z72" s="1">
        <f t="shared" si="55"/>
        <v>5.7032771294084306</v>
      </c>
      <c r="AA72" s="1">
        <f t="shared" si="56"/>
        <v>-5.298919545615112E-2</v>
      </c>
      <c r="AB72" s="1">
        <f t="shared" si="57"/>
        <v>-0.10359731626308714</v>
      </c>
      <c r="AC72" s="197">
        <f t="shared" si="58"/>
        <v>0</v>
      </c>
      <c r="AD72" s="197">
        <f t="shared" si="59"/>
        <v>1.2455380091442771</v>
      </c>
      <c r="AE72" s="96">
        <f t="shared" si="60"/>
        <v>17.601026999976913</v>
      </c>
      <c r="AF72" s="98">
        <f t="shared" si="61"/>
        <v>4.044171959694155E-7</v>
      </c>
      <c r="AG72" s="291">
        <v>2.7431428571428573</v>
      </c>
      <c r="AH72" s="21"/>
      <c r="AI72" s="162">
        <v>5.0000000000000002E-5</v>
      </c>
      <c r="AJ72" s="167">
        <f t="shared" si="62"/>
        <v>2.7950973606179014E-2</v>
      </c>
      <c r="AK72" s="168">
        <f t="shared" si="63"/>
        <v>2.5299982391255034E-5</v>
      </c>
      <c r="AL72" s="151">
        <f t="shared" si="88"/>
        <v>98.141227414577116</v>
      </c>
      <c r="AM72" s="177">
        <f t="shared" si="89"/>
        <v>559.01947212358027</v>
      </c>
      <c r="AN72" s="134">
        <f t="shared" si="64"/>
        <v>2.7474269357728933</v>
      </c>
      <c r="AO72" s="119">
        <f t="shared" si="65"/>
        <v>3.5368010019892434E-3</v>
      </c>
      <c r="AP72">
        <f t="shared" si="66"/>
        <v>25.5</v>
      </c>
      <c r="AQ72" s="124">
        <f t="shared" ref="AQ72" si="97">(AP72-0.5)/MAX(AP$51:AP$117)</f>
        <v>0.41666666666666669</v>
      </c>
      <c r="AR72" s="124"/>
      <c r="AS72" s="124"/>
      <c r="AT72" s="14">
        <f t="shared" si="68"/>
        <v>1</v>
      </c>
      <c r="AZ72" s="83"/>
      <c r="BA72" s="83"/>
      <c r="BB72" s="83"/>
      <c r="BC72" s="83"/>
      <c r="BD72" s="83"/>
      <c r="BE72" s="8">
        <f t="shared" si="69"/>
        <v>2.7950973606179014E-2</v>
      </c>
      <c r="BF72" s="16">
        <f t="shared" si="70"/>
        <v>1</v>
      </c>
      <c r="BG72" s="16"/>
      <c r="BH72" s="189"/>
      <c r="BI72" s="6">
        <f t="shared" si="71"/>
        <v>2.5299982391255034E-5</v>
      </c>
      <c r="BJ72" s="151">
        <f t="shared" si="72"/>
        <v>98.141227414577116</v>
      </c>
      <c r="BK72" s="177">
        <f t="shared" si="73"/>
        <v>559.01947212358027</v>
      </c>
      <c r="BL72" s="134">
        <f t="shared" si="74"/>
        <v>2.7474269357728933</v>
      </c>
      <c r="BM72" s="119">
        <f t="shared" si="75"/>
        <v>3.5368010019892434E-3</v>
      </c>
      <c r="BN72">
        <f t="shared" si="76"/>
        <v>41.5</v>
      </c>
      <c r="BO72" s="124">
        <f t="shared" si="77"/>
        <v>0.68333333333333335</v>
      </c>
      <c r="BP72" s="124"/>
      <c r="BQ72" s="124"/>
      <c r="BR72" s="14">
        <f t="shared" si="78"/>
        <v>1</v>
      </c>
      <c r="BX72" s="83"/>
      <c r="BY72" s="83"/>
      <c r="BZ72" s="83"/>
      <c r="CA72" s="83"/>
      <c r="CB72" s="83"/>
      <c r="CC72" s="151"/>
      <c r="CD72" s="177">
        <f t="shared" si="79"/>
        <v>54862.857142857145</v>
      </c>
      <c r="CE72" s="134">
        <f t="shared" si="80"/>
        <v>4.7392784210057712</v>
      </c>
      <c r="CF72" s="119">
        <f t="shared" si="81"/>
        <v>3.5368010019892434E-3</v>
      </c>
      <c r="CG72">
        <f t="shared" si="82"/>
        <v>45.5</v>
      </c>
      <c r="CH72" s="124">
        <f t="shared" si="83"/>
        <v>0.75</v>
      </c>
      <c r="CI72" s="124"/>
      <c r="CJ72" s="124"/>
      <c r="CK72" s="14">
        <f t="shared" si="84"/>
        <v>3</v>
      </c>
      <c r="CL72" s="16"/>
      <c r="DN72" s="191">
        <f t="shared" si="85"/>
        <v>7.2344026663889189E-10</v>
      </c>
      <c r="DO72" s="97"/>
      <c r="DP72" s="124"/>
      <c r="DQ72" s="124"/>
      <c r="EA72" s="17">
        <f t="shared" si="86"/>
        <v>137.15714285714287</v>
      </c>
      <c r="EB72" s="16">
        <f t="shared" si="87"/>
        <v>0.05</v>
      </c>
      <c r="EC72" s="16"/>
    </row>
    <row r="73" spans="1:133" x14ac:dyDescent="0.2">
      <c r="A73" s="8">
        <v>24</v>
      </c>
      <c r="B73" t="s">
        <v>143</v>
      </c>
      <c r="C73">
        <v>2</v>
      </c>
      <c r="D73" t="s">
        <v>2</v>
      </c>
      <c r="E73" t="s">
        <v>1</v>
      </c>
      <c r="F73" s="6">
        <v>59</v>
      </c>
      <c r="G73" s="26" t="s">
        <v>29</v>
      </c>
      <c r="H73" s="1">
        <v>10</v>
      </c>
      <c r="I73" s="11">
        <v>201</v>
      </c>
      <c r="J73" s="13" t="s">
        <v>39</v>
      </c>
      <c r="K73" s="6" t="s">
        <v>152</v>
      </c>
      <c r="L73" s="1">
        <v>1E-3</v>
      </c>
      <c r="M73" s="6">
        <v>0.15</v>
      </c>
      <c r="N73" s="1">
        <v>106.18666499232586</v>
      </c>
      <c r="O73" s="18">
        <f>VLOOKUP(I73,[1]CompDbase!$B:$K,9,FALSE)</f>
        <v>159.4494296665228</v>
      </c>
      <c r="P73" s="30">
        <v>3.15</v>
      </c>
      <c r="Q73" s="1"/>
      <c r="R73" s="1">
        <f t="shared" si="47"/>
        <v>-11.881273303189619</v>
      </c>
      <c r="S73" s="1">
        <f t="shared" si="48"/>
        <v>46.406607545366441</v>
      </c>
      <c r="T73" s="1">
        <f t="shared" si="49"/>
        <v>-0.43116417839814558</v>
      </c>
      <c r="U73" s="1">
        <f t="shared" si="50"/>
        <v>-0.38906726370355149</v>
      </c>
      <c r="V73" s="197">
        <f t="shared" si="51"/>
        <v>0</v>
      </c>
      <c r="W73" s="197">
        <f t="shared" si="52"/>
        <v>-12.701504745291317</v>
      </c>
      <c r="X73" s="118">
        <f t="shared" si="53"/>
        <v>1.717943977073518E-8</v>
      </c>
      <c r="Y73" s="1">
        <f t="shared" si="54"/>
        <v>2.7657688592070069</v>
      </c>
      <c r="Z73" s="1">
        <f t="shared" si="55"/>
        <v>0.26095311229846274</v>
      </c>
      <c r="AA73" s="1">
        <f t="shared" si="56"/>
        <v>-2.4245175464423676E-3</v>
      </c>
      <c r="AB73" s="1">
        <f t="shared" si="57"/>
        <v>-0.10357103372247908</v>
      </c>
      <c r="AC73" s="197">
        <f t="shared" si="58"/>
        <v>0</v>
      </c>
      <c r="AD73" s="197">
        <f t="shared" si="59"/>
        <v>2.6597733079380852</v>
      </c>
      <c r="AE73" s="96">
        <f t="shared" si="60"/>
        <v>456.8496620028813</v>
      </c>
      <c r="AF73" s="98">
        <f t="shared" si="61"/>
        <v>7.8484212526592234E-6</v>
      </c>
      <c r="AG73" s="291">
        <v>0.60425000000000006</v>
      </c>
      <c r="AH73" s="21"/>
      <c r="AI73" s="162">
        <v>5.0000000000000002E-5</v>
      </c>
      <c r="AJ73" s="167">
        <f t="shared" si="62"/>
        <v>0.11948623184478045</v>
      </c>
      <c r="AK73" s="168">
        <f t="shared" si="63"/>
        <v>1.081536408807627E-4</v>
      </c>
      <c r="AL73" s="151">
        <f t="shared" si="88"/>
        <v>5.0570680041609801</v>
      </c>
      <c r="AM73" s="177">
        <f t="shared" si="89"/>
        <v>2389.7246368956089</v>
      </c>
      <c r="AN73" s="134">
        <f t="shared" si="64"/>
        <v>3.3783478609621662</v>
      </c>
      <c r="AO73" s="119">
        <f t="shared" si="65"/>
        <v>3.7896027678728369E-3</v>
      </c>
      <c r="AP73">
        <f t="shared" si="66"/>
        <v>41</v>
      </c>
      <c r="AQ73" s="124">
        <f t="shared" ref="AQ73" si="98">(AP73-0.5)/MAX(AP$51:AP$117)</f>
        <v>0.67500000000000004</v>
      </c>
      <c r="AR73" s="124"/>
      <c r="AS73" s="124"/>
      <c r="AT73" s="14">
        <f t="shared" si="68"/>
        <v>1</v>
      </c>
      <c r="AZ73" s="83"/>
      <c r="BA73" s="83"/>
      <c r="BB73" s="83"/>
      <c r="BC73" s="83"/>
      <c r="BD73" s="83"/>
      <c r="BE73" s="8">
        <f t="shared" si="69"/>
        <v>1.695652929845454E-2</v>
      </c>
      <c r="BF73" s="16">
        <f t="shared" si="70"/>
        <v>7.0466207878796672</v>
      </c>
      <c r="BG73" s="16"/>
      <c r="BH73" s="189"/>
      <c r="BI73" s="6">
        <f t="shared" si="71"/>
        <v>1.5348298728773536E-5</v>
      </c>
      <c r="BJ73" s="151">
        <f t="shared" si="72"/>
        <v>35.635240523841922</v>
      </c>
      <c r="BK73" s="177">
        <f t="shared" si="73"/>
        <v>339.13058596909082</v>
      </c>
      <c r="BL73" s="134">
        <f t="shared" si="74"/>
        <v>2.5303669602840575</v>
      </c>
      <c r="BM73" s="119">
        <f t="shared" si="75"/>
        <v>3.7896027678728369E-3</v>
      </c>
      <c r="BN73">
        <f t="shared" si="76"/>
        <v>36</v>
      </c>
      <c r="BO73" s="124">
        <f t="shared" si="77"/>
        <v>0.59166666666666667</v>
      </c>
      <c r="BP73" s="124"/>
      <c r="BQ73" s="124"/>
      <c r="BR73" s="14">
        <f t="shared" si="78"/>
        <v>1</v>
      </c>
      <c r="BX73" s="83"/>
      <c r="BY73" s="83"/>
      <c r="BZ73" s="83"/>
      <c r="CA73" s="83"/>
      <c r="CB73" s="83"/>
      <c r="CC73" s="151"/>
      <c r="CD73" s="177">
        <f t="shared" si="79"/>
        <v>12085</v>
      </c>
      <c r="CE73" s="134">
        <f t="shared" si="80"/>
        <v>4.0822466547436695</v>
      </c>
      <c r="CF73" s="119">
        <f t="shared" si="81"/>
        <v>3.7896027678728369E-3</v>
      </c>
      <c r="CG73">
        <f t="shared" si="82"/>
        <v>33</v>
      </c>
      <c r="CH73" s="124">
        <f t="shared" si="83"/>
        <v>0.54166666666666663</v>
      </c>
      <c r="CI73" s="124"/>
      <c r="CJ73" s="124"/>
      <c r="CK73" s="14">
        <f t="shared" si="84"/>
        <v>3</v>
      </c>
      <c r="CL73" s="16"/>
      <c r="DN73" s="191">
        <f t="shared" si="85"/>
        <v>2.3142770299623013E-8</v>
      </c>
      <c r="DO73" s="97"/>
      <c r="DP73" s="124"/>
      <c r="DQ73" s="124"/>
      <c r="EA73" s="17">
        <f t="shared" si="86"/>
        <v>4.0283333333333342</v>
      </c>
      <c r="EB73" s="16">
        <f t="shared" si="87"/>
        <v>0.05</v>
      </c>
      <c r="EC73" s="16"/>
    </row>
    <row r="74" spans="1:133" x14ac:dyDescent="0.2">
      <c r="A74" s="8">
        <v>89</v>
      </c>
      <c r="B74" t="s">
        <v>143</v>
      </c>
      <c r="C74">
        <v>8</v>
      </c>
      <c r="D74" s="16" t="s">
        <v>28</v>
      </c>
      <c r="E74" t="s">
        <v>27</v>
      </c>
      <c r="F74" s="14" t="s">
        <v>26</v>
      </c>
      <c r="G74" s="26" t="s">
        <v>25</v>
      </c>
      <c r="H74" s="16">
        <v>14</v>
      </c>
      <c r="I74" s="11">
        <v>201</v>
      </c>
      <c r="J74" t="s">
        <v>38</v>
      </c>
      <c r="K74" s="6" t="s">
        <v>152</v>
      </c>
      <c r="L74" s="1">
        <v>1E-3</v>
      </c>
      <c r="M74" s="6">
        <v>0.15</v>
      </c>
      <c r="N74" s="1">
        <v>106.18666499232586</v>
      </c>
      <c r="O74" s="18">
        <f>VLOOKUP(I74,[1]CompDbase!$B:$K,9,FALSE)</f>
        <v>159.4494296665228</v>
      </c>
      <c r="P74" s="30">
        <v>3.15</v>
      </c>
      <c r="Q74" s="1"/>
      <c r="R74" s="1">
        <f t="shared" si="47"/>
        <v>-11.881273303189619</v>
      </c>
      <c r="S74" s="1">
        <f t="shared" si="48"/>
        <v>46.406607545366441</v>
      </c>
      <c r="T74" s="1">
        <f t="shared" si="49"/>
        <v>-0.31178027580799716</v>
      </c>
      <c r="U74" s="1">
        <f t="shared" si="50"/>
        <v>-0.39142392940973603</v>
      </c>
      <c r="V74" s="197">
        <f t="shared" si="51"/>
        <v>0</v>
      </c>
      <c r="W74" s="197">
        <f t="shared" si="52"/>
        <v>-12.584477508407353</v>
      </c>
      <c r="X74" s="118">
        <f t="shared" si="53"/>
        <v>2.2492422568617793E-8</v>
      </c>
      <c r="Y74" s="1">
        <f t="shared" si="54"/>
        <v>2.7657688592070069</v>
      </c>
      <c r="Z74" s="1">
        <f t="shared" si="55"/>
        <v>0.26095311229846274</v>
      </c>
      <c r="AA74" s="1">
        <f t="shared" si="56"/>
        <v>-1.7531993314924721E-3</v>
      </c>
      <c r="AB74" s="1">
        <f t="shared" si="57"/>
        <v>-0.10388351672017347</v>
      </c>
      <c r="AC74" s="197">
        <f t="shared" si="58"/>
        <v>0</v>
      </c>
      <c r="AD74" s="197">
        <f t="shared" si="59"/>
        <v>2.6601321431553409</v>
      </c>
      <c r="AE74" s="96">
        <f t="shared" si="60"/>
        <v>457.22728939218712</v>
      </c>
      <c r="AF74" s="98">
        <f t="shared" si="61"/>
        <v>1.0284149402912768E-5</v>
      </c>
      <c r="AG74" s="291">
        <v>0.125</v>
      </c>
      <c r="AH74" s="21"/>
      <c r="AI74" s="162">
        <v>5.0000000000000002E-5</v>
      </c>
      <c r="AJ74" s="167">
        <f t="shared" si="62"/>
        <v>3.2388981490654972E-2</v>
      </c>
      <c r="AK74" s="168">
        <f t="shared" si="63"/>
        <v>2.9317070415146659E-5</v>
      </c>
      <c r="AL74" s="151">
        <f t="shared" si="88"/>
        <v>3.859337164895587</v>
      </c>
      <c r="AM74" s="177">
        <f t="shared" si="89"/>
        <v>647.7796298130994</v>
      </c>
      <c r="AN74" s="134">
        <f t="shared" si="64"/>
        <v>2.8114272869917536</v>
      </c>
      <c r="AO74" s="119">
        <f t="shared" si="65"/>
        <v>7.8394761437170803E-4</v>
      </c>
      <c r="AP74">
        <f t="shared" si="66"/>
        <v>28</v>
      </c>
      <c r="AQ74" s="124">
        <f t="shared" ref="AQ74" si="99">(AP74-0.5)/MAX(AP$51:AP$117)</f>
        <v>0.45833333333333331</v>
      </c>
      <c r="AR74" s="124"/>
      <c r="AS74" s="124"/>
      <c r="AT74" s="14">
        <f t="shared" si="68"/>
        <v>1</v>
      </c>
      <c r="AZ74" s="83"/>
      <c r="BA74" s="83"/>
      <c r="BB74" s="83"/>
      <c r="BC74" s="83"/>
      <c r="BD74" s="83"/>
      <c r="BE74" s="8">
        <f t="shared" si="69"/>
        <v>4.1598702880666864E-3</v>
      </c>
      <c r="BF74" s="16">
        <f t="shared" si="70"/>
        <v>7.7860556334096307</v>
      </c>
      <c r="BG74" s="16"/>
      <c r="BH74" s="189"/>
      <c r="BI74" s="6">
        <f t="shared" si="71"/>
        <v>3.7653301999729318E-6</v>
      </c>
      <c r="BJ74" s="151">
        <f t="shared" si="72"/>
        <v>30.049013873962441</v>
      </c>
      <c r="BK74" s="177">
        <f t="shared" si="73"/>
        <v>83.197405761333727</v>
      </c>
      <c r="BL74" s="134">
        <f t="shared" si="74"/>
        <v>1.9201097844505439</v>
      </c>
      <c r="BM74" s="119">
        <f t="shared" si="75"/>
        <v>7.8394761437170803E-4</v>
      </c>
      <c r="BN74">
        <f t="shared" si="76"/>
        <v>23</v>
      </c>
      <c r="BO74" s="124">
        <f t="shared" si="77"/>
        <v>0.375</v>
      </c>
      <c r="BP74" s="124"/>
      <c r="BQ74" s="124"/>
      <c r="BR74" s="14">
        <f t="shared" si="78"/>
        <v>1</v>
      </c>
      <c r="BX74" s="83"/>
      <c r="BY74" s="83"/>
      <c r="BZ74" s="83"/>
      <c r="CA74" s="83"/>
      <c r="CB74" s="83"/>
      <c r="CC74" s="151"/>
      <c r="CD74" s="177">
        <f t="shared" si="79"/>
        <v>2500</v>
      </c>
      <c r="CE74" s="134">
        <f t="shared" si="80"/>
        <v>3.3979400086720375</v>
      </c>
      <c r="CF74" s="119">
        <f t="shared" si="81"/>
        <v>7.8394761437170803E-4</v>
      </c>
      <c r="CG74">
        <f t="shared" si="82"/>
        <v>19</v>
      </c>
      <c r="CH74" s="124">
        <f t="shared" si="83"/>
        <v>0.30833333333333335</v>
      </c>
      <c r="CI74" s="124"/>
      <c r="CJ74" s="124"/>
      <c r="CK74" s="14">
        <f t="shared" si="84"/>
        <v>3</v>
      </c>
      <c r="CL74" s="16"/>
      <c r="DN74" s="191">
        <f t="shared" si="85"/>
        <v>1.2361141923601132E-7</v>
      </c>
      <c r="DO74" s="97"/>
      <c r="DP74" s="124"/>
      <c r="DQ74" s="124"/>
      <c r="EA74" s="17">
        <f t="shared" si="86"/>
        <v>0.83333333333333337</v>
      </c>
      <c r="EB74" s="16">
        <f t="shared" si="87"/>
        <v>0.05</v>
      </c>
      <c r="EC74" s="16"/>
    </row>
    <row r="75" spans="1:133" x14ac:dyDescent="0.2">
      <c r="A75" s="8">
        <v>26</v>
      </c>
      <c r="B75" t="s">
        <v>143</v>
      </c>
      <c r="C75">
        <v>2</v>
      </c>
      <c r="D75" t="s">
        <v>2</v>
      </c>
      <c r="E75" t="s">
        <v>1</v>
      </c>
      <c r="F75" s="6">
        <v>59</v>
      </c>
      <c r="G75" s="26" t="s">
        <v>29</v>
      </c>
      <c r="H75" s="1">
        <v>10</v>
      </c>
      <c r="I75" s="11">
        <v>310</v>
      </c>
      <c r="J75" s="13" t="s">
        <v>35</v>
      </c>
      <c r="K75" s="6"/>
      <c r="L75" s="1">
        <v>1E-4</v>
      </c>
      <c r="M75" s="6">
        <v>7.0000000000000007E-2</v>
      </c>
      <c r="N75" s="1">
        <v>128.19</v>
      </c>
      <c r="O75" s="18">
        <f>VLOOKUP(I75,[1]CompDbase!$B:$K,9,FALSE)</f>
        <v>31.8</v>
      </c>
      <c r="P75" s="30">
        <v>3.3</v>
      </c>
      <c r="Q75" s="1"/>
      <c r="R75" s="1">
        <f t="shared" si="47"/>
        <v>-12.128464357385459</v>
      </c>
      <c r="S75" s="1">
        <f t="shared" si="48"/>
        <v>51.465495888741714</v>
      </c>
      <c r="T75" s="1">
        <f t="shared" si="49"/>
        <v>-0.47816635225985332</v>
      </c>
      <c r="U75" s="1">
        <f t="shared" si="50"/>
        <v>-0.38835183930849232</v>
      </c>
      <c r="V75" s="197">
        <f t="shared" si="51"/>
        <v>0</v>
      </c>
      <c r="W75" s="197">
        <f t="shared" si="52"/>
        <v>-12.994982548953805</v>
      </c>
      <c r="X75" s="118">
        <f t="shared" si="53"/>
        <v>8.7403976889440018E-9</v>
      </c>
      <c r="Y75" s="1">
        <f t="shared" si="54"/>
        <v>2.9302835917149346</v>
      </c>
      <c r="Z75" s="1">
        <f t="shared" si="55"/>
        <v>-5.2857869641722353</v>
      </c>
      <c r="AA75" s="1">
        <f t="shared" si="56"/>
        <v>4.9110290843108723E-2</v>
      </c>
      <c r="AB75" s="1">
        <f t="shared" si="57"/>
        <v>-0.10347617174905403</v>
      </c>
      <c r="AC75" s="197">
        <f t="shared" si="58"/>
        <v>0</v>
      </c>
      <c r="AD75" s="197">
        <f t="shared" si="59"/>
        <v>2.8759177108089893</v>
      </c>
      <c r="AE75" s="96">
        <f t="shared" si="60"/>
        <v>751.48049160878929</v>
      </c>
      <c r="AF75" s="98">
        <f t="shared" si="61"/>
        <v>6.5682383521439645E-6</v>
      </c>
      <c r="AG75" s="291">
        <v>0.14952500000000002</v>
      </c>
      <c r="AH75" s="21"/>
      <c r="AI75" s="162">
        <v>5.0000000000000002E-5</v>
      </c>
      <c r="AJ75" s="167">
        <f t="shared" si="62"/>
        <v>2.4744667160602828E-2</v>
      </c>
      <c r="AK75" s="168">
        <f t="shared" si="63"/>
        <v>2.2397775915123116E-5</v>
      </c>
      <c r="AL75" s="151">
        <f t="shared" si="88"/>
        <v>6.0427161549404858</v>
      </c>
      <c r="AM75" s="177">
        <f t="shared" si="89"/>
        <v>494.89334321205655</v>
      </c>
      <c r="AN75" s="134">
        <f t="shared" si="64"/>
        <v>2.694511612175039</v>
      </c>
      <c r="AO75" s="119">
        <f t="shared" si="65"/>
        <v>4.7020440251572329E-3</v>
      </c>
      <c r="AP75">
        <f t="shared" si="66"/>
        <v>23</v>
      </c>
      <c r="AQ75" s="124">
        <f t="shared" ref="AQ75" si="100">(AP75-0.5)/MAX(AP$51:AP$117)</f>
        <v>0.375</v>
      </c>
      <c r="AR75" s="124"/>
      <c r="AS75" s="124"/>
      <c r="AT75" s="14">
        <f t="shared" si="68"/>
        <v>1</v>
      </c>
      <c r="AZ75" s="83"/>
      <c r="BA75" s="83"/>
      <c r="BB75" s="83"/>
      <c r="BC75" s="83"/>
      <c r="BD75" s="83"/>
      <c r="BE75" s="8">
        <f t="shared" si="69"/>
        <v>3.1218399392662311E-3</v>
      </c>
      <c r="BF75" s="16">
        <f t="shared" si="70"/>
        <v>7.9263087288257656</v>
      </c>
      <c r="BG75" s="16"/>
      <c r="BH75" s="189"/>
      <c r="BI75" s="6">
        <f t="shared" si="71"/>
        <v>2.8257511385682813E-6</v>
      </c>
      <c r="BJ75" s="151">
        <f t="shared" si="72"/>
        <v>47.896433804721241</v>
      </c>
      <c r="BK75" s="177">
        <f t="shared" si="73"/>
        <v>62.436798785324619</v>
      </c>
      <c r="BL75" s="134">
        <f t="shared" si="74"/>
        <v>1.7954406281266266</v>
      </c>
      <c r="BM75" s="119">
        <f t="shared" si="75"/>
        <v>4.7020440251572329E-3</v>
      </c>
      <c r="BN75">
        <f t="shared" si="76"/>
        <v>20</v>
      </c>
      <c r="BO75" s="124">
        <f t="shared" si="77"/>
        <v>0.32500000000000001</v>
      </c>
      <c r="BP75" s="124"/>
      <c r="BQ75" s="124"/>
      <c r="BR75" s="14">
        <f t="shared" si="78"/>
        <v>1</v>
      </c>
      <c r="BX75" s="83"/>
      <c r="BY75" s="83"/>
      <c r="BZ75" s="83"/>
      <c r="CA75" s="83"/>
      <c r="CB75" s="83"/>
      <c r="CC75" s="151"/>
      <c r="CD75" s="177">
        <f t="shared" si="79"/>
        <v>2990.5000000000005</v>
      </c>
      <c r="CE75" s="134">
        <f t="shared" si="80"/>
        <v>3.4757438067481261</v>
      </c>
      <c r="CF75" s="119">
        <f t="shared" si="81"/>
        <v>4.7020440251572329E-3</v>
      </c>
      <c r="CG75">
        <f t="shared" si="82"/>
        <v>20</v>
      </c>
      <c r="CH75" s="124">
        <f t="shared" si="83"/>
        <v>0.32500000000000001</v>
      </c>
      <c r="CI75" s="124"/>
      <c r="CJ75" s="124"/>
      <c r="CK75" s="14">
        <f t="shared" si="84"/>
        <v>3</v>
      </c>
      <c r="CL75" s="16"/>
      <c r="DN75" s="191">
        <f t="shared" si="85"/>
        <v>1.0519819209065196E-7</v>
      </c>
      <c r="DO75" s="97"/>
      <c r="DP75" s="124"/>
      <c r="DQ75" s="124"/>
      <c r="EA75" s="17">
        <f t="shared" si="86"/>
        <v>2.1360714285714288</v>
      </c>
      <c r="EB75" s="16">
        <f t="shared" si="87"/>
        <v>0.5</v>
      </c>
      <c r="EC75" s="16"/>
    </row>
    <row r="76" spans="1:133" x14ac:dyDescent="0.2">
      <c r="A76" s="8">
        <v>91</v>
      </c>
      <c r="B76" t="s">
        <v>143</v>
      </c>
      <c r="C76">
        <v>8</v>
      </c>
      <c r="D76" s="16" t="s">
        <v>28</v>
      </c>
      <c r="E76" t="s">
        <v>27</v>
      </c>
      <c r="F76" s="14" t="s">
        <v>26</v>
      </c>
      <c r="G76" s="26" t="s">
        <v>25</v>
      </c>
      <c r="H76" s="16">
        <v>14</v>
      </c>
      <c r="I76" s="11">
        <v>310</v>
      </c>
      <c r="J76" t="s">
        <v>35</v>
      </c>
      <c r="K76" s="6"/>
      <c r="L76" s="1">
        <v>1E-4</v>
      </c>
      <c r="M76" s="6">
        <v>7.0000000000000007E-2</v>
      </c>
      <c r="N76" s="1">
        <v>128.19</v>
      </c>
      <c r="O76" s="18">
        <f>VLOOKUP(I76,[1]CompDbase!$B:$K,9,FALSE)</f>
        <v>31.8</v>
      </c>
      <c r="P76" s="30">
        <v>3.3</v>
      </c>
      <c r="Q76" s="1"/>
      <c r="R76" s="1">
        <f t="shared" si="47"/>
        <v>-12.128464357385459</v>
      </c>
      <c r="S76" s="1">
        <f t="shared" si="48"/>
        <v>51.465495888741714</v>
      </c>
      <c r="T76" s="1">
        <f t="shared" si="49"/>
        <v>-0.34576814276072565</v>
      </c>
      <c r="U76" s="1">
        <f t="shared" si="50"/>
        <v>-0.39171807015940902</v>
      </c>
      <c r="V76" s="197">
        <f t="shared" si="51"/>
        <v>0</v>
      </c>
      <c r="W76" s="197">
        <f t="shared" si="52"/>
        <v>-12.865950570305595</v>
      </c>
      <c r="X76" s="118">
        <f t="shared" si="53"/>
        <v>1.176422093779306E-8</v>
      </c>
      <c r="Y76" s="1">
        <f t="shared" si="54"/>
        <v>2.9302835917149346</v>
      </c>
      <c r="Z76" s="1">
        <f t="shared" si="55"/>
        <v>-5.2857869641722353</v>
      </c>
      <c r="AA76" s="1">
        <f t="shared" si="56"/>
        <v>3.5512273030103951E-2</v>
      </c>
      <c r="AB76" s="1">
        <f t="shared" si="57"/>
        <v>-0.10392251842625366</v>
      </c>
      <c r="AC76" s="197">
        <f t="shared" si="58"/>
        <v>0</v>
      </c>
      <c r="AD76" s="197">
        <f t="shared" si="59"/>
        <v>2.8618733463187849</v>
      </c>
      <c r="AE76" s="96">
        <f t="shared" si="60"/>
        <v>727.56759241849761</v>
      </c>
      <c r="AF76" s="98">
        <f t="shared" si="61"/>
        <v>8.5592659043893772E-6</v>
      </c>
      <c r="AG76" s="291">
        <v>1.3000000000000001E-2</v>
      </c>
      <c r="AH76" s="21"/>
      <c r="AI76" s="162">
        <v>5.0000000000000002E-5</v>
      </c>
      <c r="AJ76" s="167">
        <f t="shared" si="62"/>
        <v>2.8034884544485238E-3</v>
      </c>
      <c r="AK76" s="168">
        <f t="shared" si="63"/>
        <v>2.5375934853287047E-6</v>
      </c>
      <c r="AL76" s="151">
        <f t="shared" si="88"/>
        <v>4.6370799135526459</v>
      </c>
      <c r="AM76" s="177">
        <f t="shared" si="89"/>
        <v>56.069769088970475</v>
      </c>
      <c r="AN76" s="134">
        <f t="shared" si="64"/>
        <v>1.7487287675557366</v>
      </c>
      <c r="AO76" s="119">
        <f t="shared" si="65"/>
        <v>4.0880503144654089E-4</v>
      </c>
      <c r="AP76">
        <f t="shared" si="66"/>
        <v>14</v>
      </c>
      <c r="AQ76" s="124">
        <f t="shared" ref="AQ76" si="101">(AP76-0.5)/MAX(AP$51:AP$117)</f>
        <v>0.22500000000000001</v>
      </c>
      <c r="AR76" s="124"/>
      <c r="AS76" s="124"/>
      <c r="AT76" s="14">
        <f t="shared" si="68"/>
        <v>1</v>
      </c>
      <c r="AZ76" s="83"/>
      <c r="BA76" s="83"/>
      <c r="BB76" s="83"/>
      <c r="BC76" s="83"/>
      <c r="BD76" s="83"/>
      <c r="BE76" s="8">
        <f t="shared" si="69"/>
        <v>3.2469464049039021E-4</v>
      </c>
      <c r="BF76" s="16">
        <f t="shared" si="70"/>
        <v>8.634230765910953</v>
      </c>
      <c r="BG76" s="16"/>
      <c r="BH76" s="189"/>
      <c r="BI76" s="6">
        <f t="shared" si="71"/>
        <v>2.9389919659634857E-7</v>
      </c>
      <c r="BJ76" s="151">
        <f t="shared" si="72"/>
        <v>40.037618053583962</v>
      </c>
      <c r="BK76" s="177">
        <f t="shared" si="73"/>
        <v>6.4938928098078037</v>
      </c>
      <c r="BL76" s="134">
        <f t="shared" si="74"/>
        <v>0.81250511575084117</v>
      </c>
      <c r="BM76" s="119">
        <f t="shared" si="75"/>
        <v>4.0880503144654089E-4</v>
      </c>
      <c r="BN76">
        <f t="shared" si="76"/>
        <v>12</v>
      </c>
      <c r="BO76" s="124">
        <f t="shared" si="77"/>
        <v>0.19166666666666668</v>
      </c>
      <c r="BP76" s="124"/>
      <c r="BQ76" s="124"/>
      <c r="BR76" s="14">
        <f t="shared" si="78"/>
        <v>1</v>
      </c>
      <c r="BX76" s="83"/>
      <c r="BY76" s="83"/>
      <c r="BZ76" s="83"/>
      <c r="CA76" s="83"/>
      <c r="CB76" s="83"/>
      <c r="CC76" s="151"/>
      <c r="CD76" s="177">
        <f t="shared" si="79"/>
        <v>260</v>
      </c>
      <c r="CE76" s="134">
        <f t="shared" si="80"/>
        <v>2.4149733479708178</v>
      </c>
      <c r="CF76" s="119">
        <f t="shared" si="81"/>
        <v>4.0880503144654089E-4</v>
      </c>
      <c r="CG76">
        <f t="shared" si="82"/>
        <v>9</v>
      </c>
      <c r="CH76" s="124">
        <f t="shared" si="83"/>
        <v>0.14166666666666666</v>
      </c>
      <c r="CI76" s="124"/>
      <c r="CJ76" s="124"/>
      <c r="CK76" s="14">
        <f t="shared" si="84"/>
        <v>3</v>
      </c>
      <c r="CL76" s="16"/>
      <c r="DN76" s="191">
        <f t="shared" si="85"/>
        <v>1.3180485349961762E-6</v>
      </c>
      <c r="DO76" s="97"/>
      <c r="DP76" s="124"/>
      <c r="DQ76" s="124"/>
      <c r="EA76" s="17">
        <f t="shared" si="86"/>
        <v>0.18571428571428572</v>
      </c>
      <c r="EB76" s="16">
        <f t="shared" si="87"/>
        <v>0.5</v>
      </c>
      <c r="EC76" s="16"/>
    </row>
    <row r="77" spans="1:133" x14ac:dyDescent="0.2">
      <c r="A77" s="8">
        <v>67</v>
      </c>
      <c r="B77" t="s">
        <v>143</v>
      </c>
      <c r="C77">
        <v>6</v>
      </c>
      <c r="D77" t="s">
        <v>6</v>
      </c>
      <c r="E77" t="s">
        <v>5</v>
      </c>
      <c r="F77" s="9">
        <v>2</v>
      </c>
      <c r="G77" s="26" t="s">
        <v>31</v>
      </c>
      <c r="H77" s="1">
        <v>10</v>
      </c>
      <c r="I77" s="11">
        <v>-401</v>
      </c>
      <c r="J77" s="182" t="s">
        <v>34</v>
      </c>
      <c r="K77" s="6" t="s">
        <v>183</v>
      </c>
      <c r="L77" s="1">
        <v>1E-3</v>
      </c>
      <c r="M77" s="6">
        <v>0.02</v>
      </c>
      <c r="N77" s="1">
        <v>167.85</v>
      </c>
      <c r="O77" s="18">
        <f>VLOOKUP(I77,[1]CompDbase!$B:$K,9,FALSE)</f>
        <v>2900</v>
      </c>
      <c r="P77" s="30">
        <v>2.39</v>
      </c>
      <c r="Q77" s="1"/>
      <c r="R77" s="1">
        <f t="shared" si="47"/>
        <v>-12.574014870795713</v>
      </c>
      <c r="S77" s="1">
        <f t="shared" si="48"/>
        <v>58.70687168932281</v>
      </c>
      <c r="T77" s="1">
        <f t="shared" si="49"/>
        <v>-0.54544603531958835</v>
      </c>
      <c r="U77" s="1">
        <f t="shared" si="50"/>
        <v>-0.39201859738037059</v>
      </c>
      <c r="V77" s="197">
        <f t="shared" si="51"/>
        <v>0</v>
      </c>
      <c r="W77" s="197">
        <f t="shared" si="52"/>
        <v>-13.511479503495673</v>
      </c>
      <c r="X77" s="118">
        <f t="shared" si="53"/>
        <v>2.6609348347687045E-9</v>
      </c>
      <c r="Y77" s="1">
        <f t="shared" si="54"/>
        <v>1.9322275478335054</v>
      </c>
      <c r="Z77" s="1">
        <f t="shared" si="55"/>
        <v>10.24051044899252</v>
      </c>
      <c r="AA77" s="1">
        <f t="shared" si="56"/>
        <v>-9.514466813375895E-2</v>
      </c>
      <c r="AB77" s="1">
        <f t="shared" si="57"/>
        <v>-0.10396236694895605</v>
      </c>
      <c r="AC77" s="197">
        <f t="shared" si="58"/>
        <v>0</v>
      </c>
      <c r="AD77" s="197">
        <f t="shared" si="59"/>
        <v>1.7331205127507905</v>
      </c>
      <c r="AE77" s="96">
        <f t="shared" si="60"/>
        <v>54.090439815087507</v>
      </c>
      <c r="AF77" s="98">
        <f t="shared" si="61"/>
        <v>1.4393113553192643E-7</v>
      </c>
      <c r="AG77" s="291">
        <v>7.3999999999999996E-2</v>
      </c>
      <c r="AH77" s="21"/>
      <c r="AI77" s="162">
        <v>5.0000000000000002E-5</v>
      </c>
      <c r="AJ77" s="167">
        <f t="shared" si="62"/>
        <v>2.6835233130165166E-4</v>
      </c>
      <c r="AK77" s="168">
        <f t="shared" si="63"/>
        <v>2.4290063567170831E-7</v>
      </c>
      <c r="AL77" s="151">
        <f t="shared" si="88"/>
        <v>275.75687396140961</v>
      </c>
      <c r="AM77" s="177">
        <f t="shared" si="89"/>
        <v>5.3670466260330327</v>
      </c>
      <c r="AN77" s="134">
        <f t="shared" si="64"/>
        <v>0.72973536822180363</v>
      </c>
      <c r="AO77" s="119">
        <f t="shared" si="65"/>
        <v>2.5517241379310345E-5</v>
      </c>
      <c r="AP77">
        <f t="shared" si="66"/>
        <v>7</v>
      </c>
      <c r="AQ77" s="124">
        <f t="shared" ref="AQ77" si="102">(AP77-0.5)/MAX(AP$51:AP$117)</f>
        <v>0.10833333333333334</v>
      </c>
      <c r="AR77" s="124"/>
      <c r="AS77" s="124"/>
      <c r="AT77" s="14">
        <f t="shared" si="68"/>
        <v>1</v>
      </c>
      <c r="AZ77" s="83"/>
      <c r="BA77" s="83"/>
      <c r="BB77" s="83"/>
      <c r="BC77" s="83"/>
      <c r="BD77" s="83"/>
      <c r="BE77" s="8">
        <f t="shared" si="69"/>
        <v>2.6835233130165166E-4</v>
      </c>
      <c r="BF77" s="16">
        <f t="shared" si="70"/>
        <v>1</v>
      </c>
      <c r="BG77" s="16"/>
      <c r="BH77" s="189"/>
      <c r="BI77" s="6">
        <f t="shared" si="71"/>
        <v>2.4290063567170831E-7</v>
      </c>
      <c r="BJ77" s="151">
        <f t="shared" si="72"/>
        <v>275.75687396140961</v>
      </c>
      <c r="BK77" s="177">
        <f t="shared" si="73"/>
        <v>5.3670466260330327</v>
      </c>
      <c r="BL77" s="134">
        <f t="shared" si="74"/>
        <v>0.72973536822180363</v>
      </c>
      <c r="BM77" s="119">
        <f t="shared" si="75"/>
        <v>2.5517241379310345E-5</v>
      </c>
      <c r="BN77">
        <f t="shared" si="76"/>
        <v>11</v>
      </c>
      <c r="BO77" s="124">
        <f t="shared" si="77"/>
        <v>0.17499999999999999</v>
      </c>
      <c r="BP77" s="124"/>
      <c r="BQ77" s="124"/>
      <c r="BR77" s="14">
        <f t="shared" si="78"/>
        <v>1</v>
      </c>
      <c r="BX77" s="83"/>
      <c r="BY77" s="83"/>
      <c r="BZ77" s="83"/>
      <c r="CA77" s="83"/>
      <c r="CB77" s="83"/>
      <c r="CC77" s="151"/>
      <c r="CD77" s="177">
        <f t="shared" si="79"/>
        <v>1479.9999999999998</v>
      </c>
      <c r="CE77" s="134">
        <f t="shared" si="80"/>
        <v>3.1702617153949575</v>
      </c>
      <c r="CF77" s="119">
        <f t="shared" si="81"/>
        <v>2.5517241379310345E-5</v>
      </c>
      <c r="CG77">
        <f t="shared" si="82"/>
        <v>16</v>
      </c>
      <c r="CH77" s="124">
        <f t="shared" si="83"/>
        <v>0.25833333333333336</v>
      </c>
      <c r="CI77" s="124"/>
      <c r="CJ77" s="124"/>
      <c r="CK77" s="14">
        <f t="shared" si="84"/>
        <v>3</v>
      </c>
      <c r="CL77" s="16"/>
      <c r="DN77" s="191">
        <f t="shared" si="85"/>
        <v>2.6817567567567572E-8</v>
      </c>
      <c r="DO77" s="97"/>
      <c r="DP77" s="124"/>
      <c r="DQ77" s="124"/>
      <c r="EA77" s="17">
        <f t="shared" si="86"/>
        <v>3.6999999999999997</v>
      </c>
      <c r="EB77" s="16">
        <f t="shared" si="87"/>
        <v>0.05</v>
      </c>
      <c r="EC77" s="16"/>
    </row>
    <row r="78" spans="1:133" x14ac:dyDescent="0.2">
      <c r="A78" s="8">
        <v>3</v>
      </c>
      <c r="B78" t="s">
        <v>143</v>
      </c>
      <c r="C78">
        <v>1</v>
      </c>
      <c r="D78" s="23" t="s">
        <v>11</v>
      </c>
      <c r="E78" t="s">
        <v>10</v>
      </c>
      <c r="F78" s="6">
        <v>42</v>
      </c>
      <c r="G78" s="28" t="s">
        <v>33</v>
      </c>
      <c r="H78" s="1">
        <v>10</v>
      </c>
      <c r="I78" s="11">
        <v>403</v>
      </c>
      <c r="J78" t="s">
        <v>12</v>
      </c>
      <c r="K78" s="6" t="s">
        <v>153</v>
      </c>
      <c r="L78" s="1">
        <v>0.01</v>
      </c>
      <c r="M78" s="6">
        <v>0.04</v>
      </c>
      <c r="N78" s="1">
        <v>165.80749949115744</v>
      </c>
      <c r="O78" s="18">
        <f>VLOOKUP(I78,[1]CompDbase!$B:$K,9,FALSE)</f>
        <v>118.88250367033854</v>
      </c>
      <c r="P78" s="30">
        <v>3.4</v>
      </c>
      <c r="Q78" s="1"/>
      <c r="R78" s="1">
        <f t="shared" si="47"/>
        <v>-12.551068901296079</v>
      </c>
      <c r="S78" s="1">
        <f t="shared" si="48"/>
        <v>58.377969414674283</v>
      </c>
      <c r="T78" s="1">
        <f t="shared" si="49"/>
        <v>-0.5423902015380847</v>
      </c>
      <c r="U78" s="1">
        <f t="shared" si="50"/>
        <v>-0.34491694893079139</v>
      </c>
      <c r="V78" s="197">
        <f t="shared" si="51"/>
        <v>0</v>
      </c>
      <c r="W78" s="197">
        <f t="shared" si="52"/>
        <v>-13.438376051764955</v>
      </c>
      <c r="X78" s="118">
        <f t="shared" si="53"/>
        <v>3.1487464488786161E-9</v>
      </c>
      <c r="Y78" s="1">
        <f t="shared" si="54"/>
        <v>3.0399600800535533</v>
      </c>
      <c r="Z78" s="1">
        <f t="shared" si="55"/>
        <v>-0.74910321004742997</v>
      </c>
      <c r="AA78" s="1">
        <f t="shared" si="56"/>
        <v>6.9599241827743297E-3</v>
      </c>
      <c r="AB78" s="1">
        <f t="shared" si="57"/>
        <v>-9.7716905717332825E-2</v>
      </c>
      <c r="AC78" s="197">
        <f t="shared" si="58"/>
        <v>0</v>
      </c>
      <c r="AD78" s="197">
        <f t="shared" si="59"/>
        <v>2.949203098518995</v>
      </c>
      <c r="AE78" s="96">
        <f t="shared" si="60"/>
        <v>889.61705145164876</v>
      </c>
      <c r="AF78" s="98">
        <f t="shared" si="61"/>
        <v>2.8011785316202442E-6</v>
      </c>
      <c r="AG78" s="291">
        <v>7.1446285714285711</v>
      </c>
      <c r="AH78" s="21"/>
      <c r="AI78" s="162">
        <v>5.0000000000000002E-5</v>
      </c>
      <c r="AJ78" s="167">
        <f t="shared" si="62"/>
        <v>0.50424238273334143</v>
      </c>
      <c r="AK78" s="168">
        <f t="shared" si="63"/>
        <v>4.5641785448424625E-4</v>
      </c>
      <c r="AL78" s="151">
        <f t="shared" si="88"/>
        <v>14.169036193863272</v>
      </c>
      <c r="AM78" s="177">
        <f t="shared" si="89"/>
        <v>10084.847654666828</v>
      </c>
      <c r="AN78" s="134">
        <f t="shared" si="64"/>
        <v>4.0036693419898075</v>
      </c>
      <c r="AO78" s="119">
        <f t="shared" si="65"/>
        <v>6.0098234398231073E-2</v>
      </c>
      <c r="AP78">
        <f t="shared" si="66"/>
        <v>51</v>
      </c>
      <c r="AQ78" s="124">
        <f t="shared" ref="AQ78" si="103">(AP78-0.5)/MAX(AP$51:AP$117)</f>
        <v>0.84166666666666667</v>
      </c>
      <c r="AR78" s="124"/>
      <c r="AS78" s="124"/>
      <c r="AT78" s="14">
        <f t="shared" si="68"/>
        <v>1</v>
      </c>
      <c r="AZ78" s="83"/>
      <c r="BA78" s="83"/>
      <c r="BB78" s="83"/>
      <c r="BC78" s="83"/>
      <c r="BD78" s="83"/>
      <c r="BE78" s="8">
        <f t="shared" si="69"/>
        <v>8.1811706416759736E-2</v>
      </c>
      <c r="BF78" s="16">
        <f t="shared" si="70"/>
        <v>6.1634502544741405</v>
      </c>
      <c r="BG78" s="16"/>
      <c r="BH78" s="189"/>
      <c r="BI78" s="6">
        <f t="shared" si="71"/>
        <v>7.4052330373385538E-5</v>
      </c>
      <c r="BJ78" s="151">
        <f t="shared" si="72"/>
        <v>87.330149734719882</v>
      </c>
      <c r="BK78" s="177">
        <f t="shared" si="73"/>
        <v>1636.2341283351946</v>
      </c>
      <c r="BL78" s="134">
        <f t="shared" si="74"/>
        <v>3.2138454468713409</v>
      </c>
      <c r="BM78" s="119">
        <f t="shared" si="75"/>
        <v>6.0098234398231073E-2</v>
      </c>
      <c r="BN78">
        <f t="shared" si="76"/>
        <v>52</v>
      </c>
      <c r="BO78" s="124">
        <f t="shared" si="77"/>
        <v>0.85833333333333328</v>
      </c>
      <c r="BP78" s="124"/>
      <c r="BQ78" s="124"/>
      <c r="BR78" s="14">
        <f t="shared" si="78"/>
        <v>1</v>
      </c>
      <c r="BX78" s="83"/>
      <c r="BY78" s="83"/>
      <c r="BZ78" s="83"/>
      <c r="CA78" s="83"/>
      <c r="CB78" s="83"/>
      <c r="CC78" s="151"/>
      <c r="CD78" s="177">
        <f t="shared" si="79"/>
        <v>142892.57142857142</v>
      </c>
      <c r="CE78" s="134">
        <f t="shared" si="80"/>
        <v>5.1550096516640389</v>
      </c>
      <c r="CF78" s="119">
        <f t="shared" si="81"/>
        <v>6.0098234398231073E-2</v>
      </c>
      <c r="CG78">
        <f t="shared" si="82"/>
        <v>55</v>
      </c>
      <c r="CH78" s="124">
        <f t="shared" si="83"/>
        <v>0.90833333333333333</v>
      </c>
      <c r="CI78" s="124"/>
      <c r="CJ78" s="124"/>
      <c r="CK78" s="14">
        <f t="shared" si="84"/>
        <v>3</v>
      </c>
      <c r="CL78" s="16"/>
      <c r="DN78" s="191">
        <f t="shared" si="85"/>
        <v>1.7119668164300764E-9</v>
      </c>
      <c r="DO78" s="97"/>
      <c r="DP78" s="124"/>
      <c r="DQ78" s="124"/>
      <c r="EA78" s="17">
        <f t="shared" si="86"/>
        <v>178.61571428571426</v>
      </c>
      <c r="EB78" s="16">
        <f t="shared" si="87"/>
        <v>5.0000000000000001E-3</v>
      </c>
      <c r="EC78" s="16"/>
    </row>
    <row r="79" spans="1:133" x14ac:dyDescent="0.2">
      <c r="A79" s="8">
        <v>23</v>
      </c>
      <c r="B79" t="s">
        <v>143</v>
      </c>
      <c r="C79">
        <v>2</v>
      </c>
      <c r="D79" t="s">
        <v>2</v>
      </c>
      <c r="E79" t="s">
        <v>1</v>
      </c>
      <c r="F79" s="6">
        <v>59</v>
      </c>
      <c r="G79" s="26" t="s">
        <v>29</v>
      </c>
      <c r="H79" s="1">
        <v>10</v>
      </c>
      <c r="I79" s="11">
        <v>204</v>
      </c>
      <c r="J79" s="13" t="s">
        <v>32</v>
      </c>
      <c r="K79" s="6" t="s">
        <v>184</v>
      </c>
      <c r="L79" s="1">
        <v>1E-3</v>
      </c>
      <c r="M79" s="6">
        <v>1</v>
      </c>
      <c r="N79" s="1">
        <v>92.14249284505685</v>
      </c>
      <c r="O79" s="18">
        <f>VLOOKUP(I79,[1]CompDbase!$B:$K,9,FALSE)</f>
        <v>610.59105234897152</v>
      </c>
      <c r="P79" s="30">
        <v>2.73</v>
      </c>
      <c r="Q79" s="1"/>
      <c r="R79" s="1">
        <f t="shared" si="47"/>
        <v>-11.72349750614883</v>
      </c>
      <c r="S79" s="1">
        <f t="shared" si="48"/>
        <v>42.595622564693741</v>
      </c>
      <c r="T79" s="1">
        <f t="shared" si="49"/>
        <v>-0.39575628510465088</v>
      </c>
      <c r="U79" s="1">
        <f t="shared" si="50"/>
        <v>-0.39197789770553015</v>
      </c>
      <c r="V79" s="197">
        <f t="shared" si="51"/>
        <v>0</v>
      </c>
      <c r="W79" s="197">
        <f t="shared" si="52"/>
        <v>-12.511231688959011</v>
      </c>
      <c r="X79" s="118">
        <f t="shared" si="53"/>
        <v>2.6624536348758301E-8</v>
      </c>
      <c r="Y79" s="1">
        <f t="shared" si="54"/>
        <v>2.3051276081848084</v>
      </c>
      <c r="Z79" s="1">
        <f t="shared" si="55"/>
        <v>4.8803127995918913</v>
      </c>
      <c r="AA79" s="1">
        <f t="shared" si="56"/>
        <v>-4.5343026992544964E-2</v>
      </c>
      <c r="AB79" s="1">
        <f t="shared" si="57"/>
        <v>-0.10395697035988279</v>
      </c>
      <c r="AC79" s="197">
        <f t="shared" si="58"/>
        <v>0</v>
      </c>
      <c r="AD79" s="197">
        <f t="shared" si="59"/>
        <v>2.1558276108323806</v>
      </c>
      <c r="AE79" s="96">
        <f t="shared" si="60"/>
        <v>143.16195183810382</v>
      </c>
      <c r="AF79" s="98">
        <f t="shared" si="61"/>
        <v>3.8116205904727803E-6</v>
      </c>
      <c r="AG79" s="291">
        <v>4.7274999999999998E-2</v>
      </c>
      <c r="AH79" s="21"/>
      <c r="AI79" s="162">
        <v>5.0000000000000002E-5</v>
      </c>
      <c r="AJ79" s="167">
        <f t="shared" si="62"/>
        <v>4.5400444296951536E-3</v>
      </c>
      <c r="AK79" s="168">
        <f t="shared" si="63"/>
        <v>4.109446981890125E-6</v>
      </c>
      <c r="AL79" s="151">
        <f t="shared" si="88"/>
        <v>10.412893691257187</v>
      </c>
      <c r="AM79" s="177">
        <f t="shared" si="89"/>
        <v>90.800888593903068</v>
      </c>
      <c r="AN79" s="134">
        <f t="shared" si="64"/>
        <v>1.9580900986261562</v>
      </c>
      <c r="AO79" s="119">
        <f t="shared" si="65"/>
        <v>7.7424979973307712E-5</v>
      </c>
      <c r="AP79">
        <f t="shared" si="66"/>
        <v>16</v>
      </c>
      <c r="AQ79" s="124">
        <f t="shared" ref="AQ79" si="104">(AP79-0.5)/MAX(AP$51:AP$117)</f>
        <v>0.25833333333333336</v>
      </c>
      <c r="AR79" s="124"/>
      <c r="AS79" s="124"/>
      <c r="AT79" s="14">
        <f t="shared" si="68"/>
        <v>1</v>
      </c>
      <c r="AZ79" s="83"/>
      <c r="BA79" s="83"/>
      <c r="BB79" s="83"/>
      <c r="BC79" s="83"/>
      <c r="BD79" s="83"/>
      <c r="BE79" s="8">
        <f t="shared" si="69"/>
        <v>1.2882724506740541E-3</v>
      </c>
      <c r="BF79" s="16">
        <f t="shared" si="70"/>
        <v>3.5241337554953507</v>
      </c>
      <c r="BG79" s="16"/>
      <c r="BH79" s="189"/>
      <c r="BI79" s="6">
        <f t="shared" si="71"/>
        <v>1.1660871201276248E-6</v>
      </c>
      <c r="BJ79" s="151">
        <f t="shared" si="72"/>
        <v>36.696430149744039</v>
      </c>
      <c r="BK79" s="177">
        <f t="shared" si="73"/>
        <v>25.765449013481081</v>
      </c>
      <c r="BL79" s="134">
        <f t="shared" si="74"/>
        <v>1.4110377152961411</v>
      </c>
      <c r="BM79" s="119">
        <f t="shared" si="75"/>
        <v>7.7424979973307712E-5</v>
      </c>
      <c r="BN79">
        <f t="shared" si="76"/>
        <v>17</v>
      </c>
      <c r="BO79" s="124">
        <f t="shared" si="77"/>
        <v>0.27500000000000002</v>
      </c>
      <c r="BP79" s="124"/>
      <c r="BQ79" s="124"/>
      <c r="BR79" s="14">
        <f t="shared" si="78"/>
        <v>1</v>
      </c>
      <c r="BX79" s="83"/>
      <c r="BY79" s="83"/>
      <c r="BZ79" s="83"/>
      <c r="CA79" s="83"/>
      <c r="CB79" s="83"/>
      <c r="CC79" s="151"/>
      <c r="CD79" s="177">
        <f t="shared" si="79"/>
        <v>945.49999999999989</v>
      </c>
      <c r="CE79" s="134">
        <f t="shared" si="80"/>
        <v>2.9756615331810585</v>
      </c>
      <c r="CF79" s="119">
        <f t="shared" si="81"/>
        <v>7.7424979973307712E-5</v>
      </c>
      <c r="CG79">
        <f t="shared" si="82"/>
        <v>15</v>
      </c>
      <c r="CH79" s="124">
        <f t="shared" si="83"/>
        <v>0.24166666666666667</v>
      </c>
      <c r="CI79" s="124"/>
      <c r="CJ79" s="124"/>
      <c r="CK79" s="14">
        <f t="shared" si="84"/>
        <v>3</v>
      </c>
      <c r="CL79" s="16"/>
      <c r="DN79" s="191">
        <f t="shared" si="85"/>
        <v>1.4793534506146009E-7</v>
      </c>
      <c r="DO79" s="97"/>
      <c r="DP79" s="124"/>
      <c r="DQ79" s="124"/>
      <c r="EA79" s="17">
        <f t="shared" si="86"/>
        <v>4.7274999999999998E-2</v>
      </c>
      <c r="EB79" s="16">
        <f t="shared" si="87"/>
        <v>0.05</v>
      </c>
      <c r="EC79" s="16"/>
    </row>
    <row r="80" spans="1:133" x14ac:dyDescent="0.2">
      <c r="A80" s="8">
        <v>88</v>
      </c>
      <c r="B80" t="s">
        <v>143</v>
      </c>
      <c r="C80">
        <v>8</v>
      </c>
      <c r="D80" s="16" t="s">
        <v>28</v>
      </c>
      <c r="E80" t="s">
        <v>27</v>
      </c>
      <c r="F80" s="14" t="s">
        <v>26</v>
      </c>
      <c r="G80" s="26" t="s">
        <v>25</v>
      </c>
      <c r="H80" s="16">
        <v>14</v>
      </c>
      <c r="I80" s="11">
        <v>204</v>
      </c>
      <c r="J80" t="s">
        <v>32</v>
      </c>
      <c r="K80" s="6" t="s">
        <v>184</v>
      </c>
      <c r="L80" s="1">
        <v>1E-3</v>
      </c>
      <c r="M80" s="6">
        <v>1</v>
      </c>
      <c r="N80" s="1">
        <v>92.14249284505685</v>
      </c>
      <c r="O80" s="18">
        <f>VLOOKUP(I80,[1]CompDbase!$B:$K,9,FALSE)</f>
        <v>610.59105234897152</v>
      </c>
      <c r="P80" s="30">
        <v>2.73</v>
      </c>
      <c r="Q80" s="1"/>
      <c r="R80" s="1">
        <f t="shared" si="47"/>
        <v>-11.72349750614883</v>
      </c>
      <c r="S80" s="1">
        <f t="shared" si="48"/>
        <v>42.595622564693741</v>
      </c>
      <c r="T80" s="1">
        <f t="shared" si="49"/>
        <v>-0.28617637991423434</v>
      </c>
      <c r="U80" s="1">
        <f t="shared" si="50"/>
        <v>-0.39203719232673406</v>
      </c>
      <c r="V80" s="197">
        <f t="shared" si="51"/>
        <v>0</v>
      </c>
      <c r="W80" s="197">
        <f t="shared" si="52"/>
        <v>-12.401711078389798</v>
      </c>
      <c r="X80" s="118">
        <f t="shared" si="53"/>
        <v>3.4261207416413938E-8</v>
      </c>
      <c r="Y80" s="1">
        <f t="shared" si="54"/>
        <v>2.3051276081848084</v>
      </c>
      <c r="Z80" s="1">
        <f t="shared" si="55"/>
        <v>4.8803127995918913</v>
      </c>
      <c r="AA80" s="1">
        <f t="shared" si="56"/>
        <v>-3.2788116847338566E-2</v>
      </c>
      <c r="AB80" s="1">
        <f t="shared" si="57"/>
        <v>-0.1039648325530366</v>
      </c>
      <c r="AC80" s="197">
        <f t="shared" si="58"/>
        <v>0</v>
      </c>
      <c r="AD80" s="197">
        <f t="shared" si="59"/>
        <v>2.1683746587844333</v>
      </c>
      <c r="AE80" s="96">
        <f t="shared" si="60"/>
        <v>147.35831904991375</v>
      </c>
      <c r="AF80" s="98">
        <f t="shared" si="61"/>
        <v>5.0486739335031958E-6</v>
      </c>
      <c r="AG80" s="291">
        <v>1.1000000000000001E-3</v>
      </c>
      <c r="AH80" s="21"/>
      <c r="AI80" s="162">
        <v>5.0000000000000002E-5</v>
      </c>
      <c r="AJ80" s="167">
        <f t="shared" si="62"/>
        <v>1.399229359247547E-4</v>
      </c>
      <c r="AK80" s="168">
        <f t="shared" si="63"/>
        <v>1.2665203956424673E-7</v>
      </c>
      <c r="AL80" s="151">
        <f t="shared" si="88"/>
        <v>7.8614702638282177</v>
      </c>
      <c r="AM80" s="177">
        <f t="shared" si="89"/>
        <v>2.7984587184950938</v>
      </c>
      <c r="AN80" s="134">
        <f t="shared" si="64"/>
        <v>0.44691890478856972</v>
      </c>
      <c r="AO80" s="119">
        <f t="shared" si="65"/>
        <v>1.8015331141330192E-6</v>
      </c>
      <c r="AP80">
        <f t="shared" si="66"/>
        <v>4</v>
      </c>
      <c r="AQ80" s="124">
        <f t="shared" ref="AQ80" si="105">(AP80-0.5)/MAX(AP$51:AP$117)</f>
        <v>5.8333333333333334E-2</v>
      </c>
      <c r="AR80" s="124"/>
      <c r="AS80" s="124"/>
      <c r="AT80" s="14">
        <f t="shared" si="68"/>
        <v>1</v>
      </c>
      <c r="AZ80" s="83"/>
      <c r="BA80" s="83"/>
      <c r="BB80" s="83"/>
      <c r="BC80" s="83"/>
      <c r="BD80" s="83"/>
      <c r="BE80" s="8">
        <f t="shared" si="69"/>
        <v>3.5423454388135323E-5</v>
      </c>
      <c r="BF80" s="16">
        <f t="shared" si="70"/>
        <v>3.950008217482603</v>
      </c>
      <c r="BG80" s="16"/>
      <c r="BH80" s="189"/>
      <c r="BI80" s="6">
        <f t="shared" si="71"/>
        <v>3.2063740780003715E-8</v>
      </c>
      <c r="BJ80" s="151">
        <f t="shared" si="72"/>
        <v>31.052872143616586</v>
      </c>
      <c r="BK80" s="177">
        <f t="shared" si="73"/>
        <v>0.70846908776270645</v>
      </c>
      <c r="BL80" s="134">
        <f t="shared" si="74"/>
        <v>-0.14967909433248225</v>
      </c>
      <c r="BM80" s="119">
        <f t="shared" si="75"/>
        <v>1.8015331141330192E-6</v>
      </c>
      <c r="BN80">
        <f t="shared" si="76"/>
        <v>1</v>
      </c>
      <c r="BO80" s="124">
        <f t="shared" si="77"/>
        <v>8.3333333333333332E-3</v>
      </c>
      <c r="BP80" s="124"/>
      <c r="BQ80" s="124"/>
      <c r="BR80" s="14">
        <f t="shared" si="78"/>
        <v>3</v>
      </c>
      <c r="BX80" s="83"/>
      <c r="BY80" s="83"/>
      <c r="BZ80" s="83"/>
      <c r="CA80" s="83"/>
      <c r="CB80" s="83"/>
      <c r="CC80" s="151"/>
      <c r="CD80" s="177">
        <f t="shared" si="79"/>
        <v>22</v>
      </c>
      <c r="CE80" s="134">
        <f t="shared" si="80"/>
        <v>1.3424226808222062</v>
      </c>
      <c r="CF80" s="119">
        <f t="shared" si="81"/>
        <v>1.8015331141330192E-6</v>
      </c>
      <c r="CG80">
        <f t="shared" si="82"/>
        <v>1</v>
      </c>
      <c r="CH80" s="124">
        <f t="shared" si="83"/>
        <v>8.3333333333333332E-3</v>
      </c>
      <c r="CI80" s="124"/>
      <c r="CJ80" s="124"/>
      <c r="CK80" s="14">
        <f t="shared" si="84"/>
        <v>3</v>
      </c>
      <c r="CL80" s="16"/>
      <c r="DN80" s="191">
        <f t="shared" si="85"/>
        <v>7.1261739159947529E-6</v>
      </c>
      <c r="DO80" s="97"/>
      <c r="DP80" s="124"/>
      <c r="DQ80" s="124"/>
      <c r="EA80" s="17">
        <f t="shared" si="86"/>
        <v>1.1000000000000001E-3</v>
      </c>
      <c r="EB80" s="16">
        <f t="shared" si="87"/>
        <v>0.05</v>
      </c>
      <c r="EC80" s="16"/>
    </row>
    <row r="81" spans="1:133" x14ac:dyDescent="0.2">
      <c r="A81" s="8">
        <v>68</v>
      </c>
      <c r="B81" t="s">
        <v>143</v>
      </c>
      <c r="C81">
        <v>6</v>
      </c>
      <c r="D81" t="s">
        <v>6</v>
      </c>
      <c r="E81" t="s">
        <v>5</v>
      </c>
      <c r="F81" s="9">
        <v>2</v>
      </c>
      <c r="G81" s="26" t="s">
        <v>31</v>
      </c>
      <c r="H81" s="1">
        <v>10</v>
      </c>
      <c r="I81" s="11">
        <v>406</v>
      </c>
      <c r="J81" t="s">
        <v>30</v>
      </c>
      <c r="K81" s="6"/>
      <c r="L81" s="1">
        <v>1E-4</v>
      </c>
      <c r="M81" s="6">
        <v>5.0000000000000001E-3</v>
      </c>
      <c r="N81" s="1">
        <v>62.5</v>
      </c>
      <c r="O81" s="18">
        <f>VLOOKUP(I81,[1]CompDbase!$B:$K,9,FALSE)</f>
        <v>428</v>
      </c>
      <c r="P81" s="30">
        <v>1.52</v>
      </c>
      <c r="Q81" s="1"/>
      <c r="R81" s="1">
        <f t="shared" si="47"/>
        <v>-11.390486212505994</v>
      </c>
      <c r="S81" s="1">
        <f t="shared" si="48"/>
        <v>32.167845014112942</v>
      </c>
      <c r="T81" s="1">
        <f t="shared" si="49"/>
        <v>-0.29887171676555202</v>
      </c>
      <c r="U81" s="1">
        <f t="shared" si="50"/>
        <v>-0.3918609051263327</v>
      </c>
      <c r="V81" s="197">
        <f t="shared" si="51"/>
        <v>0</v>
      </c>
      <c r="W81" s="197">
        <f t="shared" si="52"/>
        <v>-12.081218834397879</v>
      </c>
      <c r="X81" s="118">
        <f t="shared" si="53"/>
        <v>7.1662987322465606E-8</v>
      </c>
      <c r="Y81" s="1">
        <f t="shared" si="54"/>
        <v>0.97804209928752295</v>
      </c>
      <c r="Z81" s="1">
        <f t="shared" si="55"/>
        <v>3.6579419834164142</v>
      </c>
      <c r="AA81" s="1">
        <f t="shared" si="56"/>
        <v>-3.3985969527421257E-2</v>
      </c>
      <c r="AB81" s="1">
        <f t="shared" si="57"/>
        <v>-0.10394145768374902</v>
      </c>
      <c r="AC81" s="197">
        <f t="shared" si="58"/>
        <v>0</v>
      </c>
      <c r="AD81" s="197">
        <f t="shared" si="59"/>
        <v>0.8401146720763526</v>
      </c>
      <c r="AE81" s="96">
        <f t="shared" si="60"/>
        <v>6.9201366761868881</v>
      </c>
      <c r="AF81" s="98">
        <f t="shared" si="61"/>
        <v>4.9591766689531024E-7</v>
      </c>
      <c r="AG81" s="291">
        <v>9.7000000000000003E-2</v>
      </c>
      <c r="AH81" s="21"/>
      <c r="AI81" s="162">
        <v>5.0000000000000002E-5</v>
      </c>
      <c r="AJ81" s="167">
        <f t="shared" si="62"/>
        <v>1.2119932902203349E-3</v>
      </c>
      <c r="AK81" s="168">
        <f t="shared" si="63"/>
        <v>1.0970426051318327E-6</v>
      </c>
      <c r="AL81" s="151">
        <f t="shared" si="88"/>
        <v>80.033446375240118</v>
      </c>
      <c r="AM81" s="177">
        <f t="shared" si="89"/>
        <v>24.239865804406698</v>
      </c>
      <c r="AN81" s="134">
        <f t="shared" si="64"/>
        <v>1.3845302111804287</v>
      </c>
      <c r="AO81" s="119">
        <f t="shared" si="65"/>
        <v>2.2663551401869158E-4</v>
      </c>
      <c r="AP81">
        <f t="shared" si="66"/>
        <v>12</v>
      </c>
      <c r="AQ81" s="124">
        <f t="shared" ref="AQ81" si="106">(AP81-0.5)/MAX(AP$51:AP$117)</f>
        <v>0.19166666666666668</v>
      </c>
      <c r="AR81" s="124"/>
      <c r="AS81" s="124"/>
      <c r="AT81" s="14">
        <f t="shared" si="68"/>
        <v>1</v>
      </c>
      <c r="AZ81" s="83"/>
      <c r="BA81" s="83"/>
      <c r="BB81" s="83"/>
      <c r="BC81" s="83"/>
      <c r="BD81" s="83"/>
      <c r="BE81" s="8">
        <f t="shared" si="69"/>
        <v>1.2119932902203349E-3</v>
      </c>
      <c r="BF81" s="16">
        <f t="shared" si="70"/>
        <v>1</v>
      </c>
      <c r="BG81" s="16"/>
      <c r="BH81" s="189"/>
      <c r="BI81" s="6">
        <f t="shared" si="71"/>
        <v>1.0970426051318327E-6</v>
      </c>
      <c r="BJ81" s="151">
        <f t="shared" si="72"/>
        <v>80.033446375240118</v>
      </c>
      <c r="BK81" s="177">
        <f t="shared" si="73"/>
        <v>24.239865804406698</v>
      </c>
      <c r="BL81" s="134">
        <f t="shared" si="74"/>
        <v>1.3845302111804287</v>
      </c>
      <c r="BM81" s="119">
        <f t="shared" si="75"/>
        <v>2.2663551401869158E-4</v>
      </c>
      <c r="BN81">
        <f t="shared" si="76"/>
        <v>16</v>
      </c>
      <c r="BO81" s="124">
        <f t="shared" si="77"/>
        <v>0.25833333333333336</v>
      </c>
      <c r="BP81" s="124"/>
      <c r="BQ81" s="124"/>
      <c r="BR81" s="14">
        <f t="shared" si="78"/>
        <v>1</v>
      </c>
      <c r="BX81" s="83"/>
      <c r="BY81" s="83"/>
      <c r="BZ81" s="83"/>
      <c r="CA81" s="83"/>
      <c r="CB81" s="83"/>
      <c r="CC81" s="151"/>
      <c r="CD81" s="177">
        <f t="shared" si="79"/>
        <v>1940</v>
      </c>
      <c r="CE81" s="134">
        <f t="shared" si="80"/>
        <v>3.287801729930226</v>
      </c>
      <c r="CF81" s="119">
        <f t="shared" si="81"/>
        <v>2.2663551401869158E-4</v>
      </c>
      <c r="CG81">
        <f t="shared" si="82"/>
        <v>17</v>
      </c>
      <c r="CH81" s="124">
        <f t="shared" si="83"/>
        <v>0.27500000000000002</v>
      </c>
      <c r="CI81" s="124"/>
      <c r="CJ81" s="124"/>
      <c r="CK81" s="14">
        <f t="shared" si="84"/>
        <v>3</v>
      </c>
      <c r="CL81" s="16"/>
      <c r="DN81" s="191">
        <f t="shared" si="85"/>
        <v>2.0458762886597937E-8</v>
      </c>
      <c r="DO81" s="97"/>
      <c r="DP81" s="124"/>
      <c r="DQ81" s="124"/>
      <c r="EA81" s="17">
        <f t="shared" si="86"/>
        <v>19.399999999999999</v>
      </c>
      <c r="EB81" s="16">
        <f t="shared" si="87"/>
        <v>0.5</v>
      </c>
      <c r="EC81" s="16"/>
    </row>
    <row r="82" spans="1:133" x14ac:dyDescent="0.2">
      <c r="A82" s="8">
        <v>25</v>
      </c>
      <c r="B82" t="s">
        <v>143</v>
      </c>
      <c r="C82">
        <v>2</v>
      </c>
      <c r="D82" t="s">
        <v>2</v>
      </c>
      <c r="E82" t="s">
        <v>1</v>
      </c>
      <c r="F82" s="6">
        <v>59</v>
      </c>
      <c r="G82" s="26" t="s">
        <v>29</v>
      </c>
      <c r="H82" s="1">
        <v>10</v>
      </c>
      <c r="I82" s="11">
        <v>-200</v>
      </c>
      <c r="J82" s="13" t="s">
        <v>24</v>
      </c>
      <c r="K82" s="6" t="s">
        <v>154</v>
      </c>
      <c r="L82" s="1">
        <v>1E-3</v>
      </c>
      <c r="M82" s="6">
        <v>7.0000000000000007E-2</v>
      </c>
      <c r="N82" s="1">
        <v>106.18777634762812</v>
      </c>
      <c r="O82" s="18">
        <f>VLOOKUP(I82,[1]CompDbase!$B:$K,9,FALSE)</f>
        <v>209.09285927557949</v>
      </c>
      <c r="P82" s="30">
        <v>3.1566666666666667</v>
      </c>
      <c r="Q82" s="1"/>
      <c r="R82" s="1">
        <f t="shared" si="47"/>
        <v>-11.881285788437362</v>
      </c>
      <c r="S82" s="1">
        <f t="shared" si="48"/>
        <v>46.406888703625768</v>
      </c>
      <c r="T82" s="1">
        <f t="shared" si="49"/>
        <v>-0.43116679064188185</v>
      </c>
      <c r="U82" s="1">
        <f t="shared" si="50"/>
        <v>-0.38214636997058549</v>
      </c>
      <c r="V82" s="197">
        <f t="shared" si="51"/>
        <v>0</v>
      </c>
      <c r="W82" s="197">
        <f t="shared" si="52"/>
        <v>-12.69459894904983</v>
      </c>
      <c r="X82" s="118">
        <f t="shared" si="53"/>
        <v>1.745479664278126E-8</v>
      </c>
      <c r="Y82" s="1">
        <f t="shared" si="54"/>
        <v>2.7730806250962483</v>
      </c>
      <c r="Z82" s="1">
        <f t="shared" si="55"/>
        <v>1.1934655484068486</v>
      </c>
      <c r="AA82" s="1">
        <f t="shared" si="56"/>
        <v>-1.1088498380802461E-2</v>
      </c>
      <c r="AB82" s="1">
        <f t="shared" si="57"/>
        <v>-0.10265335515028021</v>
      </c>
      <c r="AC82" s="197">
        <f t="shared" si="58"/>
        <v>0</v>
      </c>
      <c r="AD82" s="197">
        <f t="shared" si="59"/>
        <v>2.6593387715651655</v>
      </c>
      <c r="AE82" s="96">
        <f t="shared" si="60"/>
        <v>456.39278649030405</v>
      </c>
      <c r="AF82" s="98">
        <f t="shared" si="61"/>
        <v>7.9662432774205436E-6</v>
      </c>
      <c r="AG82" s="291">
        <v>2.6379999999999999</v>
      </c>
      <c r="AH82" s="21"/>
      <c r="AI82" s="162">
        <v>5.0000000000000002E-5</v>
      </c>
      <c r="AJ82" s="167">
        <f t="shared" si="62"/>
        <v>0.52947719238688318</v>
      </c>
      <c r="AK82" s="168">
        <f t="shared" si="63"/>
        <v>4.792592856585843E-4</v>
      </c>
      <c r="AL82" s="151">
        <f t="shared" si="88"/>
        <v>4.9822731515740948</v>
      </c>
      <c r="AM82" s="177">
        <f t="shared" si="89"/>
        <v>10589.543847737663</v>
      </c>
      <c r="AN82" s="134">
        <f t="shared" si="64"/>
        <v>4.0248772529613923</v>
      </c>
      <c r="AO82" s="119">
        <f t="shared" si="65"/>
        <v>1.2616404066306146E-2</v>
      </c>
      <c r="AP82">
        <f t="shared" si="66"/>
        <v>52</v>
      </c>
      <c r="AQ82" s="124">
        <f t="shared" ref="AQ82" si="107">(AP82-0.5)/MAX(AP$51:AP$117)</f>
        <v>0.85833333333333328</v>
      </c>
      <c r="AR82" s="124"/>
      <c r="AS82" s="124"/>
      <c r="AT82" s="14">
        <f t="shared" si="68"/>
        <v>1</v>
      </c>
      <c r="AZ82" s="83"/>
      <c r="BA82" s="83"/>
      <c r="BB82" s="83"/>
      <c r="BC82" s="83"/>
      <c r="BD82" s="83"/>
      <c r="BE82" s="8">
        <f t="shared" si="69"/>
        <v>7.4755734056088818E-2</v>
      </c>
      <c r="BF82" s="16">
        <f t="shared" si="70"/>
        <v>7.0827636043225697</v>
      </c>
      <c r="BG82" s="16"/>
      <c r="BH82" s="189"/>
      <c r="BI82" s="6">
        <f t="shared" si="71"/>
        <v>6.7665576945995356E-5</v>
      </c>
      <c r="BJ82" s="151">
        <f t="shared" si="72"/>
        <v>35.288262944762508</v>
      </c>
      <c r="BK82" s="177">
        <f t="shared" si="73"/>
        <v>1495.1146811217764</v>
      </c>
      <c r="BL82" s="134">
        <f t="shared" si="74"/>
        <v>3.1746745060170931</v>
      </c>
      <c r="BM82" s="119">
        <f t="shared" si="75"/>
        <v>1.2616404066306146E-2</v>
      </c>
      <c r="BN82">
        <f t="shared" si="76"/>
        <v>51</v>
      </c>
      <c r="BO82" s="124">
        <f t="shared" si="77"/>
        <v>0.84166666666666667</v>
      </c>
      <c r="BP82" s="124"/>
      <c r="BQ82" s="124"/>
      <c r="BR82" s="14">
        <f t="shared" si="78"/>
        <v>1</v>
      </c>
      <c r="BX82" s="83"/>
      <c r="BY82" s="83"/>
      <c r="BZ82" s="83"/>
      <c r="CA82" s="83"/>
      <c r="CB82" s="83"/>
      <c r="CC82" s="151"/>
      <c r="CD82" s="177">
        <f t="shared" si="79"/>
        <v>52759.999999999993</v>
      </c>
      <c r="CE82" s="134">
        <f t="shared" si="80"/>
        <v>4.7223047868743278</v>
      </c>
      <c r="CF82" s="119">
        <f t="shared" si="81"/>
        <v>1.2616404066306146E-2</v>
      </c>
      <c r="CG82">
        <f t="shared" si="82"/>
        <v>43</v>
      </c>
      <c r="CH82" s="124">
        <f t="shared" si="83"/>
        <v>0.70833333333333337</v>
      </c>
      <c r="CI82" s="124"/>
      <c r="CJ82" s="124"/>
      <c r="CK82" s="14">
        <f t="shared" si="84"/>
        <v>3</v>
      </c>
      <c r="CL82" s="16"/>
      <c r="DN82" s="191">
        <f t="shared" si="85"/>
        <v>5.328182097338189E-9</v>
      </c>
      <c r="DO82" s="97"/>
      <c r="DP82" s="124"/>
      <c r="DQ82" s="124"/>
      <c r="EA82" s="17">
        <f t="shared" si="86"/>
        <v>37.685714285714283</v>
      </c>
      <c r="EB82" s="16">
        <f t="shared" si="87"/>
        <v>0.05</v>
      </c>
      <c r="EC82" s="16"/>
    </row>
    <row r="83" spans="1:133" x14ac:dyDescent="0.2">
      <c r="A83" s="8">
        <v>90</v>
      </c>
      <c r="B83" t="s">
        <v>143</v>
      </c>
      <c r="C83">
        <v>8</v>
      </c>
      <c r="D83" s="16" t="s">
        <v>28</v>
      </c>
      <c r="E83" t="s">
        <v>27</v>
      </c>
      <c r="F83" s="14" t="s">
        <v>26</v>
      </c>
      <c r="G83" s="26" t="s">
        <v>25</v>
      </c>
      <c r="H83" s="16">
        <v>14</v>
      </c>
      <c r="I83" s="11">
        <v>-200</v>
      </c>
      <c r="J83" t="s">
        <v>24</v>
      </c>
      <c r="K83" s="6" t="s">
        <v>154</v>
      </c>
      <c r="L83" s="1">
        <v>1E-3</v>
      </c>
      <c r="M83" s="6">
        <v>7.0000000000000007E-2</v>
      </c>
      <c r="N83" s="1">
        <v>106.18777634762812</v>
      </c>
      <c r="O83" s="18">
        <f>VLOOKUP(I83,[1]CompDbase!$B:$K,9,FALSE)</f>
        <v>209.09285927557949</v>
      </c>
      <c r="P83" s="30">
        <v>3.1566666666666667</v>
      </c>
      <c r="Q83" s="1"/>
      <c r="R83" s="1">
        <f t="shared" si="47"/>
        <v>-11.881285788437362</v>
      </c>
      <c r="S83" s="1">
        <f t="shared" si="48"/>
        <v>46.406888703625768</v>
      </c>
      <c r="T83" s="1">
        <f t="shared" si="49"/>
        <v>-0.31178216475451304</v>
      </c>
      <c r="U83" s="1">
        <f t="shared" si="50"/>
        <v>-0.3910819867542768</v>
      </c>
      <c r="V83" s="197">
        <f t="shared" si="51"/>
        <v>0</v>
      </c>
      <c r="W83" s="197">
        <f t="shared" si="52"/>
        <v>-12.584149939946151</v>
      </c>
      <c r="X83" s="118">
        <f t="shared" si="53"/>
        <v>2.2509393973633813E-8</v>
      </c>
      <c r="Y83" s="1">
        <f t="shared" si="54"/>
        <v>2.7730806250962483</v>
      </c>
      <c r="Z83" s="1">
        <f>D$25*LOG(O83)+D$26</f>
        <v>1.1934655484068486</v>
      </c>
      <c r="AA83" s="1">
        <f t="shared" si="56"/>
        <v>-8.0182335561993206E-3</v>
      </c>
      <c r="AB83" s="1">
        <f t="shared" si="57"/>
        <v>-0.10383817670197017</v>
      </c>
      <c r="AC83" s="197">
        <f t="shared" si="58"/>
        <v>0</v>
      </c>
      <c r="AD83" s="197">
        <f t="shared" si="59"/>
        <v>2.6612242148380791</v>
      </c>
      <c r="AE83" s="96">
        <f t="shared" si="60"/>
        <v>458.37847440832672</v>
      </c>
      <c r="AF83" s="98">
        <f t="shared" si="61"/>
        <v>1.0317821669490251E-5</v>
      </c>
      <c r="AG83" s="291">
        <v>0.25510499999999997</v>
      </c>
      <c r="AH83" s="21"/>
      <c r="AI83" s="162">
        <v>5.0000000000000002E-5</v>
      </c>
      <c r="AJ83" s="167">
        <f t="shared" si="62"/>
        <v>6.6317155379070528E-2</v>
      </c>
      <c r="AK83" s="168">
        <f t="shared" si="63"/>
        <v>6.0027349564585421E-5</v>
      </c>
      <c r="AL83" s="151">
        <f t="shared" si="88"/>
        <v>3.8467421972763063</v>
      </c>
      <c r="AM83" s="177">
        <f t="shared" si="89"/>
        <v>1326.3431075814105</v>
      </c>
      <c r="AN83" s="134">
        <f t="shared" si="64"/>
        <v>3.1226558848939514</v>
      </c>
      <c r="AO83" s="119">
        <f t="shared" si="65"/>
        <v>1.2200560118783279E-3</v>
      </c>
      <c r="AP83">
        <f t="shared" si="66"/>
        <v>35</v>
      </c>
      <c r="AQ83" s="124">
        <f t="shared" ref="AQ83" si="108">(AP83-0.5)/MAX(AP$51:AP$117)</f>
        <v>0.57499999999999996</v>
      </c>
      <c r="AR83" s="124"/>
      <c r="AS83" s="124"/>
      <c r="AT83" s="14">
        <f t="shared" si="68"/>
        <v>1</v>
      </c>
      <c r="AZ83" s="83"/>
      <c r="BA83" s="83"/>
      <c r="BB83" s="83"/>
      <c r="BC83" s="83"/>
      <c r="BD83" s="83"/>
      <c r="BE83" s="8">
        <f t="shared" si="69"/>
        <v>8.4993152605666172E-3</v>
      </c>
      <c r="BF83" s="16">
        <f t="shared" si="70"/>
        <v>7.8026468422409652</v>
      </c>
      <c r="BG83" s="16"/>
      <c r="BH83" s="189"/>
      <c r="BI83" s="6">
        <f t="shared" si="71"/>
        <v>7.6932034447102114E-6</v>
      </c>
      <c r="BJ83" s="151">
        <f t="shared" si="72"/>
        <v>30.014770858493026</v>
      </c>
      <c r="BK83" s="177">
        <f t="shared" si="73"/>
        <v>169.98630521133234</v>
      </c>
      <c r="BL83" s="134">
        <f t="shared" si="74"/>
        <v>2.2304139342563736</v>
      </c>
      <c r="BM83" s="119">
        <f t="shared" si="75"/>
        <v>1.2200560118783279E-3</v>
      </c>
      <c r="BN83">
        <f t="shared" si="76"/>
        <v>29</v>
      </c>
      <c r="BO83" s="124">
        <f t="shared" si="77"/>
        <v>0.47499999999999998</v>
      </c>
      <c r="BP83" s="124"/>
      <c r="BQ83" s="124"/>
      <c r="BR83" s="14">
        <f t="shared" si="78"/>
        <v>1</v>
      </c>
      <c r="BX83" s="83"/>
      <c r="BY83" s="83"/>
      <c r="BZ83" s="83"/>
      <c r="CA83" s="83"/>
      <c r="CB83" s="83"/>
      <c r="CC83" s="151"/>
      <c r="CD83" s="177">
        <f t="shared" si="79"/>
        <v>5102.0999999999995</v>
      </c>
      <c r="CE83" s="134">
        <f t="shared" si="80"/>
        <v>3.7077489664302949</v>
      </c>
      <c r="CF83" s="119">
        <f t="shared" si="81"/>
        <v>1.2200560118783279E-3</v>
      </c>
      <c r="CG83">
        <f t="shared" si="82"/>
        <v>26</v>
      </c>
      <c r="CH83" s="124">
        <f t="shared" si="83"/>
        <v>0.42499999999999999</v>
      </c>
      <c r="CI83" s="124"/>
      <c r="CJ83" s="124"/>
      <c r="CK83" s="14">
        <f t="shared" si="84"/>
        <v>3</v>
      </c>
      <c r="CL83" s="16"/>
      <c r="DN83" s="191">
        <f t="shared" si="85"/>
        <v>6.0697958324718046E-8</v>
      </c>
      <c r="DO83" s="97"/>
      <c r="DP83" s="124"/>
      <c r="DQ83" s="124"/>
      <c r="EA83" s="17">
        <f t="shared" si="86"/>
        <v>3.644357142857142</v>
      </c>
      <c r="EB83" s="16">
        <f t="shared" si="87"/>
        <v>0.05</v>
      </c>
      <c r="EC83" s="16"/>
    </row>
    <row r="84" spans="1:133" x14ac:dyDescent="0.2">
      <c r="A84" s="8"/>
      <c r="F84" s="9"/>
      <c r="I84" s="8"/>
      <c r="K84" s="14"/>
      <c r="M84" s="9"/>
      <c r="N84" s="16"/>
      <c r="O84" s="16"/>
      <c r="X84" s="19"/>
      <c r="AF84" s="13"/>
      <c r="AG84" s="292"/>
      <c r="AH84" s="8"/>
      <c r="AJ84" s="167"/>
      <c r="AK84" s="168"/>
      <c r="AL84" s="8"/>
      <c r="AM84" s="92"/>
      <c r="AN84" s="97"/>
      <c r="AO84" s="97"/>
      <c r="AP84"/>
      <c r="AQ84"/>
      <c r="AR84"/>
      <c r="AT84" s="6"/>
      <c r="BE84" s="167"/>
      <c r="BF84" s="3"/>
      <c r="BG84" s="3"/>
      <c r="BH84" s="3"/>
      <c r="BI84" s="168"/>
      <c r="BJ84" s="8"/>
      <c r="BK84" s="92"/>
      <c r="BL84" s="97"/>
      <c r="BM84" s="97"/>
      <c r="BN84"/>
      <c r="BO84"/>
      <c r="BP84"/>
      <c r="BR84" s="6"/>
      <c r="CC84" s="8"/>
      <c r="CD84" s="92"/>
      <c r="CE84" s="97"/>
      <c r="CF84" s="97"/>
      <c r="CG84"/>
      <c r="CH84"/>
      <c r="CI84"/>
      <c r="CK84" s="6"/>
      <c r="CL84" s="1"/>
      <c r="EA84" s="11"/>
    </row>
    <row r="85" spans="1:133" x14ac:dyDescent="0.2">
      <c r="A85" s="12" t="s">
        <v>45</v>
      </c>
      <c r="F85" s="9"/>
      <c r="I85" s="8"/>
      <c r="K85" s="14"/>
      <c r="M85" s="9"/>
      <c r="N85" s="16"/>
      <c r="O85" s="16"/>
      <c r="X85" s="19"/>
      <c r="AF85" s="13"/>
      <c r="AG85" s="292"/>
      <c r="AH85" s="8"/>
      <c r="AJ85" s="167"/>
      <c r="AK85" s="168"/>
      <c r="AL85" s="8"/>
      <c r="AM85" s="92"/>
      <c r="AN85" s="97"/>
      <c r="AO85" s="97"/>
      <c r="AP85"/>
      <c r="AQ85"/>
      <c r="AR85"/>
      <c r="AT85" s="6"/>
      <c r="BE85" s="167"/>
      <c r="BF85" s="188"/>
      <c r="BG85" s="189"/>
      <c r="BH85" s="189"/>
      <c r="BI85" s="168"/>
      <c r="BJ85" s="8"/>
      <c r="BK85" s="92"/>
      <c r="BL85" s="97"/>
      <c r="BM85" s="97"/>
      <c r="BN85"/>
      <c r="BO85"/>
      <c r="BP85"/>
      <c r="BR85" s="6"/>
      <c r="CC85" s="8"/>
      <c r="CD85" s="92"/>
      <c r="CE85" s="97"/>
      <c r="CF85" s="97"/>
      <c r="CG85"/>
      <c r="CH85"/>
      <c r="CI85"/>
      <c r="CK85" s="6"/>
      <c r="CL85" s="1"/>
      <c r="EA85" s="11"/>
    </row>
    <row r="86" spans="1:133" x14ac:dyDescent="0.2">
      <c r="A86" s="8"/>
      <c r="B86" t="s">
        <v>149</v>
      </c>
      <c r="C86">
        <v>1</v>
      </c>
      <c r="D86" t="s">
        <v>138</v>
      </c>
      <c r="F86" s="9"/>
      <c r="G86" t="s">
        <v>111</v>
      </c>
      <c r="H86" s="1">
        <v>12</v>
      </c>
      <c r="I86" s="8">
        <v>403</v>
      </c>
      <c r="J86" t="s">
        <v>14</v>
      </c>
      <c r="K86" s="9"/>
      <c r="L86" s="1">
        <v>0.01</v>
      </c>
      <c r="M86" s="6">
        <v>0.04</v>
      </c>
      <c r="N86" s="1">
        <v>165.80749949115744</v>
      </c>
      <c r="O86" s="18">
        <f>VLOOKUP(I86,[1]CompDbase!$B:$K,9,FALSE)</f>
        <v>118.88250367033854</v>
      </c>
      <c r="P86" s="30">
        <v>3.4</v>
      </c>
      <c r="Q86" s="197"/>
      <c r="R86" s="1">
        <f t="shared" ref="R86:R88" si="109">D$7*N86+D$8</f>
        <v>-12.551068901296079</v>
      </c>
      <c r="S86" s="1">
        <f t="shared" ref="S86:S88" si="110">D$12*LOG(N86)+D$13</f>
        <v>58.377969414674283</v>
      </c>
      <c r="T86" s="1">
        <f t="shared" ref="T86:T88" si="111">S86/(D$10*LN(10))*(1/(D$11+273)-1/(H86+273))</f>
        <v>-0.46677276057511463</v>
      </c>
      <c r="U86" s="1">
        <f>D$15*(AG86/O86-D$16)</f>
        <v>-0.2139629081987052</v>
      </c>
      <c r="V86" s="197">
        <f t="shared" ref="V86:V88" si="112">D$18</f>
        <v>0</v>
      </c>
      <c r="W86" s="197">
        <f t="shared" ref="W86:W88" si="113">R86+T86+U86+V86</f>
        <v>-13.231804570069899</v>
      </c>
      <c r="X86" s="118">
        <f t="shared" ref="X86:X88" si="114">24*60*60*10^W86</f>
        <v>5.0665131292381284E-9</v>
      </c>
      <c r="Y86" s="1">
        <f t="shared" ref="Y86:Y88" si="115">D$20*P86+D$21</f>
        <v>3.0399600800535533</v>
      </c>
      <c r="Z86" s="1">
        <f t="shared" ref="Z86:Z88" si="116">D$25*LOG(O86)+D$26</f>
        <v>-0.74910321004742997</v>
      </c>
      <c r="AA86" s="1">
        <f t="shared" ref="AA86:AA88" si="117">Z86/(D$10*LN(10))*(1/(D$24+273)-1/(H86+273))</f>
        <v>5.9896049282869663E-3</v>
      </c>
      <c r="AB86" s="1">
        <f>D$28*(AG86/O86-D$29)</f>
        <v>-8.0353004209890735E-2</v>
      </c>
      <c r="AC86" s="197">
        <f t="shared" ref="AC86:AC88" si="118">D$30</f>
        <v>0</v>
      </c>
      <c r="AD86" s="197">
        <f t="shared" ref="AD86:AD88" si="119">Y86+AA86+AB86+AC86</f>
        <v>2.9655966807719496</v>
      </c>
      <c r="AE86" s="96">
        <f t="shared" ref="AE86:AE88" si="120">10^AD86</f>
        <v>923.83982678328971</v>
      </c>
      <c r="AF86" s="98">
        <f t="shared" ref="AF86:AF88" si="121">AE86*X86</f>
        <v>4.6806466117106152E-6</v>
      </c>
      <c r="AG86" s="291">
        <v>27</v>
      </c>
      <c r="AH86" s="95">
        <v>4.7E-2</v>
      </c>
      <c r="AI86" s="162">
        <v>2.0000000000000002E-5</v>
      </c>
      <c r="AJ86" s="167">
        <f>$E$38*AK86/$E$40</f>
        <v>3.1841133412997378</v>
      </c>
      <c r="AK86" s="168">
        <f>AF86*AG86*E$41/E$32</f>
        <v>2.8821182618424049E-3</v>
      </c>
      <c r="AL86" s="151">
        <f t="shared" ref="AL86:AL88" si="122">$AG86/AJ86</f>
        <v>8.4795976480468962</v>
      </c>
      <c r="AM86" s="175">
        <f t="shared" ref="AM86:AM88" si="123">AJ86/$AH86</f>
        <v>67.747092368079521</v>
      </c>
      <c r="AN86" s="134">
        <f t="shared" ref="AN86:AN88" si="124">LOG(AM86)</f>
        <v>1.8308906604970498</v>
      </c>
      <c r="AO86" s="119">
        <f>$AG86/$O86</f>
        <v>0.22711500150494024</v>
      </c>
      <c r="AP86">
        <f>_xlfn.RANK.AVG(AM86,AM$51:AM$117,1)</f>
        <v>15</v>
      </c>
      <c r="AQ86" s="124">
        <f t="shared" ref="AQ86" si="125">(AP86-0.5)/MAX(AP$51:AP$117)</f>
        <v>0.24166666666666667</v>
      </c>
      <c r="AR86">
        <f>_xlfn.RANK.AVG(AM86,(AM$51:AM$60,AM$86:AM$88),1)</f>
        <v>8</v>
      </c>
      <c r="AS86" s="124">
        <f t="shared" ref="AS86:AS88" si="126">(AR86-0.5)/MAX(AR$51:AR$117)</f>
        <v>0.57692307692307687</v>
      </c>
      <c r="AT86" s="14">
        <f>IF(AND(AJ86&gt;$AI86,$AH86&gt;$AI86),0,IF(AND(AJ86&gt;$AI86,$AH86&lt;$AI86),1,IF(AND(AJ86&lt;$AI86,$AH86&gt;$AI86),2,3)))</f>
        <v>0</v>
      </c>
      <c r="AZ86" s="83"/>
      <c r="BA86" s="83"/>
      <c r="BB86" s="83"/>
      <c r="BC86" s="83"/>
      <c r="BD86" s="83"/>
      <c r="BE86" s="8">
        <f t="shared" ref="BE86:BE88" si="127">BI86*$E$38/$E$40</f>
        <v>0.4217620279445003</v>
      </c>
      <c r="BF86" s="16">
        <f t="shared" ref="BF86:BF88" si="128">10^(MAX(0,((W86+12.5)/2+AD86)*0.73611+-1.03574))</f>
        <v>7.5495495808805622</v>
      </c>
      <c r="BG86" s="16"/>
      <c r="BH86" s="189"/>
      <c r="BI86" s="6">
        <f>(1/BF86)*AF86*AG86*E$41/E$32</f>
        <v>3.817602932420561E-4</v>
      </c>
      <c r="BJ86" s="151">
        <f>$AG86/BE86</f>
        <v>64.017142869848243</v>
      </c>
      <c r="BK86" s="175">
        <f>BE86/$AH86</f>
        <v>8.9736601690319215</v>
      </c>
      <c r="BL86" s="134">
        <f t="shared" ref="BL86:BL88" si="129">LOG(BK86)</f>
        <v>0.95296961885108677</v>
      </c>
      <c r="BM86" s="119">
        <f>$AG86/$O86</f>
        <v>0.22711500150494024</v>
      </c>
      <c r="BN86">
        <f>_xlfn.RANK.AVG(BK86,BK$51:BK$117,1)</f>
        <v>14</v>
      </c>
      <c r="BO86" s="124">
        <f t="shared" ref="BO86:BO88" si="130">(BN86-0.5)/MAX(BN$51:BN$117)</f>
        <v>0.22500000000000001</v>
      </c>
      <c r="BP86">
        <f>_xlfn.RANK.AVG(BK86,(BK$51:BK$60,BK$86:BK$88),1)</f>
        <v>8</v>
      </c>
      <c r="BQ86" s="124">
        <f t="shared" ref="BQ86:BQ88" si="131">(BP86-0.5)/MAX(BP$51:BP$117)</f>
        <v>0.57692307692307687</v>
      </c>
      <c r="BR86" s="14">
        <f>IF(AND(BE86&gt;$AI86,$AH86&gt;$AI86),0,IF(AND(BE86&gt;$AI86,$AH86&lt;$AI86),1,IF(AND(BE86&lt;$AI86,$AH86&gt;$AI86),2,3)))</f>
        <v>0</v>
      </c>
      <c r="BX86" s="83"/>
      <c r="BY86" s="83"/>
      <c r="BZ86" s="83"/>
      <c r="CA86" s="83"/>
      <c r="CB86" s="83"/>
      <c r="CC86" s="151"/>
      <c r="CD86" s="175">
        <f>AG86/AH86</f>
        <v>574.468085106383</v>
      </c>
      <c r="CE86" s="134">
        <f>LOG(CD86)</f>
        <v>2.7592659062232698</v>
      </c>
      <c r="CF86" s="119">
        <f>$AG86/$O86</f>
        <v>0.22711500150494024</v>
      </c>
      <c r="CG86">
        <f>_xlfn.RANK.AVG(CD86,CD$51:CD$117,1)</f>
        <v>14</v>
      </c>
      <c r="CH86" s="124">
        <f t="shared" ref="CH86:CJ88" si="132">(CG86-0.5)/MAX(CG$51:CG$117)</f>
        <v>0.22500000000000001</v>
      </c>
      <c r="CI86">
        <f>_xlfn.RANK.AVG(CD86,(CD$51:CD$60,CD$86:CD$88),1)</f>
        <v>9</v>
      </c>
      <c r="CJ86" s="124">
        <f t="shared" si="132"/>
        <v>0.65384615384615385</v>
      </c>
      <c r="CK86" s="14">
        <f>IF(AND(BC86&gt;$AI86,$AH86&gt;$AI86),0,IF(AND(BC86&gt;$AI86,$AH86&lt;$AI86),1,IF(AND(BC86&lt;$AI86,$AH86&gt;$AI86),2,3)))</f>
        <v>2</v>
      </c>
      <c r="CL86" s="16"/>
      <c r="DN86" s="191">
        <f t="shared" ref="DN86:DN88" si="133">AF86/BK86</f>
        <v>5.2159838054303808E-7</v>
      </c>
      <c r="DO86" s="97">
        <f t="shared" ref="DO86:DO88" si="134">LOG(DN86/24/60/60)</f>
        <v>-11.219177508149036</v>
      </c>
      <c r="DP86">
        <f>_xlfn.RANK.AVG(DO86,(DO$51:DO$60,DO$86:DO$88),1)</f>
        <v>8</v>
      </c>
      <c r="DQ86" s="124">
        <f>DP86/MAX(DP$51:DP$117)</f>
        <v>0.61538461538461542</v>
      </c>
      <c r="EA86" s="17">
        <f>AG86/M86</f>
        <v>675</v>
      </c>
      <c r="EB86" s="16">
        <f>AH86/L86</f>
        <v>4.7</v>
      </c>
      <c r="EC86" s="16"/>
    </row>
    <row r="87" spans="1:133" x14ac:dyDescent="0.2">
      <c r="A87" s="8"/>
      <c r="B87" t="s">
        <v>149</v>
      </c>
      <c r="C87" t="s">
        <v>136</v>
      </c>
      <c r="D87" t="s">
        <v>137</v>
      </c>
      <c r="F87" s="9"/>
      <c r="G87" t="s">
        <v>136</v>
      </c>
      <c r="H87" s="1">
        <v>18</v>
      </c>
      <c r="I87" s="8">
        <v>200</v>
      </c>
      <c r="J87" t="s">
        <v>41</v>
      </c>
      <c r="K87" s="9"/>
      <c r="L87" s="1">
        <v>1E-3</v>
      </c>
      <c r="M87" s="6">
        <v>0.03</v>
      </c>
      <c r="N87" s="1">
        <v>78.106666524406961</v>
      </c>
      <c r="O87" s="18">
        <f>VLOOKUP(I87,[1]CompDbase!$B:$K,9,FALSE)</f>
        <v>1988.89882593368</v>
      </c>
      <c r="P87" s="30">
        <v>2.13</v>
      </c>
      <c r="Q87" s="197"/>
      <c r="R87" s="1">
        <f t="shared" si="109"/>
        <v>-11.565815468244072</v>
      </c>
      <c r="S87" s="1">
        <f t="shared" si="110"/>
        <v>38.156061539688011</v>
      </c>
      <c r="T87" s="1">
        <f t="shared" si="111"/>
        <v>-0.1608890986528749</v>
      </c>
      <c r="U87" s="1">
        <f>D$15*(AG87/O87-D$16)</f>
        <v>-0.39203308569266138</v>
      </c>
      <c r="V87" s="197">
        <f t="shared" si="112"/>
        <v>0</v>
      </c>
      <c r="W87" s="197">
        <f t="shared" si="113"/>
        <v>-12.118737652589608</v>
      </c>
      <c r="X87" s="118">
        <f t="shared" si="114"/>
        <v>6.5731885472674205E-8</v>
      </c>
      <c r="Y87" s="1">
        <f t="shared" si="115"/>
        <v>1.6470686781530968</v>
      </c>
      <c r="Z87" s="1">
        <f t="shared" si="116"/>
        <v>8.9430527115373621</v>
      </c>
      <c r="AA87" s="1">
        <f t="shared" si="117"/>
        <v>-3.770933455665456E-2</v>
      </c>
      <c r="AB87" s="1">
        <f>D$28*(AG87/O87-D$29)</f>
        <v>-0.10396428803230881</v>
      </c>
      <c r="AC87" s="197">
        <f t="shared" si="118"/>
        <v>0</v>
      </c>
      <c r="AD87" s="197">
        <f t="shared" si="119"/>
        <v>1.5053950555641333</v>
      </c>
      <c r="AE87" s="96">
        <f t="shared" si="120"/>
        <v>32.018063054806895</v>
      </c>
      <c r="AF87" s="98">
        <f t="shared" si="121"/>
        <v>2.104607653775428E-6</v>
      </c>
      <c r="AG87" s="293">
        <v>1.4E-2</v>
      </c>
      <c r="AH87" s="95">
        <v>4.0000000000000002E-4</v>
      </c>
      <c r="AI87" s="162">
        <v>2.0000000000000002E-5</v>
      </c>
      <c r="AJ87" s="167">
        <f>$E$38*AK87/$E$40</f>
        <v>7.4236601544106808E-4</v>
      </c>
      <c r="AK87" s="168">
        <f>AF87*AG87*E$41/E$32</f>
        <v>6.7195681206514945E-7</v>
      </c>
      <c r="AL87" s="151">
        <f t="shared" si="122"/>
        <v>18.858621904562892</v>
      </c>
      <c r="AM87" s="175">
        <f t="shared" si="123"/>
        <v>1.8559150386026702</v>
      </c>
      <c r="AN87" s="134">
        <f t="shared" si="124"/>
        <v>0.26855809089652871</v>
      </c>
      <c r="AO87" s="119">
        <f>$AG87/$O87</f>
        <v>7.0390709760853528E-6</v>
      </c>
      <c r="AP87">
        <f>_xlfn.RANK.AVG(AM87,AM$51:AM$117,1)</f>
        <v>3</v>
      </c>
      <c r="AQ87" s="124">
        <f t="shared" ref="AQ87" si="135">(AP87-0.5)/MAX(AP$51:AP$117)</f>
        <v>4.1666666666666664E-2</v>
      </c>
      <c r="AR87">
        <f>_xlfn.RANK.AVG(AM87,(AM$51:AM$60,AM$86:AM$88),1)</f>
        <v>1</v>
      </c>
      <c r="AS87" s="124">
        <f t="shared" si="126"/>
        <v>3.8461538461538464E-2</v>
      </c>
      <c r="AT87" s="14">
        <f>IF(AND(AJ87&gt;$AI87,$AH87&gt;$AI87),0,IF(AND(AJ87&gt;$AI87,$AH87&lt;$AI87),1,IF(AND(AJ87&lt;$AI87,$AH87&gt;$AI87),2,3)))</f>
        <v>0</v>
      </c>
      <c r="AZ87" s="83"/>
      <c r="BA87" s="83"/>
      <c r="BB87" s="83"/>
      <c r="BC87" s="83"/>
      <c r="BD87" s="83"/>
      <c r="BE87" s="8">
        <f t="shared" si="127"/>
        <v>4.5487934249589405E-4</v>
      </c>
      <c r="BF87" s="16">
        <f t="shared" si="128"/>
        <v>1.6320064379440775</v>
      </c>
      <c r="BG87" s="16"/>
      <c r="BH87" s="189"/>
      <c r="BI87" s="6">
        <f>(1/BF87)*AF87*AG87*E$41/E$32</f>
        <v>4.1173661846067715E-7</v>
      </c>
      <c r="BJ87" s="151">
        <f>$AG87/BE87</f>
        <v>30.77739235899984</v>
      </c>
      <c r="BK87" s="175">
        <f>BE87/$AH87</f>
        <v>1.137198356239735</v>
      </c>
      <c r="BL87" s="134">
        <f t="shared" si="129"/>
        <v>5.5836223269082857E-2</v>
      </c>
      <c r="BM87" s="119">
        <f>$AG87/$O87</f>
        <v>7.0390709760853528E-6</v>
      </c>
      <c r="BN87">
        <f>_xlfn.RANK.AVG(BK87,BK$51:BK$117,1)</f>
        <v>4</v>
      </c>
      <c r="BO87" s="124">
        <f t="shared" si="130"/>
        <v>5.8333333333333334E-2</v>
      </c>
      <c r="BP87">
        <f>_xlfn.RANK.AVG(BK87,(BK$51:BK$60,BK$86:BK$88),1)</f>
        <v>1</v>
      </c>
      <c r="BQ87" s="124">
        <f t="shared" si="131"/>
        <v>3.8461538461538464E-2</v>
      </c>
      <c r="BR87" s="14">
        <f>IF(AND(BE87&gt;$AI87,$AH87&gt;$AI87),0,IF(AND(BE87&gt;$AI87,$AH87&lt;$AI87),1,IF(AND(BE87&lt;$AI87,$AH87&gt;$AI87),2,3)))</f>
        <v>0</v>
      </c>
      <c r="BX87" s="83"/>
      <c r="BY87" s="83"/>
      <c r="BZ87" s="83"/>
      <c r="CA87" s="83"/>
      <c r="CB87" s="83"/>
      <c r="CC87" s="151"/>
      <c r="CD87" s="175">
        <f>AG87/AH87</f>
        <v>35</v>
      </c>
      <c r="CE87" s="134">
        <f>LOG(CD87)</f>
        <v>1.5440680443502757</v>
      </c>
      <c r="CF87" s="119">
        <f>$AG87/$O87</f>
        <v>7.0390709760853528E-6</v>
      </c>
      <c r="CG87">
        <f>_xlfn.RANK.AVG(CD87,CD$51:CD$117,1)</f>
        <v>2.5</v>
      </c>
      <c r="CH87" s="124">
        <f t="shared" si="132"/>
        <v>3.3333333333333333E-2</v>
      </c>
      <c r="CI87">
        <f>_xlfn.RANK.AVG(CD87,(CD$51:CD$60,CD$86:CD$88),1)</f>
        <v>1</v>
      </c>
      <c r="CJ87" s="124">
        <f t="shared" si="132"/>
        <v>3.8461538461538464E-2</v>
      </c>
      <c r="CK87" s="14">
        <f>IF(AND(BC87&gt;$AI87,$AH87&gt;$AI87),0,IF(AND(BC87&gt;$AI87,$AH87&lt;$AI87),1,IF(AND(BC87&lt;$AI87,$AH87&gt;$AI87),2,3)))</f>
        <v>2</v>
      </c>
      <c r="CL87" s="16"/>
      <c r="DN87" s="191">
        <f t="shared" si="133"/>
        <v>1.850695300628584E-6</v>
      </c>
      <c r="DO87" s="97">
        <f t="shared" si="134"/>
        <v>-10.66917882029456</v>
      </c>
      <c r="DP87">
        <f>_xlfn.RANK.AVG(DO87,(DO$51:DO$60,DO$86:DO$88),1)</f>
        <v>12</v>
      </c>
      <c r="DQ87" s="124">
        <f>DP87/MAX(DP$51:DP$117)</f>
        <v>0.92307692307692313</v>
      </c>
      <c r="EA87" s="17">
        <f>AG87/M87</f>
        <v>0.46666666666666667</v>
      </c>
      <c r="EB87" s="16">
        <f>AH87/L87</f>
        <v>0.4</v>
      </c>
      <c r="EC87" s="16"/>
    </row>
    <row r="88" spans="1:133" x14ac:dyDescent="0.2">
      <c r="A88" s="8"/>
      <c r="B88" t="s">
        <v>149</v>
      </c>
      <c r="C88">
        <v>4</v>
      </c>
      <c r="D88" t="s">
        <v>126</v>
      </c>
      <c r="F88" s="9"/>
      <c r="G88" t="s">
        <v>111</v>
      </c>
      <c r="H88" s="1">
        <v>12</v>
      </c>
      <c r="I88" s="8">
        <v>305</v>
      </c>
      <c r="J88" t="s">
        <v>135</v>
      </c>
      <c r="K88" s="9" t="s">
        <v>150</v>
      </c>
      <c r="L88" s="1">
        <v>1E-3</v>
      </c>
      <c r="M88" s="6">
        <v>5.0000000000000001E-3</v>
      </c>
      <c r="N88" s="1">
        <v>178.21</v>
      </c>
      <c r="O88" s="18">
        <f>VLOOKUP(I88,[1]CompDbase!$B:$K,9,FALSE)</f>
        <v>0.85</v>
      </c>
      <c r="P88" s="30">
        <v>4.47</v>
      </c>
      <c r="Q88" s="197"/>
      <c r="R88" s="1">
        <f t="shared" si="109"/>
        <v>-12.690401742175698</v>
      </c>
      <c r="S88" s="1">
        <f t="shared" si="110"/>
        <v>60.315806001687406</v>
      </c>
      <c r="T88" s="1">
        <f t="shared" si="111"/>
        <v>-0.48226712158720225</v>
      </c>
      <c r="U88" s="1">
        <f>D$15*(AG88/O88-D$16)</f>
        <v>1.1761158146033743</v>
      </c>
      <c r="V88" s="197">
        <f t="shared" si="112"/>
        <v>0</v>
      </c>
      <c r="W88" s="197">
        <f t="shared" si="113"/>
        <v>-11.996553049159527</v>
      </c>
      <c r="X88" s="118">
        <f t="shared" si="114"/>
        <v>8.7088476524172573E-8</v>
      </c>
      <c r="Y88" s="1">
        <f t="shared" si="115"/>
        <v>4.2134985052767728</v>
      </c>
      <c r="Z88" s="1">
        <f t="shared" si="116"/>
        <v>-17.746682854406249</v>
      </c>
      <c r="AA88" s="1">
        <f t="shared" si="117"/>
        <v>0.14189716137882694</v>
      </c>
      <c r="AB88" s="1">
        <f>D$28*(AG88/O88-D$29)</f>
        <v>0.10396501984946256</v>
      </c>
      <c r="AC88" s="197">
        <f t="shared" si="118"/>
        <v>0</v>
      </c>
      <c r="AD88" s="197">
        <f t="shared" si="119"/>
        <v>4.4593606865050619</v>
      </c>
      <c r="AE88" s="96">
        <f t="shared" si="120"/>
        <v>28797.891194508644</v>
      </c>
      <c r="AF88" s="98">
        <f t="shared" si="121"/>
        <v>2.507964471238642E-3</v>
      </c>
      <c r="AG88" s="294">
        <v>1.7</v>
      </c>
      <c r="AH88" s="295">
        <v>1.7999999999999999E-2</v>
      </c>
      <c r="AI88" s="162">
        <v>2.0000000000000002E-5</v>
      </c>
      <c r="AJ88" s="167">
        <f>$E$38*AK88/$E$40</f>
        <v>107.42100279933713</v>
      </c>
      <c r="AK88" s="168">
        <f>AF88*AG88*E$41/E$32</f>
        <v>9.7232730335854375E-2</v>
      </c>
      <c r="AL88" s="151">
        <f t="shared" si="122"/>
        <v>1.582558303961849E-2</v>
      </c>
      <c r="AM88" s="175">
        <f t="shared" si="123"/>
        <v>5967.8334888520631</v>
      </c>
      <c r="AN88" s="134">
        <f t="shared" si="124"/>
        <v>3.7758166971922331</v>
      </c>
      <c r="AO88" s="119">
        <f>$AG88/$O88</f>
        <v>2</v>
      </c>
      <c r="AP88">
        <f>_xlfn.RANK.AVG(AM88,AM$51:AM$117,1)</f>
        <v>47</v>
      </c>
      <c r="AQ88" s="124">
        <f t="shared" ref="AQ88" si="136">(AP88-0.5)/MAX(AP$51:AP$117)</f>
        <v>0.77500000000000002</v>
      </c>
      <c r="AR88">
        <f>_xlfn.RANK.AVG(AM88,(AM$51:AM$60,AM$86:AM$88),1)</f>
        <v>13</v>
      </c>
      <c r="AS88" s="124">
        <f t="shared" si="126"/>
        <v>0.96153846153846156</v>
      </c>
      <c r="AT88" s="14">
        <f>IF(AND(AJ88&gt;$AI88,$AH88&gt;$AI88),0,IF(AND(AJ88&gt;$AI88,$AH88&lt;$AI88),1,IF(AND(AJ88&lt;$AI88,$AH88&gt;$AI88),2,3)))</f>
        <v>0</v>
      </c>
      <c r="AZ88" s="83"/>
      <c r="BA88" s="83"/>
      <c r="BB88" s="83"/>
      <c r="BC88" s="83"/>
      <c r="BD88" s="83"/>
      <c r="BE88" s="8">
        <f t="shared" si="127"/>
        <v>0.39714860358162579</v>
      </c>
      <c r="BF88" s="16">
        <f t="shared" si="128"/>
        <v>270.48062571686461</v>
      </c>
      <c r="BG88" s="16"/>
      <c r="BH88" s="189"/>
      <c r="BI88" s="6">
        <f>(1/BF88)*AF88*AG88*E$41/E$32</f>
        <v>3.5948131249014588E-4</v>
      </c>
      <c r="BJ88" s="151">
        <f>$AG88/BE88</f>
        <v>4.280513602890208</v>
      </c>
      <c r="BK88" s="175">
        <f>BE88/$AH88</f>
        <v>22.063811310090323</v>
      </c>
      <c r="BL88" s="134">
        <f t="shared" si="129"/>
        <v>1.3436805347574015</v>
      </c>
      <c r="BM88" s="119">
        <f>$AG88/$O88</f>
        <v>2</v>
      </c>
      <c r="BN88">
        <f>_xlfn.RANK.AVG(BK88,BK$51:BK$117,1)</f>
        <v>15</v>
      </c>
      <c r="BO88" s="124">
        <f t="shared" si="130"/>
        <v>0.24166666666666667</v>
      </c>
      <c r="BP88">
        <f>_xlfn.RANK.AVG(BK88,(BK$51:BK$60,BK$86:BK$88),1)</f>
        <v>9</v>
      </c>
      <c r="BQ88" s="124">
        <f t="shared" si="131"/>
        <v>0.65384615384615385</v>
      </c>
      <c r="BR88" s="14">
        <f>IF(AND(BE88&gt;$AI88,$AH88&gt;$AI88),0,IF(AND(BE88&gt;$AI88,$AH88&lt;$AI88),1,IF(AND(BE88&lt;$AI88,$AH88&gt;$AI88),2,3)))</f>
        <v>0</v>
      </c>
      <c r="BX88" s="83"/>
      <c r="BY88" s="83"/>
      <c r="BZ88" s="83"/>
      <c r="CA88" s="83"/>
      <c r="CB88" s="83"/>
      <c r="CC88" s="151"/>
      <c r="CD88" s="175">
        <f>AG88/AH88</f>
        <v>94.444444444444443</v>
      </c>
      <c r="CE88" s="134">
        <f>LOG(CD88)</f>
        <v>1.9751764162749679</v>
      </c>
      <c r="CF88" s="119">
        <f>$AG88/$O88</f>
        <v>2</v>
      </c>
      <c r="CG88">
        <f>_xlfn.RANK.AVG(CD88,CD$51:CD$117,1)</f>
        <v>5</v>
      </c>
      <c r="CH88" s="124">
        <f t="shared" si="132"/>
        <v>7.4999999999999997E-2</v>
      </c>
      <c r="CI88">
        <f>_xlfn.RANK.AVG(CD88,(CD$51:CD$60,CD$86:CD$88),1)</f>
        <v>2</v>
      </c>
      <c r="CJ88" s="124">
        <f t="shared" si="132"/>
        <v>0.11538461538461539</v>
      </c>
      <c r="CK88" s="14">
        <f>IF(AND(BC88&gt;$AI88,$AH88&gt;$AI88),0,IF(AND(BC88&gt;$AI88,$AH88&lt;$AI88),1,IF(AND(BC88&lt;$AI88,$AH88&gt;$AI88),2,3)))</f>
        <v>2</v>
      </c>
      <c r="CL88" s="16"/>
      <c r="DN88" s="191">
        <f t="shared" si="133"/>
        <v>1.1366868742626023E-4</v>
      </c>
      <c r="DO88" s="97">
        <f t="shared" si="134"/>
        <v>-8.8808728974118658</v>
      </c>
      <c r="DP88">
        <f>_xlfn.RANK.AVG(DO88,(DO$51:DO$60,DO$86:DO$88),1)</f>
        <v>13</v>
      </c>
      <c r="DQ88" s="124">
        <f>DP88/MAX(DP$51:DP$117)</f>
        <v>1</v>
      </c>
      <c r="EA88" s="17">
        <f>AG88/M88</f>
        <v>340</v>
      </c>
      <c r="EB88" s="16">
        <f>AH88/L88</f>
        <v>18</v>
      </c>
      <c r="EC88" s="16"/>
    </row>
    <row r="89" spans="1:133" x14ac:dyDescent="0.2">
      <c r="A89" s="8"/>
      <c r="F89" s="9"/>
      <c r="I89" s="8"/>
      <c r="K89" s="9"/>
      <c r="M89" s="9"/>
      <c r="N89"/>
      <c r="O89"/>
      <c r="X89" s="9"/>
      <c r="AG89" s="292"/>
      <c r="AH89" s="103"/>
      <c r="AI89" s="16"/>
      <c r="AJ89" s="167"/>
      <c r="AK89" s="169"/>
      <c r="AL89" s="8"/>
      <c r="AN89" s="97"/>
      <c r="AO89" s="97"/>
      <c r="AP89"/>
      <c r="AQ89"/>
      <c r="AR89"/>
      <c r="AT89" s="14"/>
      <c r="BE89" s="167"/>
      <c r="BF89" s="3"/>
      <c r="BG89" s="3"/>
      <c r="BH89" s="3"/>
      <c r="BI89" s="169"/>
      <c r="BJ89" s="8"/>
      <c r="BL89" s="97"/>
      <c r="BM89" s="97"/>
      <c r="BN89"/>
      <c r="BO89"/>
      <c r="BP89"/>
      <c r="BR89" s="14"/>
      <c r="CC89" s="8"/>
      <c r="CE89" s="97"/>
      <c r="CF89" s="97"/>
      <c r="CG89"/>
      <c r="CH89"/>
      <c r="CI89"/>
      <c r="CK89" s="14"/>
      <c r="CL89" s="16"/>
      <c r="EA89" s="11"/>
      <c r="EB89" s="16"/>
      <c r="EC89" s="16"/>
    </row>
    <row r="90" spans="1:133" x14ac:dyDescent="0.2">
      <c r="A90" s="12" t="s">
        <v>42</v>
      </c>
      <c r="F90" s="9"/>
      <c r="I90" s="8"/>
      <c r="K90" s="9"/>
      <c r="M90" s="9"/>
      <c r="N90"/>
      <c r="O90"/>
      <c r="X90" s="9"/>
      <c r="AG90" s="292"/>
      <c r="AH90" s="8"/>
      <c r="AJ90" s="167"/>
      <c r="AK90" s="169"/>
      <c r="AL90" s="8"/>
      <c r="AN90" s="97"/>
      <c r="AO90" s="97"/>
      <c r="AP90"/>
      <c r="AQ90"/>
      <c r="AR90"/>
      <c r="AT90" s="14"/>
      <c r="BE90" s="167"/>
      <c r="BF90" s="3"/>
      <c r="BG90" s="3"/>
      <c r="BH90" s="3"/>
      <c r="BI90" s="169"/>
      <c r="BJ90" s="8"/>
      <c r="BL90" s="97"/>
      <c r="BM90" s="97"/>
      <c r="BN90"/>
      <c r="BO90"/>
      <c r="BP90"/>
      <c r="BR90" s="14"/>
      <c r="CC90" s="8"/>
      <c r="CE90" s="97"/>
      <c r="CF90" s="97"/>
      <c r="CG90"/>
      <c r="CH90"/>
      <c r="CI90"/>
      <c r="CK90" s="14"/>
      <c r="CL90" s="16"/>
      <c r="EA90" s="11"/>
    </row>
    <row r="91" spans="1:133" x14ac:dyDescent="0.2">
      <c r="A91" s="8"/>
      <c r="B91" t="s">
        <v>149</v>
      </c>
      <c r="C91">
        <v>15</v>
      </c>
      <c r="D91" t="s">
        <v>134</v>
      </c>
      <c r="F91" s="9"/>
      <c r="G91" t="s">
        <v>111</v>
      </c>
      <c r="H91" s="1">
        <v>12</v>
      </c>
      <c r="I91" s="8">
        <v>200</v>
      </c>
      <c r="J91" t="s">
        <v>41</v>
      </c>
      <c r="K91" s="9" t="s">
        <v>151</v>
      </c>
      <c r="L91" s="1">
        <v>1E-3</v>
      </c>
      <c r="M91" s="6">
        <v>0.03</v>
      </c>
      <c r="N91" s="1">
        <v>78.106666524406961</v>
      </c>
      <c r="O91" s="18">
        <f>VLOOKUP(I91,[1]CompDbase!$B:$K,9,FALSE)</f>
        <v>1988.89882593368</v>
      </c>
      <c r="P91" s="30">
        <v>2.13</v>
      </c>
      <c r="R91" s="1">
        <f t="shared" ref="R91:R117" si="137">D$7*N91+D$8</f>
        <v>-11.565815468244072</v>
      </c>
      <c r="S91" s="1">
        <f t="shared" ref="S91:S117" si="138">D$12*LOG(N91)+D$13</f>
        <v>38.156061539688011</v>
      </c>
      <c r="T91" s="1">
        <f t="shared" ref="T91:T117" si="139">S91/(D$10*LN(10))*(1/(D$11+273)-1/(H91+273))</f>
        <v>-0.30508444120492545</v>
      </c>
      <c r="U91" s="1">
        <f t="shared" ref="U91:U117" si="140">D$15*(AG91/O91-D$16)</f>
        <v>-0.3910924605597812</v>
      </c>
      <c r="V91" s="197">
        <f t="shared" ref="V91:V117" si="141">D$18</f>
        <v>0</v>
      </c>
      <c r="W91" s="197">
        <f t="shared" ref="W91:W117" si="142">R91+T91+U91+V91</f>
        <v>-12.261992370008779</v>
      </c>
      <c r="X91" s="118">
        <f t="shared" ref="X91:X117" si="143">24*60*60*10^W91</f>
        <v>4.7263009536571871E-8</v>
      </c>
      <c r="Y91" s="1">
        <f t="shared" ref="Y91:Y117" si="144">D$20*P91+D$21</f>
        <v>1.6470686781530968</v>
      </c>
      <c r="Z91" s="1">
        <f t="shared" ref="Z91:Z117" si="145">D$25*LOG(O91)+D$26</f>
        <v>8.9430527115373621</v>
      </c>
      <c r="AA91" s="1">
        <f t="shared" ref="AA91:AA117" si="146">Z91/(D$10*LN(10))*(1/(D$24+273)-1/(H91+273))</f>
        <v>-7.1505971242017199E-2</v>
      </c>
      <c r="AB91" s="1">
        <f t="shared" ref="AB91:AB117" si="147">D$28*(AG91/O91-D$29)</f>
        <v>-0.1038395654802482</v>
      </c>
      <c r="AC91" s="197">
        <f t="shared" ref="AC91:AC117" si="148">D$30</f>
        <v>0</v>
      </c>
      <c r="AD91" s="197">
        <f t="shared" ref="AD91:AD117" si="149">Y91+AA91+AB91+AC91</f>
        <v>1.4717231414308314</v>
      </c>
      <c r="AE91" s="96">
        <f t="shared" ref="AE91:AE117" si="150">10^AD91</f>
        <v>29.629419402505864</v>
      </c>
      <c r="AF91" s="98">
        <f t="shared" ref="AF91:AF117" si="151">AE91*X91</f>
        <v>1.4003755317837224E-6</v>
      </c>
      <c r="AG91" s="291">
        <v>2.4</v>
      </c>
      <c r="AH91" s="8"/>
      <c r="AI91" s="162">
        <v>2.0000000000000002E-5</v>
      </c>
      <c r="AJ91" s="167">
        <f t="shared" ref="AJ91:AJ117" si="152">$E$38*AK91/$E$40</f>
        <v>8.4678792549280249E-2</v>
      </c>
      <c r="AK91" s="168">
        <f t="shared" ref="AK91:AK117" si="153">AF91*AG91*E$41/E$32</f>
        <v>7.6647489657960337E-5</v>
      </c>
      <c r="AL91" s="151">
        <f t="shared" ref="AL91:AL117" si="154">$AG91/AJ91</f>
        <v>28.342397520645793</v>
      </c>
      <c r="AM91" s="177">
        <f t="shared" ref="AM91:AM117" si="155">AJ91/$AI91</f>
        <v>4233.9396274640121</v>
      </c>
      <c r="AN91" s="134">
        <f t="shared" ref="AN91:AN117" si="156">LOG(AM91)</f>
        <v>3.6267446610414065</v>
      </c>
      <c r="AO91" s="119">
        <f t="shared" ref="AO91:AO117" si="157">$AG91/$O91</f>
        <v>1.2066978816146318E-3</v>
      </c>
      <c r="AP91">
        <f t="shared" ref="AP91:AP117" si="158">_xlfn.RANK.AVG(AM91,AM$51:AM$117,1)</f>
        <v>46</v>
      </c>
      <c r="AQ91" s="124">
        <f t="shared" ref="AQ91" si="159">(AP91-0.5)/MAX(AP$51:AP$117)</f>
        <v>0.7583333333333333</v>
      </c>
      <c r="AR91" s="124"/>
      <c r="AS91" s="124"/>
      <c r="AT91" s="14">
        <f t="shared" ref="AT91:AT117" si="160">IF(AND(AJ91&gt;$AI91,$AH91&gt;$AI91),0,IF(AND(AJ91&gt;$AI91,$AH91&lt;$AI91),1,IF(AND(AJ91&lt;$AI91,$AH91&gt;$AI91),2,3)))</f>
        <v>1</v>
      </c>
      <c r="AZ91" s="83"/>
      <c r="BA91" s="83"/>
      <c r="BB91" s="83"/>
      <c r="BC91" s="83"/>
      <c r="BD91" s="83"/>
      <c r="BE91" s="8">
        <f t="shared" ref="BE91:BE117" si="161">BI91*$E$38/$E$40</f>
        <v>6.2024694922715999E-2</v>
      </c>
      <c r="BF91" s="16">
        <f t="shared" ref="BF91:BF117" si="162">10^(MAX(0,((W91+12.5)/2+AD91)*0.73611+-1.03574))</f>
        <v>1.3652431931312472</v>
      </c>
      <c r="BG91" s="16"/>
      <c r="BH91" s="189"/>
      <c r="BI91" s="6">
        <f t="shared" ref="BI91:BI117" si="163">(1/BF91)*AF91*AG91*E$41/E$32</f>
        <v>5.6142004621290837E-5</v>
      </c>
      <c r="BJ91" s="151">
        <f t="shared" ref="BJ91:BJ117" si="164">$AG91/BE91</f>
        <v>38.694265292081603</v>
      </c>
      <c r="BK91" s="177">
        <f t="shared" ref="BK91:BK117" si="165">BE91/$AI91</f>
        <v>3101.2347461357999</v>
      </c>
      <c r="BL91" s="134">
        <f t="shared" ref="BL91:BL117" si="166">LOG(BK91)</f>
        <v>3.4915346411463384</v>
      </c>
      <c r="BM91" s="119">
        <f t="shared" ref="BM91:BM117" si="167">$AG91/$O91</f>
        <v>1.2066978816146318E-3</v>
      </c>
      <c r="BN91">
        <f t="shared" ref="BN91:BN117" si="168">_xlfn.RANK.AVG(BK91,BK$51:BK$117,1)</f>
        <v>54</v>
      </c>
      <c r="BO91" s="124">
        <f t="shared" ref="BO91:BO117" si="169">(BN91-0.5)/MAX(BN$51:BN$117)</f>
        <v>0.89166666666666672</v>
      </c>
      <c r="BP91" s="124"/>
      <c r="BQ91" s="124"/>
      <c r="BR91" s="14">
        <f t="shared" ref="BR91:BR117" si="170">IF(AND(BE91&gt;$AI91,$AH91&gt;$AI91),0,IF(AND(BE91&gt;$AI91,$AH91&lt;$AI91),1,IF(AND(BE91&lt;$AI91,$AH91&gt;$AI91),2,3)))</f>
        <v>1</v>
      </c>
      <c r="BX91" s="83"/>
      <c r="BY91" s="83"/>
      <c r="BZ91" s="83"/>
      <c r="CA91" s="83"/>
      <c r="CB91" s="83"/>
      <c r="CC91" s="151"/>
      <c r="CD91" s="177">
        <f t="shared" ref="CD91:CD117" si="171">AG91/AI91</f>
        <v>119999.99999999999</v>
      </c>
      <c r="CE91" s="134">
        <f t="shared" ref="CE91:CE117" si="172">LOG(CD91)</f>
        <v>5.0791812460476251</v>
      </c>
      <c r="CF91" s="119">
        <f t="shared" ref="CF91:CF117" si="173">$AG91/$O91</f>
        <v>1.2066978816146318E-3</v>
      </c>
      <c r="CG91">
        <f t="shared" ref="CG91:CG117" si="174">_xlfn.RANK.AVG(CD91,CD$51:CD$117,1)</f>
        <v>50</v>
      </c>
      <c r="CH91" s="124">
        <f t="shared" ref="CH91:CH117" si="175">(CG91-0.5)/MAX(CG$51:CG$117)</f>
        <v>0.82499999999999996</v>
      </c>
      <c r="CI91" s="124"/>
      <c r="CJ91" s="124"/>
      <c r="CK91" s="14">
        <f t="shared" ref="CK91:CK117" si="176">IF(AND(BC91&gt;$AI91,$AH91&gt;$AI91),0,IF(AND(BC91&gt;$AI91,$AH91&lt;$AI91),1,IF(AND(BC91&lt;$AI91,$AH91&gt;$AI91),2,3)))</f>
        <v>3</v>
      </c>
      <c r="CL91" s="16"/>
      <c r="DN91" s="191">
        <f t="shared" ref="DN91:DN117" si="177">AF91/BJ91</f>
        <v>3.6190777140050652E-8</v>
      </c>
      <c r="DO91" s="97"/>
      <c r="EA91" s="17">
        <f t="shared" ref="EA91:EA117" si="178">AG91/M91</f>
        <v>80</v>
      </c>
      <c r="EB91" s="16">
        <f t="shared" ref="EB91:EB117" si="179">AI91/L91</f>
        <v>0.02</v>
      </c>
      <c r="EC91" s="16"/>
    </row>
    <row r="92" spans="1:133" x14ac:dyDescent="0.2">
      <c r="A92" s="8"/>
      <c r="B92" t="s">
        <v>149</v>
      </c>
      <c r="C92">
        <v>27</v>
      </c>
      <c r="D92" t="s">
        <v>123</v>
      </c>
      <c r="F92" s="9"/>
      <c r="G92" t="s">
        <v>111</v>
      </c>
      <c r="H92" s="1">
        <v>12</v>
      </c>
      <c r="I92" s="8">
        <v>200</v>
      </c>
      <c r="J92" t="s">
        <v>41</v>
      </c>
      <c r="K92" s="9" t="s">
        <v>151</v>
      </c>
      <c r="L92" s="1">
        <v>1E-3</v>
      </c>
      <c r="M92" s="6">
        <v>0.03</v>
      </c>
      <c r="N92" s="1">
        <v>78.106666524406961</v>
      </c>
      <c r="O92" s="18">
        <f>VLOOKUP(I92,[1]CompDbase!$B:$K,9,FALSE)</f>
        <v>1988.89882593368</v>
      </c>
      <c r="P92" s="30">
        <v>2.13</v>
      </c>
      <c r="R92" s="1">
        <f t="shared" si="137"/>
        <v>-11.565815468244072</v>
      </c>
      <c r="S92" s="1">
        <f t="shared" si="138"/>
        <v>38.156061539688011</v>
      </c>
      <c r="T92" s="1">
        <f t="shared" si="139"/>
        <v>-0.30508444120492545</v>
      </c>
      <c r="U92" s="1">
        <f t="shared" si="140"/>
        <v>-0.39194793270494044</v>
      </c>
      <c r="V92" s="197">
        <f t="shared" si="141"/>
        <v>0</v>
      </c>
      <c r="W92" s="197">
        <f t="shared" si="142"/>
        <v>-12.262847842153938</v>
      </c>
      <c r="X92" s="118">
        <f t="shared" si="143"/>
        <v>4.7170002615318328E-8</v>
      </c>
      <c r="Y92" s="1">
        <f t="shared" si="144"/>
        <v>1.6470686781530968</v>
      </c>
      <c r="Z92" s="1">
        <f t="shared" si="145"/>
        <v>8.9430527115373621</v>
      </c>
      <c r="AA92" s="1">
        <f t="shared" si="146"/>
        <v>-7.1505971242017199E-2</v>
      </c>
      <c r="AB92" s="1">
        <f t="shared" si="147"/>
        <v>-0.10395299713907952</v>
      </c>
      <c r="AC92" s="197">
        <f t="shared" si="148"/>
        <v>0</v>
      </c>
      <c r="AD92" s="197">
        <f t="shared" si="149"/>
        <v>1.471609709772</v>
      </c>
      <c r="AE92" s="96">
        <f t="shared" si="150"/>
        <v>29.621681622130268</v>
      </c>
      <c r="AF92" s="98">
        <f t="shared" si="151"/>
        <v>1.3972547995860117E-6</v>
      </c>
      <c r="AG92" s="291">
        <v>0.23</v>
      </c>
      <c r="AH92" s="8"/>
      <c r="AI92" s="162">
        <v>2.0000000000000002E-5</v>
      </c>
      <c r="AJ92" s="167">
        <f t="shared" si="152"/>
        <v>8.0969665886818504E-3</v>
      </c>
      <c r="AK92" s="168">
        <f t="shared" si="153"/>
        <v>7.3290152608832584E-6</v>
      </c>
      <c r="AL92" s="151">
        <f t="shared" si="154"/>
        <v>28.405699527215535</v>
      </c>
      <c r="AM92" s="177">
        <f t="shared" si="155"/>
        <v>404.84832943409248</v>
      </c>
      <c r="AN92" s="134">
        <f t="shared" si="156"/>
        <v>2.6072923515434017</v>
      </c>
      <c r="AO92" s="119">
        <f t="shared" si="157"/>
        <v>1.1564188032140223E-4</v>
      </c>
      <c r="AP92">
        <f t="shared" si="158"/>
        <v>21</v>
      </c>
      <c r="AQ92" s="124">
        <f t="shared" ref="AQ92" si="180">(AP92-0.5)/MAX(AP$51:AP$117)</f>
        <v>0.34166666666666667</v>
      </c>
      <c r="AR92" s="124"/>
      <c r="AS92" s="124"/>
      <c r="AT92" s="14">
        <f t="shared" si="160"/>
        <v>1</v>
      </c>
      <c r="AZ92" s="83"/>
      <c r="BA92" s="83"/>
      <c r="BB92" s="83"/>
      <c r="BC92" s="83"/>
      <c r="BD92" s="83"/>
      <c r="BE92" s="8">
        <f t="shared" si="161"/>
        <v>5.9362295475421552E-3</v>
      </c>
      <c r="BF92" s="16">
        <f t="shared" si="162"/>
        <v>1.3639914905302695</v>
      </c>
      <c r="BG92" s="16"/>
      <c r="BH92" s="189"/>
      <c r="BI92" s="6">
        <f t="shared" si="163"/>
        <v>5.3732118651517458E-6</v>
      </c>
      <c r="BJ92" s="151">
        <f t="shared" si="164"/>
        <v>38.745132437681683</v>
      </c>
      <c r="BK92" s="177">
        <f t="shared" si="165"/>
        <v>296.81147737710774</v>
      </c>
      <c r="BL92" s="134">
        <f t="shared" si="166"/>
        <v>2.4724806906271026</v>
      </c>
      <c r="BM92" s="119">
        <f t="shared" si="167"/>
        <v>1.1564188032140223E-4</v>
      </c>
      <c r="BN92">
        <f t="shared" si="168"/>
        <v>34</v>
      </c>
      <c r="BO92" s="124">
        <f t="shared" si="169"/>
        <v>0.55833333333333335</v>
      </c>
      <c r="BP92" s="124"/>
      <c r="BQ92" s="124"/>
      <c r="BR92" s="14">
        <f t="shared" si="170"/>
        <v>1</v>
      </c>
      <c r="BX92" s="83"/>
      <c r="BY92" s="83"/>
      <c r="BZ92" s="83"/>
      <c r="CA92" s="83"/>
      <c r="CB92" s="83"/>
      <c r="CC92" s="151"/>
      <c r="CD92" s="177">
        <f t="shared" si="171"/>
        <v>11500</v>
      </c>
      <c r="CE92" s="134">
        <f t="shared" si="172"/>
        <v>4.0606978403536118</v>
      </c>
      <c r="CF92" s="119">
        <f t="shared" si="173"/>
        <v>1.1564188032140223E-4</v>
      </c>
      <c r="CG92">
        <f t="shared" si="174"/>
        <v>32</v>
      </c>
      <c r="CH92" s="124">
        <f t="shared" si="175"/>
        <v>0.52500000000000002</v>
      </c>
      <c r="CI92" s="124"/>
      <c r="CJ92" s="124"/>
      <c r="CK92" s="14">
        <f t="shared" si="176"/>
        <v>3</v>
      </c>
      <c r="CL92" s="16"/>
      <c r="DN92" s="191">
        <f t="shared" si="177"/>
        <v>3.6062718377163369E-8</v>
      </c>
      <c r="DO92" s="97"/>
      <c r="EA92" s="17">
        <f t="shared" si="178"/>
        <v>7.666666666666667</v>
      </c>
      <c r="EB92" s="16">
        <f t="shared" si="179"/>
        <v>0.02</v>
      </c>
      <c r="EC92" s="16"/>
    </row>
    <row r="93" spans="1:133" x14ac:dyDescent="0.2">
      <c r="A93" s="8"/>
      <c r="B93" t="s">
        <v>149</v>
      </c>
      <c r="C93">
        <v>3</v>
      </c>
      <c r="D93" t="s">
        <v>131</v>
      </c>
      <c r="F93" s="9"/>
      <c r="G93" t="s">
        <v>111</v>
      </c>
      <c r="H93" s="1">
        <v>12</v>
      </c>
      <c r="I93" s="8">
        <v>200</v>
      </c>
      <c r="J93" t="s">
        <v>41</v>
      </c>
      <c r="K93" s="9" t="s">
        <v>151</v>
      </c>
      <c r="L93" s="1">
        <v>1E-3</v>
      </c>
      <c r="M93" s="6">
        <v>0.03</v>
      </c>
      <c r="N93" s="1">
        <v>78.106666524406961</v>
      </c>
      <c r="O93" s="18">
        <f>VLOOKUP(I93,[1]CompDbase!$B:$K,9,FALSE)</f>
        <v>1988.89882593368</v>
      </c>
      <c r="P93" s="30">
        <v>2.13</v>
      </c>
      <c r="R93" s="1">
        <f t="shared" si="137"/>
        <v>-11.565815468244072</v>
      </c>
      <c r="S93" s="1">
        <f t="shared" si="138"/>
        <v>38.156061539688011</v>
      </c>
      <c r="T93" s="1">
        <f t="shared" si="139"/>
        <v>-0.30508444120492545</v>
      </c>
      <c r="U93" s="1">
        <f t="shared" si="140"/>
        <v>-0.39199997064188102</v>
      </c>
      <c r="V93" s="197">
        <f t="shared" si="141"/>
        <v>0</v>
      </c>
      <c r="W93" s="197">
        <f t="shared" si="142"/>
        <v>-12.262899880090879</v>
      </c>
      <c r="X93" s="118">
        <f t="shared" si="143"/>
        <v>4.7164350960345326E-8</v>
      </c>
      <c r="Y93" s="1">
        <f t="shared" si="144"/>
        <v>1.6470686781530968</v>
      </c>
      <c r="Z93" s="1">
        <f t="shared" si="145"/>
        <v>8.9430527115373621</v>
      </c>
      <c r="AA93" s="1">
        <f t="shared" si="146"/>
        <v>-7.1505971242017199E-2</v>
      </c>
      <c r="AB93" s="1">
        <f t="shared" si="147"/>
        <v>-0.1039598971293863</v>
      </c>
      <c r="AC93" s="197">
        <f t="shared" si="148"/>
        <v>0</v>
      </c>
      <c r="AD93" s="197">
        <f t="shared" si="149"/>
        <v>1.4716028097816933</v>
      </c>
      <c r="AE93" s="96">
        <f t="shared" si="150"/>
        <v>29.621211002076514</v>
      </c>
      <c r="AF93" s="98">
        <f t="shared" si="151"/>
        <v>1.3970651915723789E-6</v>
      </c>
      <c r="AG93" s="291">
        <v>9.8000000000000004E-2</v>
      </c>
      <c r="AH93" s="8"/>
      <c r="AI93" s="162">
        <v>2.0000000000000002E-5</v>
      </c>
      <c r="AJ93" s="167">
        <f t="shared" si="152"/>
        <v>3.4495436828947622E-3</v>
      </c>
      <c r="AK93" s="168">
        <f t="shared" si="153"/>
        <v>3.1223740419478389E-6</v>
      </c>
      <c r="AL93" s="151">
        <f t="shared" si="154"/>
        <v>28.409554714715512</v>
      </c>
      <c r="AM93" s="177">
        <f t="shared" si="155"/>
        <v>172.47718414473809</v>
      </c>
      <c r="AN93" s="134">
        <f t="shared" si="156"/>
        <v>2.2367316532910566</v>
      </c>
      <c r="AO93" s="119">
        <f t="shared" si="157"/>
        <v>4.927349683259747E-5</v>
      </c>
      <c r="AP93">
        <f t="shared" si="158"/>
        <v>17</v>
      </c>
      <c r="AQ93" s="124">
        <f t="shared" ref="AQ93" si="181">(AP93-0.5)/MAX(AP$51:AP$117)</f>
        <v>0.27500000000000002</v>
      </c>
      <c r="AR93" s="124"/>
      <c r="AS93" s="124"/>
      <c r="AT93" s="14">
        <f t="shared" si="160"/>
        <v>1</v>
      </c>
      <c r="AZ93" s="83"/>
      <c r="BA93" s="83"/>
      <c r="BB93" s="83"/>
      <c r="BC93" s="83"/>
      <c r="BD93" s="83"/>
      <c r="BE93" s="8">
        <f t="shared" si="161"/>
        <v>2.5291478602236382E-3</v>
      </c>
      <c r="BF93" s="16">
        <f t="shared" si="162"/>
        <v>1.3639153871334906</v>
      </c>
      <c r="BG93" s="16"/>
      <c r="BH93" s="189"/>
      <c r="BI93" s="6">
        <f t="shared" si="163"/>
        <v>2.2892725394865296E-6</v>
      </c>
      <c r="BJ93" s="151">
        <f t="shared" si="164"/>
        <v>38.748228817011281</v>
      </c>
      <c r="BK93" s="177">
        <f t="shared" si="165"/>
        <v>126.45739301118191</v>
      </c>
      <c r="BL93" s="134">
        <f t="shared" si="166"/>
        <v>2.101944224349503</v>
      </c>
      <c r="BM93" s="119">
        <f t="shared" si="167"/>
        <v>4.927349683259747E-5</v>
      </c>
      <c r="BN93">
        <f t="shared" si="168"/>
        <v>27</v>
      </c>
      <c r="BO93" s="124">
        <f t="shared" si="169"/>
        <v>0.44166666666666665</v>
      </c>
      <c r="BP93" s="124"/>
      <c r="BQ93" s="124"/>
      <c r="BR93" s="14">
        <f t="shared" si="170"/>
        <v>1</v>
      </c>
      <c r="BX93" s="83"/>
      <c r="BY93" s="83"/>
      <c r="BZ93" s="83"/>
      <c r="CA93" s="83"/>
      <c r="CB93" s="83"/>
      <c r="CC93" s="151"/>
      <c r="CD93" s="177">
        <f t="shared" si="171"/>
        <v>4900</v>
      </c>
      <c r="CE93" s="134">
        <f t="shared" si="172"/>
        <v>3.6901960800285138</v>
      </c>
      <c r="CF93" s="119">
        <f t="shared" si="173"/>
        <v>4.927349683259747E-5</v>
      </c>
      <c r="CG93">
        <f t="shared" si="174"/>
        <v>25</v>
      </c>
      <c r="CH93" s="124">
        <f t="shared" si="175"/>
        <v>0.40833333333333333</v>
      </c>
      <c r="CI93" s="124"/>
      <c r="CJ93" s="124"/>
      <c r="CK93" s="14">
        <f t="shared" si="176"/>
        <v>3</v>
      </c>
      <c r="CL93" s="16"/>
      <c r="DN93" s="191">
        <f t="shared" si="177"/>
        <v>3.6054943263859279E-8</v>
      </c>
      <c r="DO93" s="97"/>
      <c r="EA93" s="17">
        <f t="shared" si="178"/>
        <v>3.2666666666666671</v>
      </c>
      <c r="EB93" s="16">
        <f t="shared" si="179"/>
        <v>0.02</v>
      </c>
      <c r="EC93" s="16"/>
    </row>
    <row r="94" spans="1:133" x14ac:dyDescent="0.2">
      <c r="A94" s="8"/>
      <c r="B94" t="s">
        <v>149</v>
      </c>
      <c r="C94">
        <v>9</v>
      </c>
      <c r="D94" t="s">
        <v>131</v>
      </c>
      <c r="F94" s="9"/>
      <c r="G94" t="s">
        <v>111</v>
      </c>
      <c r="H94" s="1">
        <v>12</v>
      </c>
      <c r="I94" s="8">
        <v>201</v>
      </c>
      <c r="J94" t="s">
        <v>39</v>
      </c>
      <c r="K94" s="9" t="s">
        <v>152</v>
      </c>
      <c r="L94" s="1">
        <v>1E-3</v>
      </c>
      <c r="M94" s="6">
        <v>0.15</v>
      </c>
      <c r="N94" s="1">
        <v>106.18666499232586</v>
      </c>
      <c r="O94" s="18">
        <f>VLOOKUP(I94,[1]CompDbase!$B:$K,9,FALSE)</f>
        <v>159.4494296665228</v>
      </c>
      <c r="P94" s="30">
        <v>3.15</v>
      </c>
      <c r="R94" s="1">
        <f t="shared" si="137"/>
        <v>-11.881273303189619</v>
      </c>
      <c r="S94" s="1">
        <f t="shared" si="138"/>
        <v>46.406607545366441</v>
      </c>
      <c r="T94" s="1">
        <f t="shared" si="139"/>
        <v>-0.37105333621679037</v>
      </c>
      <c r="U94" s="1">
        <f t="shared" si="140"/>
        <v>-0.30844274257225224</v>
      </c>
      <c r="V94" s="197">
        <f t="shared" si="141"/>
        <v>0</v>
      </c>
      <c r="W94" s="197">
        <f t="shared" si="142"/>
        <v>-12.560769381978663</v>
      </c>
      <c r="X94" s="118">
        <f t="shared" si="143"/>
        <v>2.3754416147747963E-8</v>
      </c>
      <c r="Y94" s="1">
        <f t="shared" si="144"/>
        <v>2.7657688592070069</v>
      </c>
      <c r="Z94" s="1">
        <f t="shared" si="145"/>
        <v>0.26095311229846274</v>
      </c>
      <c r="AA94" s="1">
        <f t="shared" si="146"/>
        <v>-2.086502936458825E-3</v>
      </c>
      <c r="AB94" s="1">
        <f t="shared" si="147"/>
        <v>-9.2880594266145852E-2</v>
      </c>
      <c r="AC94" s="197">
        <f t="shared" si="148"/>
        <v>0</v>
      </c>
      <c r="AD94" s="197">
        <f t="shared" si="149"/>
        <v>2.6708017620044022</v>
      </c>
      <c r="AE94" s="96">
        <f t="shared" si="150"/>
        <v>468.59943649003503</v>
      </c>
      <c r="AF94" s="98">
        <f t="shared" si="151"/>
        <v>1.1131306020984483E-5</v>
      </c>
      <c r="AG94" s="291">
        <v>17</v>
      </c>
      <c r="AH94" s="8"/>
      <c r="AI94" s="162">
        <v>2.0000000000000002E-5</v>
      </c>
      <c r="AJ94" s="167">
        <f t="shared" si="152"/>
        <v>4.7677551614194051</v>
      </c>
      <c r="AK94" s="168">
        <f t="shared" si="153"/>
        <v>4.3155606430489539E-3</v>
      </c>
      <c r="AL94" s="151">
        <f t="shared" si="154"/>
        <v>3.565619337495288</v>
      </c>
      <c r="AM94" s="177">
        <f t="shared" si="155"/>
        <v>238387.75807097025</v>
      </c>
      <c r="AN94" s="134">
        <f t="shared" si="156"/>
        <v>5.3772839493117601</v>
      </c>
      <c r="AO94" s="119">
        <f t="shared" si="157"/>
        <v>0.10661687555455229</v>
      </c>
      <c r="AP94">
        <f t="shared" si="158"/>
        <v>60</v>
      </c>
      <c r="AQ94" s="124">
        <f t="shared" ref="AQ94" si="182">(AP94-0.5)/MAX(AP$51:AP$117)</f>
        <v>0.9916666666666667</v>
      </c>
      <c r="AR94" s="124"/>
      <c r="AS94" s="124"/>
      <c r="AT94" s="14">
        <f t="shared" si="160"/>
        <v>1</v>
      </c>
      <c r="AZ94" s="83"/>
      <c r="BA94" s="83"/>
      <c r="BB94" s="83"/>
      <c r="BC94" s="83"/>
      <c r="BD94" s="83"/>
      <c r="BE94" s="8">
        <f t="shared" si="161"/>
        <v>0.58940869028500231</v>
      </c>
      <c r="BF94" s="16">
        <f t="shared" si="162"/>
        <v>8.0890479560354098</v>
      </c>
      <c r="BG94" s="16"/>
      <c r="BH94" s="189"/>
      <c r="BI94" s="6">
        <f t="shared" si="163"/>
        <v>5.3350662111343076E-4</v>
      </c>
      <c r="BJ94" s="151">
        <f t="shared" si="164"/>
        <v>28.842465813966587</v>
      </c>
      <c r="BK94" s="177">
        <f t="shared" si="165"/>
        <v>29470.434514250112</v>
      </c>
      <c r="BL94" s="134">
        <f t="shared" si="166"/>
        <v>4.4693865391668561</v>
      </c>
      <c r="BM94" s="119">
        <f t="shared" si="167"/>
        <v>0.10661687555455229</v>
      </c>
      <c r="BN94">
        <f t="shared" si="168"/>
        <v>60</v>
      </c>
      <c r="BO94" s="124">
        <f t="shared" si="169"/>
        <v>0.9916666666666667</v>
      </c>
      <c r="BP94" s="124"/>
      <c r="BQ94" s="124"/>
      <c r="BR94" s="14">
        <f t="shared" si="170"/>
        <v>1</v>
      </c>
      <c r="BX94" s="83"/>
      <c r="BY94" s="83"/>
      <c r="BZ94" s="83"/>
      <c r="CA94" s="83"/>
      <c r="CB94" s="83"/>
      <c r="CC94" s="151"/>
      <c r="CD94" s="177">
        <f t="shared" si="171"/>
        <v>849999.99999999988</v>
      </c>
      <c r="CE94" s="134">
        <f t="shared" si="172"/>
        <v>5.9294189257142929</v>
      </c>
      <c r="CF94" s="119">
        <f t="shared" si="173"/>
        <v>0.10661687555455229</v>
      </c>
      <c r="CG94">
        <f t="shared" si="174"/>
        <v>60</v>
      </c>
      <c r="CH94" s="124">
        <f t="shared" si="175"/>
        <v>0.9916666666666667</v>
      </c>
      <c r="CI94" s="124"/>
      <c r="CJ94" s="124"/>
      <c r="CK94" s="14">
        <f t="shared" si="176"/>
        <v>3</v>
      </c>
      <c r="CL94" s="16"/>
      <c r="DN94" s="191">
        <f t="shared" si="177"/>
        <v>3.8593461782294268E-7</v>
      </c>
      <c r="DO94" s="97"/>
      <c r="EA94" s="17">
        <f t="shared" si="178"/>
        <v>113.33333333333334</v>
      </c>
      <c r="EB94" s="16">
        <f t="shared" si="179"/>
        <v>0.02</v>
      </c>
      <c r="EC94" s="16"/>
    </row>
    <row r="95" spans="1:133" x14ac:dyDescent="0.2">
      <c r="A95" s="8"/>
      <c r="B95" t="s">
        <v>149</v>
      </c>
      <c r="C95">
        <v>5</v>
      </c>
      <c r="D95" t="s">
        <v>131</v>
      </c>
      <c r="F95" s="9"/>
      <c r="G95" t="s">
        <v>111</v>
      </c>
      <c r="H95" s="1">
        <v>12</v>
      </c>
      <c r="I95" s="8">
        <v>310</v>
      </c>
      <c r="J95" t="s">
        <v>35</v>
      </c>
      <c r="K95" s="9">
        <v>0</v>
      </c>
      <c r="L95" s="1">
        <v>1E-4</v>
      </c>
      <c r="M95" s="6">
        <v>7.0000000000000007E-2</v>
      </c>
      <c r="N95" s="1">
        <v>128.19</v>
      </c>
      <c r="O95" s="18">
        <f>VLOOKUP(I95,[1]CompDbase!$B:$K,9,FALSE)</f>
        <v>31.8</v>
      </c>
      <c r="P95" s="30">
        <v>3.3</v>
      </c>
      <c r="R95" s="1">
        <f t="shared" si="137"/>
        <v>-12.128464357385459</v>
      </c>
      <c r="S95" s="1">
        <f t="shared" si="138"/>
        <v>51.465495888741714</v>
      </c>
      <c r="T95" s="1">
        <f t="shared" si="139"/>
        <v>-0.4115026923892402</v>
      </c>
      <c r="U95" s="1">
        <f t="shared" si="140"/>
        <v>-0.12081692854416216</v>
      </c>
      <c r="V95" s="197">
        <f t="shared" si="141"/>
        <v>0</v>
      </c>
      <c r="W95" s="197">
        <f t="shared" si="142"/>
        <v>-12.660783978318861</v>
      </c>
      <c r="X95" s="118">
        <f t="shared" si="143"/>
        <v>1.8868169288638155E-8</v>
      </c>
      <c r="Y95" s="1">
        <f t="shared" si="144"/>
        <v>2.9302835917149346</v>
      </c>
      <c r="Z95" s="1">
        <f t="shared" si="145"/>
        <v>-5.2857869641722353</v>
      </c>
      <c r="AA95" s="1">
        <f t="shared" si="146"/>
        <v>4.2263569593402835E-2</v>
      </c>
      <c r="AB95" s="1">
        <f t="shared" si="147"/>
        <v>-6.8002277134239675E-2</v>
      </c>
      <c r="AC95" s="197">
        <f t="shared" si="148"/>
        <v>0</v>
      </c>
      <c r="AD95" s="197">
        <f t="shared" si="149"/>
        <v>2.904544884174098</v>
      </c>
      <c r="AE95" s="96">
        <f t="shared" si="150"/>
        <v>802.68451373363325</v>
      </c>
      <c r="AF95" s="98">
        <f t="shared" si="151"/>
        <v>1.5145187290494391E-5</v>
      </c>
      <c r="AG95" s="291">
        <v>11</v>
      </c>
      <c r="AH95" s="8"/>
      <c r="AI95" s="162">
        <v>2.0000000000000002E-5</v>
      </c>
      <c r="AJ95" s="167">
        <f t="shared" si="152"/>
        <v>4.1974567950475761</v>
      </c>
      <c r="AK95" s="168">
        <f t="shared" si="153"/>
        <v>3.7993518400833526E-3</v>
      </c>
      <c r="AL95" s="151">
        <f t="shared" si="154"/>
        <v>2.6206344787106546</v>
      </c>
      <c r="AM95" s="177">
        <f t="shared" si="155"/>
        <v>209872.83975237879</v>
      </c>
      <c r="AN95" s="134">
        <f t="shared" si="156"/>
        <v>5.3219562389212101</v>
      </c>
      <c r="AO95" s="119">
        <f t="shared" si="157"/>
        <v>0.34591194968553457</v>
      </c>
      <c r="AP95">
        <f t="shared" si="158"/>
        <v>59</v>
      </c>
      <c r="AQ95" s="124">
        <f t="shared" ref="AQ95" si="183">(AP95-0.5)/MAX(AP$51:AP$117)</f>
        <v>0.97499999999999998</v>
      </c>
      <c r="AR95" s="124"/>
      <c r="AS95" s="124"/>
      <c r="AT95" s="14">
        <f t="shared" si="160"/>
        <v>1</v>
      </c>
      <c r="AZ95" s="83"/>
      <c r="BA95" s="83"/>
      <c r="BB95" s="83"/>
      <c r="BC95" s="83"/>
      <c r="BD95" s="83"/>
      <c r="BE95" s="8">
        <f t="shared" si="161"/>
        <v>0.38004852123474225</v>
      </c>
      <c r="BF95" s="16">
        <f t="shared" si="162"/>
        <v>11.044528686522524</v>
      </c>
      <c r="BG95" s="16"/>
      <c r="BH95" s="189"/>
      <c r="BI95" s="6">
        <f t="shared" si="163"/>
        <v>3.4400307590487273E-4</v>
      </c>
      <c r="BJ95" s="151">
        <f t="shared" si="164"/>
        <v>28.943672677009832</v>
      </c>
      <c r="BK95" s="177">
        <f t="shared" si="165"/>
        <v>19002.426061737111</v>
      </c>
      <c r="BL95" s="134">
        <f t="shared" si="166"/>
        <v>4.2788090513719625</v>
      </c>
      <c r="BM95" s="119">
        <f t="shared" si="167"/>
        <v>0.34591194968553457</v>
      </c>
      <c r="BN95">
        <f t="shared" si="168"/>
        <v>59</v>
      </c>
      <c r="BO95" s="124">
        <f t="shared" si="169"/>
        <v>0.97499999999999998</v>
      </c>
      <c r="BP95" s="124"/>
      <c r="BQ95" s="124"/>
      <c r="BR95" s="14">
        <f t="shared" si="170"/>
        <v>1</v>
      </c>
      <c r="BX95" s="83"/>
      <c r="BY95" s="83"/>
      <c r="BZ95" s="83"/>
      <c r="CA95" s="83"/>
      <c r="CB95" s="83"/>
      <c r="CC95" s="151"/>
      <c r="CD95" s="177">
        <f t="shared" si="171"/>
        <v>550000</v>
      </c>
      <c r="CE95" s="134">
        <f t="shared" si="172"/>
        <v>5.7403626894942441</v>
      </c>
      <c r="CF95" s="119">
        <f t="shared" si="173"/>
        <v>0.34591194968553457</v>
      </c>
      <c r="CG95">
        <f t="shared" si="174"/>
        <v>59</v>
      </c>
      <c r="CH95" s="124">
        <f t="shared" si="175"/>
        <v>0.97499999999999998</v>
      </c>
      <c r="CI95" s="124"/>
      <c r="CJ95" s="124"/>
      <c r="CK95" s="14">
        <f t="shared" si="176"/>
        <v>3</v>
      </c>
      <c r="CL95" s="16"/>
      <c r="DN95" s="191">
        <f t="shared" si="177"/>
        <v>5.2326418487050966E-7</v>
      </c>
      <c r="DO95" s="97"/>
      <c r="EA95" s="17">
        <f t="shared" si="178"/>
        <v>157.14285714285714</v>
      </c>
      <c r="EB95" s="16">
        <f t="shared" si="179"/>
        <v>0.2</v>
      </c>
      <c r="EC95" s="16"/>
    </row>
    <row r="96" spans="1:133" x14ac:dyDescent="0.2">
      <c r="A96" s="8"/>
      <c r="B96" t="s">
        <v>149</v>
      </c>
      <c r="C96">
        <v>6</v>
      </c>
      <c r="D96" t="s">
        <v>133</v>
      </c>
      <c r="F96" s="9"/>
      <c r="G96" t="s">
        <v>111</v>
      </c>
      <c r="H96" s="1">
        <v>12</v>
      </c>
      <c r="I96" s="8">
        <v>310</v>
      </c>
      <c r="J96" t="s">
        <v>35</v>
      </c>
      <c r="K96" s="9">
        <v>0</v>
      </c>
      <c r="L96" s="1">
        <v>1E-4</v>
      </c>
      <c r="M96" s="6">
        <v>7.0000000000000007E-2</v>
      </c>
      <c r="N96" s="1">
        <v>128.19</v>
      </c>
      <c r="O96" s="18">
        <f>VLOOKUP(I96,[1]CompDbase!$B:$K,9,FALSE)</f>
        <v>31.8</v>
      </c>
      <c r="P96" s="30">
        <v>3.3</v>
      </c>
      <c r="R96" s="1">
        <f t="shared" si="137"/>
        <v>-12.128464357385459</v>
      </c>
      <c r="S96" s="1">
        <f t="shared" si="138"/>
        <v>51.465495888741714</v>
      </c>
      <c r="T96" s="1">
        <f t="shared" si="139"/>
        <v>-0.4115026923892402</v>
      </c>
      <c r="U96" s="1">
        <f t="shared" si="140"/>
        <v>-0.21697734105890346</v>
      </c>
      <c r="V96" s="197">
        <f t="shared" si="141"/>
        <v>0</v>
      </c>
      <c r="W96" s="197">
        <f t="shared" si="142"/>
        <v>-12.756944390833603</v>
      </c>
      <c r="X96" s="118">
        <f t="shared" si="143"/>
        <v>1.5120611381995953E-8</v>
      </c>
      <c r="Y96" s="1">
        <f t="shared" si="144"/>
        <v>2.9302835917149346</v>
      </c>
      <c r="Z96" s="1">
        <f t="shared" si="145"/>
        <v>-5.2857869641722353</v>
      </c>
      <c r="AA96" s="1">
        <f t="shared" si="146"/>
        <v>4.2263569593402835E-2</v>
      </c>
      <c r="AB96" s="1">
        <f t="shared" si="147"/>
        <v>-8.07527040969096E-2</v>
      </c>
      <c r="AC96" s="197">
        <f t="shared" si="148"/>
        <v>0</v>
      </c>
      <c r="AD96" s="197">
        <f t="shared" si="149"/>
        <v>2.8917944572114278</v>
      </c>
      <c r="AE96" s="96">
        <f t="shared" si="150"/>
        <v>779.46112003972962</v>
      </c>
      <c r="AF96" s="98">
        <f t="shared" si="151"/>
        <v>1.1785928683496049E-5</v>
      </c>
      <c r="AG96" s="291">
        <v>7.1000000000000005</v>
      </c>
      <c r="AH96" s="8"/>
      <c r="AI96" s="162">
        <v>2.0000000000000002E-5</v>
      </c>
      <c r="AJ96" s="167">
        <f t="shared" si="152"/>
        <v>2.1083419917566628</v>
      </c>
      <c r="AK96" s="168">
        <f t="shared" si="153"/>
        <v>1.9083777194220969E-3</v>
      </c>
      <c r="AL96" s="151">
        <f t="shared" si="154"/>
        <v>3.3675751029766792</v>
      </c>
      <c r="AM96" s="177">
        <f t="shared" si="155"/>
        <v>105417.09958783313</v>
      </c>
      <c r="AN96" s="134">
        <f t="shared" si="156"/>
        <v>5.0229110630046483</v>
      </c>
      <c r="AO96" s="119">
        <f t="shared" si="157"/>
        <v>0.22327044025157233</v>
      </c>
      <c r="AP96">
        <f t="shared" si="158"/>
        <v>57</v>
      </c>
      <c r="AQ96" s="124">
        <f t="shared" ref="AQ96" si="184">(AP96-0.5)/MAX(AP$51:AP$117)</f>
        <v>0.94166666666666665</v>
      </c>
      <c r="AR96" s="124"/>
      <c r="AS96" s="124"/>
      <c r="AT96" s="14">
        <f t="shared" si="160"/>
        <v>1</v>
      </c>
      <c r="AZ96" s="83"/>
      <c r="BA96" s="83"/>
      <c r="BB96" s="83"/>
      <c r="BC96" s="83"/>
      <c r="BD96" s="83"/>
      <c r="BE96" s="8">
        <f t="shared" si="161"/>
        <v>0.21162740594323168</v>
      </c>
      <c r="BF96" s="16">
        <f t="shared" si="162"/>
        <v>9.9625187123553296</v>
      </c>
      <c r="BG96" s="16"/>
      <c r="BH96" s="189"/>
      <c r="BI96" s="6">
        <f t="shared" si="163"/>
        <v>1.9155574754959936E-4</v>
      </c>
      <c r="BJ96" s="151">
        <f t="shared" si="164"/>
        <v>33.549529978667088</v>
      </c>
      <c r="BK96" s="177">
        <f t="shared" si="165"/>
        <v>10581.370297161582</v>
      </c>
      <c r="BL96" s="134">
        <f t="shared" si="166"/>
        <v>4.024541912875006</v>
      </c>
      <c r="BM96" s="119">
        <f t="shared" si="167"/>
        <v>0.22327044025157233</v>
      </c>
      <c r="BN96">
        <f t="shared" si="168"/>
        <v>57</v>
      </c>
      <c r="BO96" s="124">
        <f t="shared" si="169"/>
        <v>0.94166666666666665</v>
      </c>
      <c r="BP96" s="124"/>
      <c r="BQ96" s="124"/>
      <c r="BR96" s="14">
        <f t="shared" si="170"/>
        <v>1</v>
      </c>
      <c r="BX96" s="83"/>
      <c r="BY96" s="83"/>
      <c r="BZ96" s="83"/>
      <c r="CA96" s="83"/>
      <c r="CB96" s="83"/>
      <c r="CC96" s="151"/>
      <c r="CD96" s="177">
        <f t="shared" si="171"/>
        <v>355000</v>
      </c>
      <c r="CE96" s="134">
        <f t="shared" si="172"/>
        <v>5.5502283530550942</v>
      </c>
      <c r="CF96" s="119">
        <f t="shared" si="173"/>
        <v>0.22327044025157233</v>
      </c>
      <c r="CG96">
        <f t="shared" si="174"/>
        <v>57</v>
      </c>
      <c r="CH96" s="124">
        <f t="shared" si="175"/>
        <v>0.94166666666666665</v>
      </c>
      <c r="CI96" s="124"/>
      <c r="CJ96" s="124"/>
      <c r="CK96" s="14">
        <f t="shared" si="176"/>
        <v>3</v>
      </c>
      <c r="CL96" s="16"/>
      <c r="DN96" s="191">
        <f t="shared" si="177"/>
        <v>3.5129936815777409E-7</v>
      </c>
      <c r="DO96" s="97"/>
      <c r="EA96" s="17">
        <f t="shared" si="178"/>
        <v>101.42857142857143</v>
      </c>
      <c r="EB96" s="16">
        <f t="shared" si="179"/>
        <v>0.2</v>
      </c>
      <c r="EC96" s="16"/>
    </row>
    <row r="97" spans="1:133" x14ac:dyDescent="0.2">
      <c r="A97" s="8"/>
      <c r="B97" t="s">
        <v>149</v>
      </c>
      <c r="C97">
        <v>7</v>
      </c>
      <c r="D97" t="s">
        <v>132</v>
      </c>
      <c r="F97" s="9"/>
      <c r="G97" t="s">
        <v>111</v>
      </c>
      <c r="H97" s="1">
        <v>12</v>
      </c>
      <c r="I97" s="8">
        <v>310</v>
      </c>
      <c r="J97" t="s">
        <v>35</v>
      </c>
      <c r="K97" s="9">
        <v>0</v>
      </c>
      <c r="L97" s="1">
        <v>1E-4</v>
      </c>
      <c r="M97" s="6">
        <v>7.0000000000000007E-2</v>
      </c>
      <c r="N97" s="1">
        <v>128.19</v>
      </c>
      <c r="O97" s="18">
        <f>VLOOKUP(I97,[1]CompDbase!$B:$K,9,FALSE)</f>
        <v>31.8</v>
      </c>
      <c r="P97" s="30">
        <v>3.3</v>
      </c>
      <c r="R97" s="1">
        <f t="shared" si="137"/>
        <v>-12.128464357385459</v>
      </c>
      <c r="S97" s="1">
        <f t="shared" si="138"/>
        <v>51.465495888741714</v>
      </c>
      <c r="T97" s="1">
        <f t="shared" si="139"/>
        <v>-0.4115026923892402</v>
      </c>
      <c r="U97" s="1">
        <f t="shared" si="140"/>
        <v>-0.33039731479423934</v>
      </c>
      <c r="V97" s="197">
        <f t="shared" si="141"/>
        <v>0</v>
      </c>
      <c r="W97" s="197">
        <f t="shared" si="142"/>
        <v>-12.870364364568939</v>
      </c>
      <c r="X97" s="118">
        <f t="shared" si="143"/>
        <v>1.1645265056538696E-8</v>
      </c>
      <c r="Y97" s="1">
        <f t="shared" si="144"/>
        <v>2.9302835917149346</v>
      </c>
      <c r="Z97" s="1">
        <f t="shared" si="145"/>
        <v>-5.2857869641722353</v>
      </c>
      <c r="AA97" s="1">
        <f t="shared" si="146"/>
        <v>4.2263569593402835E-2</v>
      </c>
      <c r="AB97" s="1">
        <f t="shared" si="147"/>
        <v>-9.5791669232366455E-2</v>
      </c>
      <c r="AC97" s="197">
        <f t="shared" si="148"/>
        <v>0</v>
      </c>
      <c r="AD97" s="197">
        <f t="shared" si="149"/>
        <v>2.8767554920759708</v>
      </c>
      <c r="AE97" s="96">
        <f t="shared" si="150"/>
        <v>752.93154369748868</v>
      </c>
      <c r="AF97" s="98">
        <f t="shared" si="151"/>
        <v>8.7680873957861034E-6</v>
      </c>
      <c r="AG97" s="291">
        <v>2.5</v>
      </c>
      <c r="AH97" s="8"/>
      <c r="AI97" s="162">
        <v>2.0000000000000002E-5</v>
      </c>
      <c r="AJ97" s="167">
        <f t="shared" si="152"/>
        <v>0.55228567622739377</v>
      </c>
      <c r="AK97" s="168">
        <f t="shared" si="153"/>
        <v>4.9990451425300348E-4</v>
      </c>
      <c r="AL97" s="151">
        <f t="shared" si="154"/>
        <v>4.5266428365067171</v>
      </c>
      <c r="AM97" s="177">
        <f t="shared" si="155"/>
        <v>27614.283811369685</v>
      </c>
      <c r="AN97" s="134">
        <f t="shared" si="156"/>
        <v>4.4411337840868175</v>
      </c>
      <c r="AO97" s="119">
        <f t="shared" si="157"/>
        <v>7.8616352201257858E-2</v>
      </c>
      <c r="AP97">
        <f t="shared" si="158"/>
        <v>55</v>
      </c>
      <c r="AQ97" s="124">
        <f t="shared" ref="AQ97" si="185">(AP97-0.5)/MAX(AP$51:AP$117)</f>
        <v>0.90833333333333333</v>
      </c>
      <c r="AR97" s="124"/>
      <c r="AS97" s="124"/>
      <c r="AT97" s="14">
        <f t="shared" si="160"/>
        <v>1</v>
      </c>
      <c r="AZ97" s="83"/>
      <c r="BA97" s="83"/>
      <c r="BB97" s="83"/>
      <c r="BC97" s="83"/>
      <c r="BD97" s="83"/>
      <c r="BE97" s="8">
        <f t="shared" si="161"/>
        <v>6.2605105346962758E-2</v>
      </c>
      <c r="BF97" s="16">
        <f t="shared" si="162"/>
        <v>8.8217354346195886</v>
      </c>
      <c r="BG97" s="16"/>
      <c r="BH97" s="189"/>
      <c r="BI97" s="6">
        <f t="shared" si="163"/>
        <v>5.6667366410831423E-5</v>
      </c>
      <c r="BJ97" s="151">
        <f t="shared" si="164"/>
        <v>39.932845510678241</v>
      </c>
      <c r="BK97" s="177">
        <f t="shared" si="165"/>
        <v>3130.2552673481377</v>
      </c>
      <c r="BL97" s="134">
        <f t="shared" si="166"/>
        <v>3.4955797550161947</v>
      </c>
      <c r="BM97" s="119">
        <f t="shared" si="167"/>
        <v>7.8616352201257858E-2</v>
      </c>
      <c r="BN97">
        <f t="shared" si="168"/>
        <v>55</v>
      </c>
      <c r="BO97" s="124">
        <f t="shared" si="169"/>
        <v>0.90833333333333333</v>
      </c>
      <c r="BP97" s="124"/>
      <c r="BQ97" s="124"/>
      <c r="BR97" s="14">
        <f t="shared" si="170"/>
        <v>1</v>
      </c>
      <c r="BX97" s="83"/>
      <c r="BY97" s="83"/>
      <c r="BZ97" s="83"/>
      <c r="CA97" s="83"/>
      <c r="CB97" s="83"/>
      <c r="CC97" s="151"/>
      <c r="CD97" s="177">
        <f t="shared" si="171"/>
        <v>124999.99999999999</v>
      </c>
      <c r="CE97" s="134">
        <f t="shared" si="172"/>
        <v>5.0969100130080562</v>
      </c>
      <c r="CF97" s="119">
        <f t="shared" si="173"/>
        <v>7.8616352201257858E-2</v>
      </c>
      <c r="CG97">
        <f t="shared" si="174"/>
        <v>51</v>
      </c>
      <c r="CH97" s="124">
        <f t="shared" si="175"/>
        <v>0.84166666666666667</v>
      </c>
      <c r="CI97" s="124"/>
      <c r="CJ97" s="124"/>
      <c r="CK97" s="14">
        <f t="shared" si="176"/>
        <v>3</v>
      </c>
      <c r="CL97" s="16"/>
      <c r="DN97" s="191">
        <f t="shared" si="177"/>
        <v>2.1957081404182613E-7</v>
      </c>
      <c r="DO97" s="97"/>
      <c r="EA97" s="17">
        <f t="shared" si="178"/>
        <v>35.714285714285708</v>
      </c>
      <c r="EB97" s="16">
        <f t="shared" si="179"/>
        <v>0.2</v>
      </c>
      <c r="EC97" s="16"/>
    </row>
    <row r="98" spans="1:133" x14ac:dyDescent="0.2">
      <c r="A98" s="8"/>
      <c r="B98" t="s">
        <v>149</v>
      </c>
      <c r="C98">
        <v>8</v>
      </c>
      <c r="D98" t="s">
        <v>131</v>
      </c>
      <c r="F98" s="9"/>
      <c r="G98" t="s">
        <v>111</v>
      </c>
      <c r="H98" s="1">
        <v>12</v>
      </c>
      <c r="I98" s="8">
        <v>310</v>
      </c>
      <c r="J98" t="s">
        <v>35</v>
      </c>
      <c r="K98" s="9">
        <v>0</v>
      </c>
      <c r="L98" s="1">
        <v>1E-4</v>
      </c>
      <c r="M98" s="6">
        <v>7.0000000000000007E-2</v>
      </c>
      <c r="N98" s="1">
        <v>128.19</v>
      </c>
      <c r="O98" s="18">
        <f>VLOOKUP(I98,[1]CompDbase!$B:$K,9,FALSE)</f>
        <v>31.8</v>
      </c>
      <c r="P98" s="30">
        <v>3.3</v>
      </c>
      <c r="R98" s="1">
        <f t="shared" si="137"/>
        <v>-12.128464357385459</v>
      </c>
      <c r="S98" s="1">
        <f t="shared" si="138"/>
        <v>51.465495888741714</v>
      </c>
      <c r="T98" s="1">
        <f t="shared" si="139"/>
        <v>-0.4115026923892402</v>
      </c>
      <c r="U98" s="1">
        <f t="shared" si="140"/>
        <v>-0.36245078563248645</v>
      </c>
      <c r="V98" s="197">
        <f t="shared" si="141"/>
        <v>0</v>
      </c>
      <c r="W98" s="197">
        <f t="shared" si="142"/>
        <v>-12.902417835407185</v>
      </c>
      <c r="X98" s="118">
        <f t="shared" si="143"/>
        <v>1.08167279526402E-8</v>
      </c>
      <c r="Y98" s="1">
        <f t="shared" si="144"/>
        <v>2.9302835917149346</v>
      </c>
      <c r="Z98" s="1">
        <f t="shared" si="145"/>
        <v>-5.2857869641722353</v>
      </c>
      <c r="AA98" s="1">
        <f t="shared" si="146"/>
        <v>4.2263569593402835E-2</v>
      </c>
      <c r="AB98" s="1">
        <f t="shared" si="147"/>
        <v>-0.10004181155325642</v>
      </c>
      <c r="AC98" s="197">
        <f t="shared" si="148"/>
        <v>0</v>
      </c>
      <c r="AD98" s="197">
        <f t="shared" si="149"/>
        <v>2.8725053497550812</v>
      </c>
      <c r="AE98" s="96">
        <f t="shared" si="150"/>
        <v>745.59905645894537</v>
      </c>
      <c r="AF98" s="98">
        <f t="shared" si="151"/>
        <v>8.0649421554616332E-6</v>
      </c>
      <c r="AG98" s="291">
        <v>1.2</v>
      </c>
      <c r="AH98" s="8"/>
      <c r="AI98" s="162">
        <v>2.0000000000000002E-5</v>
      </c>
      <c r="AJ98" s="167">
        <f t="shared" si="152"/>
        <v>0.24383800923542345</v>
      </c>
      <c r="AK98" s="168">
        <f t="shared" si="153"/>
        <v>2.2071135792604797E-4</v>
      </c>
      <c r="AL98" s="151">
        <f t="shared" si="154"/>
        <v>4.921300021119392</v>
      </c>
      <c r="AM98" s="177">
        <f t="shared" si="155"/>
        <v>12191.900461771173</v>
      </c>
      <c r="AN98" s="134">
        <f t="shared" si="156"/>
        <v>4.086071408303269</v>
      </c>
      <c r="AO98" s="119">
        <f t="shared" si="157"/>
        <v>3.7735849056603772E-2</v>
      </c>
      <c r="AP98">
        <f t="shared" si="158"/>
        <v>53</v>
      </c>
      <c r="AQ98" s="124">
        <f t="shared" ref="AQ98" si="186">(AP98-0.5)/MAX(AP$51:AP$117)</f>
        <v>0.875</v>
      </c>
      <c r="AR98" s="124"/>
      <c r="AS98" s="124"/>
      <c r="AT98" s="14">
        <f t="shared" si="160"/>
        <v>1</v>
      </c>
      <c r="AZ98" s="83"/>
      <c r="BA98" s="83"/>
      <c r="BB98" s="83"/>
      <c r="BC98" s="83"/>
      <c r="BD98" s="83"/>
      <c r="BE98" s="8">
        <f t="shared" si="161"/>
        <v>2.8607070572910304E-2</v>
      </c>
      <c r="BF98" s="16">
        <f t="shared" si="162"/>
        <v>8.5236972661691492</v>
      </c>
      <c r="BG98" s="16"/>
      <c r="BH98" s="189"/>
      <c r="BI98" s="6">
        <f t="shared" si="163"/>
        <v>2.5893852284273285E-5</v>
      </c>
      <c r="BJ98" s="151">
        <f t="shared" si="164"/>
        <v>41.947671536013537</v>
      </c>
      <c r="BK98" s="177">
        <f t="shared" si="165"/>
        <v>1430.3535286455151</v>
      </c>
      <c r="BL98" s="134">
        <f t="shared" si="166"/>
        <v>3.1554433917058478</v>
      </c>
      <c r="BM98" s="119">
        <f t="shared" si="167"/>
        <v>3.7735849056603772E-2</v>
      </c>
      <c r="BN98">
        <f t="shared" si="168"/>
        <v>50</v>
      </c>
      <c r="BO98" s="124">
        <f t="shared" si="169"/>
        <v>0.82499999999999996</v>
      </c>
      <c r="BP98" s="124"/>
      <c r="BQ98" s="124"/>
      <c r="BR98" s="14">
        <f t="shared" si="170"/>
        <v>1</v>
      </c>
      <c r="BX98" s="83"/>
      <c r="BY98" s="83"/>
      <c r="BZ98" s="83"/>
      <c r="CA98" s="83"/>
      <c r="CB98" s="83"/>
      <c r="CC98" s="151"/>
      <c r="CD98" s="177">
        <f t="shared" si="171"/>
        <v>59999.999999999993</v>
      </c>
      <c r="CE98" s="134">
        <f t="shared" si="172"/>
        <v>4.7781512503836439</v>
      </c>
      <c r="CF98" s="119">
        <f t="shared" si="173"/>
        <v>3.7735849056603772E-2</v>
      </c>
      <c r="CG98">
        <f t="shared" si="174"/>
        <v>48</v>
      </c>
      <c r="CH98" s="124">
        <f t="shared" si="175"/>
        <v>0.79166666666666663</v>
      </c>
      <c r="CI98" s="124"/>
      <c r="CJ98" s="124"/>
      <c r="CK98" s="14">
        <f t="shared" si="176"/>
        <v>3</v>
      </c>
      <c r="CL98" s="16"/>
      <c r="DN98" s="191">
        <f t="shared" si="177"/>
        <v>1.9226197450644189E-7</v>
      </c>
      <c r="DO98" s="97"/>
      <c r="EA98" s="17">
        <f t="shared" si="178"/>
        <v>17.142857142857142</v>
      </c>
      <c r="EB98" s="16">
        <f t="shared" si="179"/>
        <v>0.2</v>
      </c>
      <c r="EC98" s="16"/>
    </row>
    <row r="99" spans="1:133" x14ac:dyDescent="0.2">
      <c r="A99" s="8"/>
      <c r="B99" t="s">
        <v>149</v>
      </c>
      <c r="C99">
        <v>11</v>
      </c>
      <c r="D99" t="s">
        <v>119</v>
      </c>
      <c r="F99" s="9"/>
      <c r="G99" t="s">
        <v>111</v>
      </c>
      <c r="H99" s="1">
        <v>12</v>
      </c>
      <c r="I99" s="8">
        <v>310</v>
      </c>
      <c r="J99" t="s">
        <v>35</v>
      </c>
      <c r="K99" s="9">
        <v>0</v>
      </c>
      <c r="L99" s="1">
        <v>1E-4</v>
      </c>
      <c r="M99" s="6">
        <v>7.0000000000000007E-2</v>
      </c>
      <c r="N99" s="1">
        <v>128.19</v>
      </c>
      <c r="O99" s="18">
        <f>VLOOKUP(I99,[1]CompDbase!$B:$K,9,FALSE)</f>
        <v>31.8</v>
      </c>
      <c r="P99" s="30">
        <v>3.3</v>
      </c>
      <c r="R99" s="1">
        <f t="shared" si="137"/>
        <v>-12.128464357385459</v>
      </c>
      <c r="S99" s="1">
        <f t="shared" si="138"/>
        <v>51.465495888741714</v>
      </c>
      <c r="T99" s="1">
        <f t="shared" si="139"/>
        <v>-0.4115026923892402</v>
      </c>
      <c r="U99" s="1">
        <f t="shared" si="140"/>
        <v>-0.38291569393690578</v>
      </c>
      <c r="V99" s="197">
        <f t="shared" si="141"/>
        <v>0</v>
      </c>
      <c r="W99" s="197">
        <f t="shared" si="142"/>
        <v>-12.922882743711604</v>
      </c>
      <c r="X99" s="118">
        <f t="shared" si="143"/>
        <v>1.0318842857527458E-8</v>
      </c>
      <c r="Y99" s="1">
        <f t="shared" si="144"/>
        <v>2.9302835917149346</v>
      </c>
      <c r="Z99" s="1">
        <f t="shared" si="145"/>
        <v>-5.2857869641722353</v>
      </c>
      <c r="AA99" s="1">
        <f t="shared" si="146"/>
        <v>4.2263569593402835E-2</v>
      </c>
      <c r="AB99" s="1">
        <f t="shared" si="147"/>
        <v>-0.10275536395813233</v>
      </c>
      <c r="AC99" s="197">
        <f t="shared" si="148"/>
        <v>0</v>
      </c>
      <c r="AD99" s="197">
        <f t="shared" si="149"/>
        <v>2.8697917973502052</v>
      </c>
      <c r="AE99" s="96">
        <f t="shared" si="150"/>
        <v>740.95493914395297</v>
      </c>
      <c r="AF99" s="98">
        <f t="shared" si="151"/>
        <v>7.6457975815352716E-6</v>
      </c>
      <c r="AG99" s="291">
        <v>0.37</v>
      </c>
      <c r="AH99" s="8"/>
      <c r="AI99" s="162">
        <v>2.0000000000000002E-5</v>
      </c>
      <c r="AJ99" s="167">
        <f t="shared" si="152"/>
        <v>7.1276016759084168E-2</v>
      </c>
      <c r="AK99" s="168">
        <f t="shared" si="153"/>
        <v>6.4515891085990059E-5</v>
      </c>
      <c r="AL99" s="151">
        <f t="shared" si="154"/>
        <v>5.1910869437417499</v>
      </c>
      <c r="AM99" s="177">
        <f t="shared" si="155"/>
        <v>3563.800837954208</v>
      </c>
      <c r="AN99" s="134">
        <f t="shared" si="156"/>
        <v>3.551913425613344</v>
      </c>
      <c r="AO99" s="119">
        <f t="shared" si="157"/>
        <v>1.1635220125786163E-2</v>
      </c>
      <c r="AP99">
        <f t="shared" si="158"/>
        <v>45</v>
      </c>
      <c r="AQ99" s="124">
        <f t="shared" ref="AQ99" si="187">(AP99-0.5)/MAX(AP$51:AP$117)</f>
        <v>0.7416666666666667</v>
      </c>
      <c r="AR99" s="124"/>
      <c r="AS99" s="124"/>
      <c r="AT99" s="14">
        <f t="shared" si="160"/>
        <v>1</v>
      </c>
      <c r="AZ99" s="83"/>
      <c r="BA99" s="83"/>
      <c r="BB99" s="83"/>
      <c r="BC99" s="83"/>
      <c r="BD99" s="83"/>
      <c r="BE99" s="8">
        <f t="shared" si="161"/>
        <v>8.5476176971888227E-3</v>
      </c>
      <c r="BF99" s="16">
        <f t="shared" si="162"/>
        <v>8.3386996569261278</v>
      </c>
      <c r="BG99" s="16"/>
      <c r="BH99" s="189"/>
      <c r="BI99" s="6">
        <f t="shared" si="163"/>
        <v>7.7369246693521463E-6</v>
      </c>
      <c r="BJ99" s="151">
        <f t="shared" si="164"/>
        <v>43.286914916853057</v>
      </c>
      <c r="BK99" s="177">
        <f t="shared" si="165"/>
        <v>427.3808848594411</v>
      </c>
      <c r="BL99" s="134">
        <f t="shared" si="166"/>
        <v>2.6308150939026587</v>
      </c>
      <c r="BM99" s="119">
        <f t="shared" si="167"/>
        <v>1.1635220125786163E-2</v>
      </c>
      <c r="BN99">
        <f t="shared" si="168"/>
        <v>38</v>
      </c>
      <c r="BO99" s="124">
        <f t="shared" si="169"/>
        <v>0.625</v>
      </c>
      <c r="BP99" s="124"/>
      <c r="BQ99" s="124"/>
      <c r="BR99" s="14">
        <f t="shared" si="170"/>
        <v>1</v>
      </c>
      <c r="BX99" s="83"/>
      <c r="BY99" s="83"/>
      <c r="BZ99" s="83"/>
      <c r="CA99" s="83"/>
      <c r="CB99" s="83"/>
      <c r="CC99" s="151"/>
      <c r="CD99" s="177">
        <f t="shared" si="171"/>
        <v>18500</v>
      </c>
      <c r="CE99" s="134">
        <f t="shared" si="172"/>
        <v>4.2671717284030137</v>
      </c>
      <c r="CF99" s="119">
        <f t="shared" si="173"/>
        <v>1.1635220125786163E-2</v>
      </c>
      <c r="CG99">
        <f t="shared" si="174"/>
        <v>36</v>
      </c>
      <c r="CH99" s="124">
        <f t="shared" si="175"/>
        <v>0.59166666666666667</v>
      </c>
      <c r="CI99" s="124"/>
      <c r="CJ99" s="124"/>
      <c r="CK99" s="14">
        <f t="shared" si="176"/>
        <v>3</v>
      </c>
      <c r="CL99" s="16"/>
      <c r="DN99" s="191">
        <f t="shared" si="177"/>
        <v>1.7663068842447131E-7</v>
      </c>
      <c r="DO99" s="97"/>
      <c r="EA99" s="17">
        <f t="shared" si="178"/>
        <v>5.2857142857142856</v>
      </c>
      <c r="EB99" s="16">
        <f t="shared" si="179"/>
        <v>0.2</v>
      </c>
      <c r="EC99" s="16"/>
    </row>
    <row r="100" spans="1:133" x14ac:dyDescent="0.2">
      <c r="A100" s="8"/>
      <c r="B100" t="s">
        <v>149</v>
      </c>
      <c r="C100">
        <v>13</v>
      </c>
      <c r="D100" t="s">
        <v>131</v>
      </c>
      <c r="F100" s="9"/>
      <c r="G100" t="s">
        <v>111</v>
      </c>
      <c r="H100" s="1">
        <v>12</v>
      </c>
      <c r="I100" s="8">
        <v>310</v>
      </c>
      <c r="J100" t="s">
        <v>35</v>
      </c>
      <c r="K100" s="9">
        <v>0</v>
      </c>
      <c r="L100" s="1">
        <v>1E-4</v>
      </c>
      <c r="M100" s="6">
        <v>7.0000000000000007E-2</v>
      </c>
      <c r="N100" s="1">
        <v>128.19</v>
      </c>
      <c r="O100" s="18">
        <f>VLOOKUP(I100,[1]CompDbase!$B:$K,9,FALSE)</f>
        <v>31.8</v>
      </c>
      <c r="P100" s="30">
        <v>3.3</v>
      </c>
      <c r="R100" s="1">
        <f t="shared" si="137"/>
        <v>-12.128464357385459</v>
      </c>
      <c r="S100" s="1">
        <f t="shared" si="138"/>
        <v>51.465495888741714</v>
      </c>
      <c r="T100" s="1">
        <f t="shared" si="139"/>
        <v>-0.4115026923892402</v>
      </c>
      <c r="U100" s="1">
        <f t="shared" si="140"/>
        <v>-0.38735386682220152</v>
      </c>
      <c r="V100" s="197">
        <f t="shared" si="141"/>
        <v>0</v>
      </c>
      <c r="W100" s="197">
        <f t="shared" si="142"/>
        <v>-12.9273209165969</v>
      </c>
      <c r="X100" s="118">
        <f t="shared" si="143"/>
        <v>1.021392879443968E-8</v>
      </c>
      <c r="Y100" s="1">
        <f t="shared" si="144"/>
        <v>2.9302835917149346</v>
      </c>
      <c r="Z100" s="1">
        <f t="shared" si="145"/>
        <v>-5.2857869641722353</v>
      </c>
      <c r="AA100" s="1">
        <f t="shared" si="146"/>
        <v>4.2263569593402835E-2</v>
      </c>
      <c r="AB100" s="1">
        <f t="shared" si="147"/>
        <v>-0.10334384520256325</v>
      </c>
      <c r="AC100" s="197">
        <f t="shared" si="148"/>
        <v>0</v>
      </c>
      <c r="AD100" s="197">
        <f t="shared" si="149"/>
        <v>2.8692033161057742</v>
      </c>
      <c r="AE100" s="96">
        <f t="shared" si="150"/>
        <v>739.95160427725762</v>
      </c>
      <c r="AF100" s="98">
        <f t="shared" si="151"/>
        <v>7.5578129974193172E-6</v>
      </c>
      <c r="AG100" s="291">
        <v>0.19</v>
      </c>
      <c r="AH100" s="8"/>
      <c r="AI100" s="162">
        <v>2.0000000000000002E-5</v>
      </c>
      <c r="AJ100" s="167">
        <f t="shared" si="152"/>
        <v>3.6180006790367099E-2</v>
      </c>
      <c r="AK100" s="168">
        <f t="shared" si="153"/>
        <v>3.2748538480585214E-5</v>
      </c>
      <c r="AL100" s="151">
        <f t="shared" si="154"/>
        <v>5.2515191912729922</v>
      </c>
      <c r="AM100" s="177">
        <f t="shared" si="155"/>
        <v>1809.0003395183548</v>
      </c>
      <c r="AN100" s="134">
        <f t="shared" si="156"/>
        <v>3.2574386483694511</v>
      </c>
      <c r="AO100" s="119">
        <f t="shared" si="157"/>
        <v>5.974842767295597E-3</v>
      </c>
      <c r="AP100">
        <f t="shared" si="158"/>
        <v>40</v>
      </c>
      <c r="AQ100" s="124">
        <f t="shared" ref="AQ100" si="188">(AP100-0.5)/MAX(AP$51:AP$117)</f>
        <v>0.65833333333333333</v>
      </c>
      <c r="AR100" s="124"/>
      <c r="AS100" s="124"/>
      <c r="AT100" s="14">
        <f t="shared" si="160"/>
        <v>1</v>
      </c>
      <c r="AZ100" s="83"/>
      <c r="BA100" s="83"/>
      <c r="BB100" s="83"/>
      <c r="BC100" s="83"/>
      <c r="BD100" s="83"/>
      <c r="BE100" s="8">
        <f t="shared" si="161"/>
        <v>4.3595031015124276E-3</v>
      </c>
      <c r="BF100" s="16">
        <f t="shared" si="162"/>
        <v>8.2991125245020001</v>
      </c>
      <c r="BG100" s="16"/>
      <c r="BH100" s="189"/>
      <c r="BI100" s="6">
        <f t="shared" si="163"/>
        <v>3.9460289740498897E-6</v>
      </c>
      <c r="BJ100" s="151">
        <f t="shared" si="164"/>
        <v>43.5829486929563</v>
      </c>
      <c r="BK100" s="177">
        <f t="shared" si="165"/>
        <v>217.97515507562136</v>
      </c>
      <c r="BL100" s="134">
        <f t="shared" si="166"/>
        <v>2.3384069953089015</v>
      </c>
      <c r="BM100" s="119">
        <f t="shared" si="167"/>
        <v>5.974842767295597E-3</v>
      </c>
      <c r="BN100">
        <f t="shared" si="168"/>
        <v>33</v>
      </c>
      <c r="BO100" s="124">
        <f t="shared" si="169"/>
        <v>0.54166666666666663</v>
      </c>
      <c r="BP100" s="124"/>
      <c r="BQ100" s="124"/>
      <c r="BR100" s="14">
        <f t="shared" si="170"/>
        <v>1</v>
      </c>
      <c r="BX100" s="83"/>
      <c r="BY100" s="83"/>
      <c r="BZ100" s="83"/>
      <c r="CA100" s="83"/>
      <c r="CB100" s="83"/>
      <c r="CC100" s="151"/>
      <c r="CD100" s="177">
        <f t="shared" si="171"/>
        <v>9500</v>
      </c>
      <c r="CE100" s="134">
        <f t="shared" si="172"/>
        <v>3.9777236052888476</v>
      </c>
      <c r="CF100" s="119">
        <f t="shared" si="173"/>
        <v>5.974842767295597E-3</v>
      </c>
      <c r="CG100">
        <f t="shared" si="174"/>
        <v>30</v>
      </c>
      <c r="CH100" s="124">
        <f t="shared" si="175"/>
        <v>0.49166666666666664</v>
      </c>
      <c r="CI100" s="124"/>
      <c r="CJ100" s="124"/>
      <c r="CK100" s="14">
        <f t="shared" si="176"/>
        <v>3</v>
      </c>
      <c r="CL100" s="16"/>
      <c r="DN100" s="191">
        <f t="shared" si="177"/>
        <v>1.7341215369947607E-7</v>
      </c>
      <c r="DO100" s="97"/>
      <c r="EA100" s="17">
        <f t="shared" si="178"/>
        <v>2.714285714285714</v>
      </c>
      <c r="EB100" s="16">
        <f t="shared" si="179"/>
        <v>0.2</v>
      </c>
      <c r="EC100" s="16"/>
    </row>
    <row r="101" spans="1:133" x14ac:dyDescent="0.2">
      <c r="A101" s="8"/>
      <c r="B101" t="s">
        <v>149</v>
      </c>
      <c r="C101">
        <v>14</v>
      </c>
      <c r="D101" t="s">
        <v>131</v>
      </c>
      <c r="F101" s="9"/>
      <c r="G101" t="s">
        <v>111</v>
      </c>
      <c r="H101" s="1">
        <v>12</v>
      </c>
      <c r="I101" s="8">
        <v>310</v>
      </c>
      <c r="J101" t="s">
        <v>35</v>
      </c>
      <c r="K101" s="9">
        <v>0</v>
      </c>
      <c r="L101" s="1">
        <v>1E-4</v>
      </c>
      <c r="M101" s="6">
        <v>7.0000000000000007E-2</v>
      </c>
      <c r="N101" s="1">
        <v>128.19</v>
      </c>
      <c r="O101" s="18">
        <f>VLOOKUP(I101,[1]CompDbase!$B:$K,9,FALSE)</f>
        <v>31.8</v>
      </c>
      <c r="P101" s="30">
        <v>3.3</v>
      </c>
      <c r="R101" s="1">
        <f t="shared" si="137"/>
        <v>-12.128464357385459</v>
      </c>
      <c r="S101" s="1">
        <f t="shared" si="138"/>
        <v>51.465495888741714</v>
      </c>
      <c r="T101" s="1">
        <f t="shared" si="139"/>
        <v>-0.4115026923892402</v>
      </c>
      <c r="U101" s="1">
        <f t="shared" si="140"/>
        <v>-0.38760043198249572</v>
      </c>
      <c r="V101" s="197">
        <f t="shared" si="141"/>
        <v>0</v>
      </c>
      <c r="W101" s="197">
        <f t="shared" si="142"/>
        <v>-12.927567481757194</v>
      </c>
      <c r="X101" s="118">
        <f t="shared" si="143"/>
        <v>1.0208131612259968E-8</v>
      </c>
      <c r="Y101" s="1">
        <f t="shared" si="144"/>
        <v>2.9302835917149346</v>
      </c>
      <c r="Z101" s="1">
        <f t="shared" si="145"/>
        <v>-5.2857869641722353</v>
      </c>
      <c r="AA101" s="1">
        <f t="shared" si="146"/>
        <v>4.2263569593402835E-2</v>
      </c>
      <c r="AB101" s="1">
        <f t="shared" si="147"/>
        <v>-0.10337653860503164</v>
      </c>
      <c r="AC101" s="197">
        <f t="shared" si="148"/>
        <v>0</v>
      </c>
      <c r="AD101" s="197">
        <f t="shared" si="149"/>
        <v>2.8691706227033058</v>
      </c>
      <c r="AE101" s="96">
        <f t="shared" si="150"/>
        <v>739.89590330458736</v>
      </c>
      <c r="AF101" s="98">
        <f t="shared" si="151"/>
        <v>7.5529547603052026E-6</v>
      </c>
      <c r="AG101" s="291">
        <v>0.18</v>
      </c>
      <c r="AH101" s="8"/>
      <c r="AI101" s="162">
        <v>2.0000000000000002E-5</v>
      </c>
      <c r="AJ101" s="167">
        <f t="shared" si="152"/>
        <v>3.4253763085284356E-2</v>
      </c>
      <c r="AK101" s="168">
        <f t="shared" si="153"/>
        <v>3.1004988058817947E-5</v>
      </c>
      <c r="AL101" s="151">
        <f t="shared" si="154"/>
        <v>5.2548970912141675</v>
      </c>
      <c r="AM101" s="177">
        <f t="shared" si="155"/>
        <v>1712.6881542642177</v>
      </c>
      <c r="AN101" s="134">
        <f t="shared" si="156"/>
        <v>3.2336782939571651</v>
      </c>
      <c r="AO101" s="119">
        <f t="shared" si="157"/>
        <v>5.6603773584905656E-3</v>
      </c>
      <c r="AP101">
        <f t="shared" si="158"/>
        <v>39</v>
      </c>
      <c r="AQ101" s="124">
        <f t="shared" ref="AQ101" si="189">(AP101-0.5)/MAX(AP$51:AP$117)</f>
        <v>0.64166666666666672</v>
      </c>
      <c r="AR101" s="124"/>
      <c r="AS101" s="124"/>
      <c r="AT101" s="14">
        <f t="shared" si="160"/>
        <v>1</v>
      </c>
      <c r="AZ101" s="83"/>
      <c r="BA101" s="83"/>
      <c r="BB101" s="83"/>
      <c r="BC101" s="83"/>
      <c r="BD101" s="83"/>
      <c r="BE101" s="8">
        <f t="shared" si="161"/>
        <v>4.1284920443377393E-3</v>
      </c>
      <c r="BF101" s="16">
        <f t="shared" si="162"/>
        <v>8.2969187580883617</v>
      </c>
      <c r="BG101" s="16"/>
      <c r="BH101" s="189"/>
      <c r="BI101" s="6">
        <f t="shared" si="163"/>
        <v>3.7369280045790877E-6</v>
      </c>
      <c r="BJ101" s="151">
        <f t="shared" si="164"/>
        <v>43.599454247918793</v>
      </c>
      <c r="BK101" s="177">
        <f t="shared" si="165"/>
        <v>206.42460221688694</v>
      </c>
      <c r="BL101" s="134">
        <f t="shared" si="166"/>
        <v>2.3147614563771786</v>
      </c>
      <c r="BM101" s="119">
        <f t="shared" si="167"/>
        <v>5.6603773584905656E-3</v>
      </c>
      <c r="BN101">
        <f t="shared" si="168"/>
        <v>31</v>
      </c>
      <c r="BO101" s="124">
        <f t="shared" si="169"/>
        <v>0.5083333333333333</v>
      </c>
      <c r="BP101" s="124"/>
      <c r="BQ101" s="124"/>
      <c r="BR101" s="14">
        <f t="shared" si="170"/>
        <v>1</v>
      </c>
      <c r="BX101" s="83"/>
      <c r="BY101" s="83"/>
      <c r="BZ101" s="83"/>
      <c r="CA101" s="83"/>
      <c r="CB101" s="83"/>
      <c r="CC101" s="151"/>
      <c r="CD101" s="177">
        <f t="shared" si="171"/>
        <v>8999.9999999999982</v>
      </c>
      <c r="CE101" s="134">
        <f t="shared" si="172"/>
        <v>3.9542425094393248</v>
      </c>
      <c r="CF101" s="119">
        <f t="shared" si="173"/>
        <v>5.6603773584905656E-3</v>
      </c>
      <c r="CG101">
        <f t="shared" si="174"/>
        <v>29</v>
      </c>
      <c r="CH101" s="124">
        <f t="shared" si="175"/>
        <v>0.47499999999999998</v>
      </c>
      <c r="CI101" s="124"/>
      <c r="CJ101" s="124"/>
      <c r="CK101" s="14">
        <f t="shared" si="176"/>
        <v>3</v>
      </c>
      <c r="CL101" s="16"/>
      <c r="DN101" s="191">
        <f t="shared" si="177"/>
        <v>1.7323507577312716E-7</v>
      </c>
      <c r="DO101" s="97"/>
      <c r="EA101" s="17">
        <f t="shared" si="178"/>
        <v>2.5714285714285712</v>
      </c>
      <c r="EB101" s="16">
        <f t="shared" si="179"/>
        <v>0.2</v>
      </c>
      <c r="EC101" s="16"/>
    </row>
    <row r="102" spans="1:133" x14ac:dyDescent="0.2">
      <c r="A102" s="8"/>
      <c r="B102" t="s">
        <v>149</v>
      </c>
      <c r="C102">
        <v>17</v>
      </c>
      <c r="D102" t="s">
        <v>130</v>
      </c>
      <c r="F102" s="9"/>
      <c r="G102" t="s">
        <v>111</v>
      </c>
      <c r="H102" s="1">
        <v>12</v>
      </c>
      <c r="I102" s="8">
        <v>310</v>
      </c>
      <c r="J102" t="s">
        <v>35</v>
      </c>
      <c r="K102" s="9">
        <v>0</v>
      </c>
      <c r="L102" s="1">
        <v>1E-4</v>
      </c>
      <c r="M102" s="6">
        <v>7.0000000000000007E-2</v>
      </c>
      <c r="N102" s="1">
        <v>128.19</v>
      </c>
      <c r="O102" s="18">
        <f>VLOOKUP(I102,[1]CompDbase!$B:$K,9,FALSE)</f>
        <v>31.8</v>
      </c>
      <c r="P102" s="30">
        <v>3.3</v>
      </c>
      <c r="R102" s="1">
        <f t="shared" si="137"/>
        <v>-12.128464357385459</v>
      </c>
      <c r="S102" s="1">
        <f t="shared" si="138"/>
        <v>51.465495888741714</v>
      </c>
      <c r="T102" s="1">
        <f t="shared" si="139"/>
        <v>-0.4115026923892402</v>
      </c>
      <c r="U102" s="1">
        <f t="shared" si="140"/>
        <v>-0.38974554887705531</v>
      </c>
      <c r="V102" s="197">
        <f t="shared" si="141"/>
        <v>0</v>
      </c>
      <c r="W102" s="197">
        <f t="shared" si="142"/>
        <v>-12.929712598651754</v>
      </c>
      <c r="X102" s="118">
        <f t="shared" si="143"/>
        <v>1.0157834761225721E-8</v>
      </c>
      <c r="Y102" s="1">
        <f t="shared" si="144"/>
        <v>2.9302835917149346</v>
      </c>
      <c r="Z102" s="1">
        <f t="shared" si="145"/>
        <v>-5.2857869641722353</v>
      </c>
      <c r="AA102" s="1">
        <f t="shared" si="146"/>
        <v>4.2263569593402835E-2</v>
      </c>
      <c r="AB102" s="1">
        <f t="shared" si="147"/>
        <v>-0.10366097120650658</v>
      </c>
      <c r="AC102" s="197">
        <f t="shared" si="148"/>
        <v>0</v>
      </c>
      <c r="AD102" s="197">
        <f t="shared" si="149"/>
        <v>2.868886190101831</v>
      </c>
      <c r="AE102" s="96">
        <f t="shared" si="150"/>
        <v>739.41148173074805</v>
      </c>
      <c r="AF102" s="98">
        <f t="shared" si="151"/>
        <v>7.5108196519740095E-6</v>
      </c>
      <c r="AG102" s="291">
        <v>9.2999999999999999E-2</v>
      </c>
      <c r="AH102" s="8"/>
      <c r="AI102" s="162">
        <v>2.0000000000000002E-5</v>
      </c>
      <c r="AJ102" s="167">
        <f t="shared" si="152"/>
        <v>1.7599048315283014E-2</v>
      </c>
      <c r="AK102" s="168">
        <f t="shared" si="153"/>
        <v>1.5929878463377601E-5</v>
      </c>
      <c r="AL102" s="151">
        <f t="shared" si="154"/>
        <v>5.2843766511646431</v>
      </c>
      <c r="AM102" s="177">
        <f t="shared" si="155"/>
        <v>879.9524157641506</v>
      </c>
      <c r="AN102" s="134">
        <f t="shared" si="156"/>
        <v>2.9444591879117596</v>
      </c>
      <c r="AO102" s="119">
        <f t="shared" si="157"/>
        <v>2.9245283018867925E-3</v>
      </c>
      <c r="AP102">
        <f t="shared" si="158"/>
        <v>32</v>
      </c>
      <c r="AQ102" s="124">
        <f t="shared" ref="AQ102" si="190">(AP102-0.5)/MAX(AP$51:AP$117)</f>
        <v>0.52500000000000002</v>
      </c>
      <c r="AR102" s="124"/>
      <c r="AS102" s="124"/>
      <c r="AT102" s="14">
        <f t="shared" si="160"/>
        <v>1</v>
      </c>
      <c r="AZ102" s="83"/>
      <c r="BA102" s="83"/>
      <c r="BB102" s="83"/>
      <c r="BC102" s="83"/>
      <c r="BD102" s="83"/>
      <c r="BE102" s="8">
        <f t="shared" si="161"/>
        <v>2.1260390672159257E-3</v>
      </c>
      <c r="BF102" s="16">
        <f t="shared" si="162"/>
        <v>8.2778574423513227</v>
      </c>
      <c r="BG102" s="16"/>
      <c r="BH102" s="189"/>
      <c r="BI102" s="6">
        <f t="shared" si="163"/>
        <v>1.9243963277111867E-6</v>
      </c>
      <c r="BJ102" s="151">
        <f t="shared" si="164"/>
        <v>43.743316590030794</v>
      </c>
      <c r="BK102" s="177">
        <f t="shared" si="165"/>
        <v>106.30195336079628</v>
      </c>
      <c r="BL102" s="134">
        <f t="shared" si="166"/>
        <v>2.0265412450126723</v>
      </c>
      <c r="BM102" s="119">
        <f t="shared" si="167"/>
        <v>2.9245283018867925E-3</v>
      </c>
      <c r="BN102">
        <f t="shared" si="168"/>
        <v>26</v>
      </c>
      <c r="BO102" s="124">
        <f t="shared" si="169"/>
        <v>0.42499999999999999</v>
      </c>
      <c r="BP102" s="124"/>
      <c r="BQ102" s="124"/>
      <c r="BR102" s="14">
        <f t="shared" si="170"/>
        <v>1</v>
      </c>
      <c r="BX102" s="83"/>
      <c r="BY102" s="83"/>
      <c r="BZ102" s="83"/>
      <c r="CA102" s="83"/>
      <c r="CB102" s="83"/>
      <c r="CC102" s="151"/>
      <c r="CD102" s="177">
        <f t="shared" si="171"/>
        <v>4650</v>
      </c>
      <c r="CE102" s="134">
        <f t="shared" si="172"/>
        <v>3.667452952889954</v>
      </c>
      <c r="CF102" s="119">
        <f t="shared" si="173"/>
        <v>2.9245283018867925E-3</v>
      </c>
      <c r="CG102">
        <f t="shared" si="174"/>
        <v>24</v>
      </c>
      <c r="CH102" s="124">
        <f t="shared" si="175"/>
        <v>0.39166666666666666</v>
      </c>
      <c r="CI102" s="124"/>
      <c r="CJ102" s="124"/>
      <c r="CK102" s="14">
        <f t="shared" si="176"/>
        <v>3</v>
      </c>
      <c r="CL102" s="16"/>
      <c r="DN102" s="191">
        <f t="shared" si="177"/>
        <v>1.7170210760118137E-7</v>
      </c>
      <c r="DO102" s="97"/>
      <c r="EA102" s="17">
        <f t="shared" si="178"/>
        <v>1.3285714285714285</v>
      </c>
      <c r="EB102" s="16">
        <f t="shared" si="179"/>
        <v>0.2</v>
      </c>
      <c r="EC102" s="16"/>
    </row>
    <row r="103" spans="1:133" x14ac:dyDescent="0.2">
      <c r="A103" s="8"/>
      <c r="B103" t="s">
        <v>149</v>
      </c>
      <c r="C103">
        <v>18</v>
      </c>
      <c r="D103" t="s">
        <v>126</v>
      </c>
      <c r="F103" s="9"/>
      <c r="G103" t="s">
        <v>111</v>
      </c>
      <c r="H103" s="1">
        <v>12</v>
      </c>
      <c r="I103" s="8">
        <v>310</v>
      </c>
      <c r="J103" t="s">
        <v>35</v>
      </c>
      <c r="K103" s="9">
        <v>0</v>
      </c>
      <c r="L103" s="1">
        <v>1E-4</v>
      </c>
      <c r="M103" s="6">
        <v>7.0000000000000007E-2</v>
      </c>
      <c r="N103" s="1">
        <v>128.19</v>
      </c>
      <c r="O103" s="18">
        <f>VLOOKUP(I103,[1]CompDbase!$B:$K,9,FALSE)</f>
        <v>31.8</v>
      </c>
      <c r="P103" s="30">
        <v>3.3</v>
      </c>
      <c r="R103" s="1">
        <f t="shared" si="137"/>
        <v>-12.128464357385459</v>
      </c>
      <c r="S103" s="1">
        <f t="shared" si="138"/>
        <v>51.465495888741714</v>
      </c>
      <c r="T103" s="1">
        <f t="shared" si="139"/>
        <v>-0.4115026923892402</v>
      </c>
      <c r="U103" s="1">
        <f t="shared" si="140"/>
        <v>-0.38996745752132012</v>
      </c>
      <c r="V103" s="197">
        <f t="shared" si="141"/>
        <v>0</v>
      </c>
      <c r="W103" s="197">
        <f t="shared" si="142"/>
        <v>-12.92993450729602</v>
      </c>
      <c r="X103" s="118">
        <f t="shared" si="143"/>
        <v>1.015264580385195E-8</v>
      </c>
      <c r="Y103" s="1">
        <f t="shared" si="144"/>
        <v>2.9302835917149346</v>
      </c>
      <c r="Z103" s="1">
        <f t="shared" si="145"/>
        <v>-5.2857869641722353</v>
      </c>
      <c r="AA103" s="1">
        <f t="shared" si="146"/>
        <v>4.2263569593402835E-2</v>
      </c>
      <c r="AB103" s="1">
        <f t="shared" si="147"/>
        <v>-0.10369039526872813</v>
      </c>
      <c r="AC103" s="197">
        <f t="shared" si="148"/>
        <v>0</v>
      </c>
      <c r="AD103" s="197">
        <f t="shared" si="149"/>
        <v>2.8688567660396092</v>
      </c>
      <c r="AE103" s="96">
        <f t="shared" si="150"/>
        <v>739.36138725947853</v>
      </c>
      <c r="AF103" s="98">
        <f t="shared" si="151"/>
        <v>7.506474285890101E-6</v>
      </c>
      <c r="AG103" s="291">
        <v>8.4000000000000005E-2</v>
      </c>
      <c r="AH103" s="8"/>
      <c r="AI103" s="162">
        <v>2.0000000000000002E-5</v>
      </c>
      <c r="AJ103" s="167">
        <f t="shared" si="152"/>
        <v>1.5886718065375876E-2</v>
      </c>
      <c r="AK103" s="168">
        <f t="shared" si="153"/>
        <v>1.4379953019596745E-5</v>
      </c>
      <c r="AL103" s="151">
        <f t="shared" si="154"/>
        <v>5.2874356839675301</v>
      </c>
      <c r="AM103" s="177">
        <f t="shared" si="155"/>
        <v>794.33590326879369</v>
      </c>
      <c r="AN103" s="134">
        <f t="shared" si="156"/>
        <v>2.9000041927132187</v>
      </c>
      <c r="AO103" s="119">
        <f t="shared" si="157"/>
        <v>2.6415094339622643E-3</v>
      </c>
      <c r="AP103">
        <f t="shared" si="158"/>
        <v>31</v>
      </c>
      <c r="AQ103" s="124">
        <f t="shared" ref="AQ103" si="191">(AP103-0.5)/MAX(AP$51:AP$117)</f>
        <v>0.5083333333333333</v>
      </c>
      <c r="AR103" s="124"/>
      <c r="AS103" s="124"/>
      <c r="AT103" s="14">
        <f t="shared" si="160"/>
        <v>1</v>
      </c>
      <c r="AZ103" s="83"/>
      <c r="BA103" s="83"/>
      <c r="BB103" s="83"/>
      <c r="BC103" s="83"/>
      <c r="BD103" s="83"/>
      <c r="BE103" s="8">
        <f t="shared" si="161"/>
        <v>1.9196390653957909E-3</v>
      </c>
      <c r="BF103" s="16">
        <f t="shared" si="162"/>
        <v>8.2758880832112833</v>
      </c>
      <c r="BG103" s="16"/>
      <c r="BH103" s="189"/>
      <c r="BI103" s="6">
        <f t="shared" si="163"/>
        <v>1.7375721946709685E-6</v>
      </c>
      <c r="BJ103" s="151">
        <f t="shared" si="164"/>
        <v>43.758225967692994</v>
      </c>
      <c r="BK103" s="177">
        <f t="shared" si="165"/>
        <v>95.981953269789543</v>
      </c>
      <c r="BL103" s="134">
        <f t="shared" si="166"/>
        <v>1.9821895837466386</v>
      </c>
      <c r="BM103" s="119">
        <f t="shared" si="167"/>
        <v>2.6415094339622643E-3</v>
      </c>
      <c r="BN103">
        <f t="shared" si="168"/>
        <v>25</v>
      </c>
      <c r="BO103" s="124">
        <f t="shared" si="169"/>
        <v>0.40833333333333333</v>
      </c>
      <c r="BP103" s="124"/>
      <c r="BQ103" s="124"/>
      <c r="BR103" s="14">
        <f t="shared" si="170"/>
        <v>1</v>
      </c>
      <c r="BX103" s="83"/>
      <c r="BY103" s="83"/>
      <c r="BZ103" s="83"/>
      <c r="CA103" s="83"/>
      <c r="CB103" s="83"/>
      <c r="CC103" s="151"/>
      <c r="CD103" s="177">
        <f t="shared" si="171"/>
        <v>4200</v>
      </c>
      <c r="CE103" s="134">
        <f t="shared" si="172"/>
        <v>3.6232492903979003</v>
      </c>
      <c r="CF103" s="119">
        <f t="shared" si="173"/>
        <v>2.6415094339622643E-3</v>
      </c>
      <c r="CG103">
        <f t="shared" si="174"/>
        <v>23</v>
      </c>
      <c r="CH103" s="124">
        <f t="shared" si="175"/>
        <v>0.375</v>
      </c>
      <c r="CI103" s="124"/>
      <c r="CJ103" s="124"/>
      <c r="CK103" s="14">
        <f t="shared" si="176"/>
        <v>3</v>
      </c>
      <c r="CL103" s="16"/>
      <c r="DN103" s="191">
        <f t="shared" si="177"/>
        <v>1.7154430098313822E-7</v>
      </c>
      <c r="DO103" s="97"/>
      <c r="EA103" s="17">
        <f t="shared" si="178"/>
        <v>1.2</v>
      </c>
      <c r="EB103" s="16">
        <f t="shared" si="179"/>
        <v>0.2</v>
      </c>
      <c r="EC103" s="16"/>
    </row>
    <row r="104" spans="1:133" x14ac:dyDescent="0.2">
      <c r="A104" s="8"/>
      <c r="B104" t="s">
        <v>149</v>
      </c>
      <c r="C104">
        <v>20</v>
      </c>
      <c r="D104" t="s">
        <v>129</v>
      </c>
      <c r="F104" s="9"/>
      <c r="G104" t="s">
        <v>111</v>
      </c>
      <c r="H104" s="1">
        <v>12</v>
      </c>
      <c r="I104" s="8">
        <v>310</v>
      </c>
      <c r="J104" t="s">
        <v>35</v>
      </c>
      <c r="K104" s="9">
        <v>0</v>
      </c>
      <c r="L104" s="1">
        <v>1E-4</v>
      </c>
      <c r="M104" s="6">
        <v>7.0000000000000007E-2</v>
      </c>
      <c r="N104" s="1">
        <v>128.19</v>
      </c>
      <c r="O104" s="18">
        <f>VLOOKUP(I104,[1]CompDbase!$B:$K,9,FALSE)</f>
        <v>31.8</v>
      </c>
      <c r="P104" s="30">
        <v>3.3</v>
      </c>
      <c r="R104" s="1">
        <f t="shared" si="137"/>
        <v>-12.128464357385459</v>
      </c>
      <c r="S104" s="1">
        <f t="shared" si="138"/>
        <v>51.465495888741714</v>
      </c>
      <c r="T104" s="1">
        <f t="shared" si="139"/>
        <v>-0.4115026923892402</v>
      </c>
      <c r="U104" s="1">
        <f t="shared" si="140"/>
        <v>-0.39021402268161431</v>
      </c>
      <c r="V104" s="197">
        <f t="shared" si="141"/>
        <v>0</v>
      </c>
      <c r="W104" s="197">
        <f t="shared" si="142"/>
        <v>-12.930181072456314</v>
      </c>
      <c r="X104" s="118">
        <f t="shared" si="143"/>
        <v>1.0146883404434885E-8</v>
      </c>
      <c r="Y104" s="1">
        <f t="shared" si="144"/>
        <v>2.9302835917149346</v>
      </c>
      <c r="Z104" s="1">
        <f t="shared" si="145"/>
        <v>-5.2857869641722353</v>
      </c>
      <c r="AA104" s="1">
        <f t="shared" si="146"/>
        <v>4.2263569593402835E-2</v>
      </c>
      <c r="AB104" s="1">
        <f t="shared" si="147"/>
        <v>-0.10372308867119652</v>
      </c>
      <c r="AC104" s="197">
        <f t="shared" si="148"/>
        <v>0</v>
      </c>
      <c r="AD104" s="197">
        <f t="shared" si="149"/>
        <v>2.8688240726371408</v>
      </c>
      <c r="AE104" s="96">
        <f t="shared" si="150"/>
        <v>739.30573071628487</v>
      </c>
      <c r="AF104" s="98">
        <f t="shared" si="151"/>
        <v>7.5016490498086766E-6</v>
      </c>
      <c r="AG104" s="291">
        <v>7.3999999999999996E-2</v>
      </c>
      <c r="AH104" s="8"/>
      <c r="AI104" s="162">
        <v>2.0000000000000002E-5</v>
      </c>
      <c r="AJ104" s="167">
        <f t="shared" si="152"/>
        <v>1.3986445696292312E-2</v>
      </c>
      <c r="AK104" s="168">
        <f t="shared" si="153"/>
        <v>1.2659910700005617E-5</v>
      </c>
      <c r="AL104" s="151">
        <f t="shared" si="154"/>
        <v>5.2908366862366449</v>
      </c>
      <c r="AM104" s="177">
        <f t="shared" si="155"/>
        <v>699.3222848146155</v>
      </c>
      <c r="AN104" s="134">
        <f t="shared" si="156"/>
        <v>2.8446773678195503</v>
      </c>
      <c r="AO104" s="119">
        <f t="shared" si="157"/>
        <v>2.3270440251572325E-3</v>
      </c>
      <c r="AP104">
        <f t="shared" si="158"/>
        <v>30</v>
      </c>
      <c r="AQ104" s="124">
        <f t="shared" ref="AQ104" si="192">(AP104-0.5)/MAX(AP$51:AP$117)</f>
        <v>0.49166666666666664</v>
      </c>
      <c r="AR104" s="124"/>
      <c r="AS104" s="124"/>
      <c r="AT104" s="14">
        <f t="shared" si="160"/>
        <v>1</v>
      </c>
      <c r="AZ104" s="83"/>
      <c r="BA104" s="83"/>
      <c r="BB104" s="83"/>
      <c r="BC104" s="83"/>
      <c r="BD104" s="83"/>
      <c r="BE104" s="8">
        <f t="shared" si="161"/>
        <v>1.6904703972379495E-3</v>
      </c>
      <c r="BF104" s="16">
        <f t="shared" si="162"/>
        <v>8.2737004558877185</v>
      </c>
      <c r="BG104" s="16"/>
      <c r="BH104" s="189"/>
      <c r="BI104" s="6">
        <f t="shared" si="163"/>
        <v>1.5301388740749723E-6</v>
      </c>
      <c r="BJ104" s="151">
        <f t="shared" si="164"/>
        <v>43.774797902943583</v>
      </c>
      <c r="BK104" s="177">
        <f t="shared" si="165"/>
        <v>84.523519861897469</v>
      </c>
      <c r="BL104" s="134">
        <f t="shared" si="166"/>
        <v>1.9269775743335333</v>
      </c>
      <c r="BM104" s="119">
        <f t="shared" si="167"/>
        <v>2.3270440251572325E-3</v>
      </c>
      <c r="BN104">
        <f t="shared" si="168"/>
        <v>24</v>
      </c>
      <c r="BO104" s="124">
        <f t="shared" si="169"/>
        <v>0.39166666666666666</v>
      </c>
      <c r="BP104" s="124"/>
      <c r="BQ104" s="124"/>
      <c r="BR104" s="14">
        <f t="shared" si="170"/>
        <v>1</v>
      </c>
      <c r="BX104" s="83"/>
      <c r="BY104" s="83"/>
      <c r="BZ104" s="83"/>
      <c r="CA104" s="83"/>
      <c r="CB104" s="83"/>
      <c r="CC104" s="151"/>
      <c r="CD104" s="177">
        <f t="shared" si="171"/>
        <v>3699.9999999999995</v>
      </c>
      <c r="CE104" s="134">
        <f t="shared" si="172"/>
        <v>3.568201724066995</v>
      </c>
      <c r="CF104" s="119">
        <f t="shared" si="173"/>
        <v>2.3270440251572325E-3</v>
      </c>
      <c r="CG104">
        <f t="shared" si="174"/>
        <v>22</v>
      </c>
      <c r="CH104" s="124">
        <f t="shared" si="175"/>
        <v>0.35833333333333334</v>
      </c>
      <c r="CI104" s="124"/>
      <c r="CJ104" s="124"/>
      <c r="CK104" s="14">
        <f t="shared" si="176"/>
        <v>3</v>
      </c>
      <c r="CL104" s="16"/>
      <c r="DN104" s="191">
        <f t="shared" si="177"/>
        <v>1.7136913039418595E-7</v>
      </c>
      <c r="DO104" s="97"/>
      <c r="EA104" s="17">
        <f t="shared" si="178"/>
        <v>1.0571428571428569</v>
      </c>
      <c r="EB104" s="16">
        <f t="shared" si="179"/>
        <v>0.2</v>
      </c>
      <c r="EC104" s="16"/>
    </row>
    <row r="105" spans="1:133" x14ac:dyDescent="0.2">
      <c r="A105" s="8"/>
      <c r="B105" t="s">
        <v>149</v>
      </c>
      <c r="C105">
        <v>21</v>
      </c>
      <c r="D105" t="s">
        <v>128</v>
      </c>
      <c r="F105" s="9"/>
      <c r="G105" t="s">
        <v>111</v>
      </c>
      <c r="H105" s="1">
        <v>12</v>
      </c>
      <c r="I105" s="8">
        <v>310</v>
      </c>
      <c r="J105" t="s">
        <v>35</v>
      </c>
      <c r="K105" s="9">
        <v>0</v>
      </c>
      <c r="L105" s="1">
        <v>1E-4</v>
      </c>
      <c r="M105" s="6">
        <v>7.0000000000000007E-2</v>
      </c>
      <c r="N105" s="1">
        <v>128.19</v>
      </c>
      <c r="O105" s="18">
        <f>VLOOKUP(I105,[1]CompDbase!$B:$K,9,FALSE)</f>
        <v>31.8</v>
      </c>
      <c r="P105" s="30">
        <v>3.3</v>
      </c>
      <c r="R105" s="1">
        <f t="shared" si="137"/>
        <v>-12.128464357385459</v>
      </c>
      <c r="S105" s="1">
        <f t="shared" si="138"/>
        <v>51.465495888741714</v>
      </c>
      <c r="T105" s="1">
        <f t="shared" si="139"/>
        <v>-0.4115026923892402</v>
      </c>
      <c r="U105" s="1">
        <f t="shared" si="140"/>
        <v>-0.39031264874573202</v>
      </c>
      <c r="V105" s="197">
        <f t="shared" si="141"/>
        <v>0</v>
      </c>
      <c r="W105" s="197">
        <f t="shared" si="142"/>
        <v>-12.930279698520431</v>
      </c>
      <c r="X105" s="118">
        <f t="shared" si="143"/>
        <v>1.0144579360540144E-8</v>
      </c>
      <c r="Y105" s="1">
        <f t="shared" si="144"/>
        <v>2.9302835917149346</v>
      </c>
      <c r="Z105" s="1">
        <f t="shared" si="145"/>
        <v>-5.2857869641722353</v>
      </c>
      <c r="AA105" s="1">
        <f t="shared" si="146"/>
        <v>4.2263569593402835E-2</v>
      </c>
      <c r="AB105" s="1">
        <f t="shared" si="147"/>
        <v>-0.10373616603218387</v>
      </c>
      <c r="AC105" s="197">
        <f t="shared" si="148"/>
        <v>0</v>
      </c>
      <c r="AD105" s="197">
        <f t="shared" si="149"/>
        <v>2.8688109952761534</v>
      </c>
      <c r="AE105" s="96">
        <f t="shared" si="150"/>
        <v>739.28346927212135</v>
      </c>
      <c r="AF105" s="98">
        <f t="shared" si="151"/>
        <v>7.4997198239664756E-6</v>
      </c>
      <c r="AG105" s="291">
        <v>7.0000000000000007E-2</v>
      </c>
      <c r="AH105" s="8"/>
      <c r="AI105" s="162">
        <v>2.0000000000000002E-5</v>
      </c>
      <c r="AJ105" s="167">
        <f t="shared" si="152"/>
        <v>1.3227019089887965E-2</v>
      </c>
      <c r="AK105" s="168">
        <f t="shared" si="153"/>
        <v>1.1972511397205189E-5</v>
      </c>
      <c r="AL105" s="151">
        <f t="shared" si="154"/>
        <v>5.2921976995946798</v>
      </c>
      <c r="AM105" s="177">
        <f t="shared" si="155"/>
        <v>661.35095449439814</v>
      </c>
      <c r="AN105" s="134">
        <f t="shared" si="156"/>
        <v>2.8204319846777262</v>
      </c>
      <c r="AO105" s="119">
        <f t="shared" si="157"/>
        <v>2.2012578616352201E-3</v>
      </c>
      <c r="AP105">
        <f t="shared" si="158"/>
        <v>29</v>
      </c>
      <c r="AQ105" s="124">
        <f t="shared" ref="AQ105" si="193">(AP105-0.5)/MAX(AP$51:AP$117)</f>
        <v>0.47499999999999998</v>
      </c>
      <c r="AR105" s="124"/>
      <c r="AS105" s="124"/>
      <c r="AT105" s="14">
        <f t="shared" si="160"/>
        <v>1</v>
      </c>
      <c r="AZ105" s="83"/>
      <c r="BA105" s="83"/>
      <c r="BB105" s="83"/>
      <c r="BC105" s="83"/>
      <c r="BD105" s="83"/>
      <c r="BE105" s="8">
        <f t="shared" si="161"/>
        <v>1.5988514423460303E-3</v>
      </c>
      <c r="BF105" s="16">
        <f t="shared" si="162"/>
        <v>8.2728255668829771</v>
      </c>
      <c r="BG105" s="16"/>
      <c r="BH105" s="189"/>
      <c r="BI105" s="6">
        <f t="shared" si="163"/>
        <v>1.447209457084706E-6</v>
      </c>
      <c r="BJ105" s="151">
        <f t="shared" si="164"/>
        <v>43.781428434206148</v>
      </c>
      <c r="BK105" s="177">
        <f t="shared" si="165"/>
        <v>79.942572117301509</v>
      </c>
      <c r="BL105" s="134">
        <f t="shared" si="166"/>
        <v>1.9027781173839342</v>
      </c>
      <c r="BM105" s="119">
        <f t="shared" si="167"/>
        <v>2.2012578616352201E-3</v>
      </c>
      <c r="BN105">
        <f t="shared" si="168"/>
        <v>22</v>
      </c>
      <c r="BO105" s="124">
        <f t="shared" si="169"/>
        <v>0.35833333333333334</v>
      </c>
      <c r="BP105" s="124"/>
      <c r="BQ105" s="124"/>
      <c r="BR105" s="14">
        <f t="shared" si="170"/>
        <v>1</v>
      </c>
      <c r="BX105" s="83"/>
      <c r="BY105" s="83"/>
      <c r="BZ105" s="83"/>
      <c r="CA105" s="83"/>
      <c r="CB105" s="83"/>
      <c r="CC105" s="151"/>
      <c r="CD105" s="177">
        <f t="shared" si="171"/>
        <v>3500</v>
      </c>
      <c r="CE105" s="134">
        <f t="shared" si="172"/>
        <v>3.5440680443502757</v>
      </c>
      <c r="CF105" s="119">
        <f t="shared" si="173"/>
        <v>2.2012578616352201E-3</v>
      </c>
      <c r="CG105">
        <f t="shared" si="174"/>
        <v>21</v>
      </c>
      <c r="CH105" s="124">
        <f t="shared" si="175"/>
        <v>0.34166666666666667</v>
      </c>
      <c r="CI105" s="124"/>
      <c r="CJ105" s="124"/>
      <c r="CK105" s="14">
        <f t="shared" si="176"/>
        <v>3</v>
      </c>
      <c r="CL105" s="16"/>
      <c r="DN105" s="191">
        <f t="shared" si="177"/>
        <v>1.7129911225342737E-7</v>
      </c>
      <c r="DO105" s="97"/>
      <c r="EA105" s="17">
        <f t="shared" si="178"/>
        <v>1</v>
      </c>
      <c r="EB105" s="16">
        <f t="shared" si="179"/>
        <v>0.2</v>
      </c>
      <c r="EC105" s="16"/>
    </row>
    <row r="106" spans="1:133" x14ac:dyDescent="0.2">
      <c r="A106" s="8"/>
      <c r="B106" t="s">
        <v>149</v>
      </c>
      <c r="C106">
        <v>22</v>
      </c>
      <c r="D106" t="s">
        <v>127</v>
      </c>
      <c r="F106" s="9"/>
      <c r="G106" t="s">
        <v>111</v>
      </c>
      <c r="H106" s="1">
        <v>12</v>
      </c>
      <c r="I106" s="8">
        <v>310</v>
      </c>
      <c r="J106" t="s">
        <v>35</v>
      </c>
      <c r="K106" s="9">
        <v>0</v>
      </c>
      <c r="L106" s="1">
        <v>1E-4</v>
      </c>
      <c r="M106" s="6">
        <v>7.0000000000000007E-2</v>
      </c>
      <c r="N106" s="1">
        <v>128.19</v>
      </c>
      <c r="O106" s="18">
        <f>VLOOKUP(I106,[1]CompDbase!$B:$K,9,FALSE)</f>
        <v>31.8</v>
      </c>
      <c r="P106" s="30">
        <v>3.3</v>
      </c>
      <c r="R106" s="1">
        <f t="shared" si="137"/>
        <v>-12.128464357385459</v>
      </c>
      <c r="S106" s="1">
        <f t="shared" si="138"/>
        <v>51.465495888741714</v>
      </c>
      <c r="T106" s="1">
        <f t="shared" si="139"/>
        <v>-0.4115026923892402</v>
      </c>
      <c r="U106" s="1">
        <f t="shared" si="140"/>
        <v>-0.39105234422661461</v>
      </c>
      <c r="V106" s="197">
        <f t="shared" si="141"/>
        <v>0</v>
      </c>
      <c r="W106" s="197">
        <f t="shared" si="142"/>
        <v>-12.931019394001314</v>
      </c>
      <c r="X106" s="118">
        <f t="shared" si="143"/>
        <v>1.0127315699401632E-8</v>
      </c>
      <c r="Y106" s="1">
        <f t="shared" si="144"/>
        <v>2.9302835917149346</v>
      </c>
      <c r="Z106" s="1">
        <f t="shared" si="145"/>
        <v>-5.2857869641722353</v>
      </c>
      <c r="AA106" s="1">
        <f t="shared" si="146"/>
        <v>4.2263569593402835E-2</v>
      </c>
      <c r="AB106" s="1">
        <f t="shared" si="147"/>
        <v>-0.10383424623958902</v>
      </c>
      <c r="AC106" s="197">
        <f t="shared" si="148"/>
        <v>0</v>
      </c>
      <c r="AD106" s="197">
        <f t="shared" si="149"/>
        <v>2.8687129150687483</v>
      </c>
      <c r="AE106" s="96">
        <f t="shared" si="150"/>
        <v>739.11652980597182</v>
      </c>
      <c r="AF106" s="98">
        <f t="shared" si="151"/>
        <v>7.485266435991273E-6</v>
      </c>
      <c r="AG106" s="291">
        <v>0.04</v>
      </c>
      <c r="AH106" s="8"/>
      <c r="AI106" s="162">
        <v>2.0000000000000002E-5</v>
      </c>
      <c r="AJ106" s="167">
        <f t="shared" si="152"/>
        <v>7.54373034617412E-3</v>
      </c>
      <c r="AK106" s="168">
        <f t="shared" si="153"/>
        <v>6.8282503361668102E-6</v>
      </c>
      <c r="AL106" s="151">
        <f t="shared" si="154"/>
        <v>5.3024164656530184</v>
      </c>
      <c r="AM106" s="177">
        <f t="shared" si="155"/>
        <v>377.18651730870596</v>
      </c>
      <c r="AN106" s="134">
        <f t="shared" si="156"/>
        <v>2.5765561603031437</v>
      </c>
      <c r="AO106" s="119">
        <f t="shared" si="157"/>
        <v>1.2578616352201257E-3</v>
      </c>
      <c r="AP106">
        <f t="shared" si="158"/>
        <v>20</v>
      </c>
      <c r="AQ106" s="124">
        <f t="shared" ref="AQ106" si="194">(AP106-0.5)/MAX(AP$51:AP$117)</f>
        <v>0.32500000000000001</v>
      </c>
      <c r="AR106" s="124"/>
      <c r="AS106" s="124"/>
      <c r="AT106" s="14">
        <f t="shared" si="160"/>
        <v>1</v>
      </c>
      <c r="AZ106" s="83"/>
      <c r="BA106" s="83"/>
      <c r="BB106" s="83"/>
      <c r="BC106" s="83"/>
      <c r="BD106" s="83"/>
      <c r="BE106" s="8">
        <f t="shared" si="161"/>
        <v>9.12592163464102E-4</v>
      </c>
      <c r="BF106" s="16">
        <f t="shared" si="162"/>
        <v>8.2662668475465857</v>
      </c>
      <c r="BG106" s="16"/>
      <c r="BH106" s="189"/>
      <c r="BI106" s="6">
        <f t="shared" si="163"/>
        <v>8.2603797604155789E-7</v>
      </c>
      <c r="BJ106" s="151">
        <f t="shared" si="164"/>
        <v>43.831189441912684</v>
      </c>
      <c r="BK106" s="177">
        <f t="shared" si="165"/>
        <v>45.629608173205099</v>
      </c>
      <c r="BL106" s="134">
        <f t="shared" si="166"/>
        <v>1.6592467394510411</v>
      </c>
      <c r="BM106" s="119">
        <f t="shared" si="167"/>
        <v>1.2578616352201257E-3</v>
      </c>
      <c r="BN106">
        <f t="shared" si="168"/>
        <v>18</v>
      </c>
      <c r="BO106" s="124">
        <f t="shared" si="169"/>
        <v>0.29166666666666669</v>
      </c>
      <c r="BP106" s="124"/>
      <c r="BQ106" s="124"/>
      <c r="BR106" s="14">
        <f t="shared" si="170"/>
        <v>1</v>
      </c>
      <c r="BX106" s="83"/>
      <c r="BY106" s="83"/>
      <c r="BZ106" s="83"/>
      <c r="CA106" s="83"/>
      <c r="CB106" s="83"/>
      <c r="CC106" s="151"/>
      <c r="CD106" s="177">
        <f t="shared" si="171"/>
        <v>1999.9999999999998</v>
      </c>
      <c r="CE106" s="134">
        <f t="shared" si="172"/>
        <v>3.3010299956639813</v>
      </c>
      <c r="CF106" s="119">
        <f t="shared" si="173"/>
        <v>1.2578616352201257E-3</v>
      </c>
      <c r="CG106">
        <f t="shared" si="174"/>
        <v>18</v>
      </c>
      <c r="CH106" s="124">
        <f t="shared" si="175"/>
        <v>0.29166666666666669</v>
      </c>
      <c r="CI106" s="124"/>
      <c r="CJ106" s="124"/>
      <c r="CK106" s="14">
        <f t="shared" si="176"/>
        <v>3</v>
      </c>
      <c r="CL106" s="16"/>
      <c r="DN106" s="191">
        <f t="shared" si="177"/>
        <v>1.707748872731626E-7</v>
      </c>
      <c r="DO106" s="97"/>
      <c r="EA106" s="17">
        <f t="shared" si="178"/>
        <v>0.5714285714285714</v>
      </c>
      <c r="EB106" s="16">
        <f t="shared" si="179"/>
        <v>0.2</v>
      </c>
      <c r="EC106" s="16"/>
    </row>
    <row r="107" spans="1:133" x14ac:dyDescent="0.2">
      <c r="A107" s="8"/>
      <c r="B107" t="s">
        <v>149</v>
      </c>
      <c r="C107">
        <v>28</v>
      </c>
      <c r="D107" t="s">
        <v>124</v>
      </c>
      <c r="F107" s="9"/>
      <c r="G107" t="s">
        <v>111</v>
      </c>
      <c r="H107" s="1">
        <v>12</v>
      </c>
      <c r="I107" s="8">
        <v>403</v>
      </c>
      <c r="J107" t="s">
        <v>14</v>
      </c>
      <c r="K107" s="9" t="s">
        <v>153</v>
      </c>
      <c r="L107" s="1">
        <v>0.01</v>
      </c>
      <c r="M107" s="6">
        <v>0.04</v>
      </c>
      <c r="N107" s="1">
        <v>165.80749949115744</v>
      </c>
      <c r="O107" s="18">
        <f>VLOOKUP(I107,[1]CompDbase!$B:$K,9,FALSE)</f>
        <v>118.88250367033854</v>
      </c>
      <c r="P107" s="30">
        <v>3.4</v>
      </c>
      <c r="R107" s="1">
        <f t="shared" si="137"/>
        <v>-12.551068901296079</v>
      </c>
      <c r="S107" s="1">
        <f t="shared" si="138"/>
        <v>58.377969414674283</v>
      </c>
      <c r="T107" s="1">
        <f t="shared" si="139"/>
        <v>-0.46677276057511463</v>
      </c>
      <c r="U107" s="1">
        <f t="shared" si="140"/>
        <v>-0.38597084038869667</v>
      </c>
      <c r="V107" s="197">
        <f t="shared" si="141"/>
        <v>0</v>
      </c>
      <c r="W107" s="197">
        <f t="shared" si="142"/>
        <v>-13.403812502259889</v>
      </c>
      <c r="X107" s="118">
        <f t="shared" si="143"/>
        <v>3.4095827896970442E-9</v>
      </c>
      <c r="Y107" s="1">
        <f t="shared" si="144"/>
        <v>3.0399600800535533</v>
      </c>
      <c r="Z107" s="1">
        <f t="shared" si="145"/>
        <v>-0.74910321004742997</v>
      </c>
      <c r="AA107" s="1">
        <f t="shared" si="146"/>
        <v>5.9896049282869663E-3</v>
      </c>
      <c r="AB107" s="1">
        <f t="shared" si="147"/>
        <v>-0.10316046227952159</v>
      </c>
      <c r="AC107" s="197">
        <f t="shared" si="148"/>
        <v>0</v>
      </c>
      <c r="AD107" s="197">
        <f t="shared" si="149"/>
        <v>2.9427892227023187</v>
      </c>
      <c r="AE107" s="96">
        <f t="shared" si="150"/>
        <v>876.57528727024271</v>
      </c>
      <c r="AF107" s="98">
        <f t="shared" si="151"/>
        <v>2.9887560133503621E-6</v>
      </c>
      <c r="AG107" s="291">
        <v>0.92</v>
      </c>
      <c r="AH107" s="8"/>
      <c r="AI107" s="162">
        <v>2.0000000000000002E-5</v>
      </c>
      <c r="AJ107" s="167">
        <f t="shared" si="152"/>
        <v>6.9278295094037101E-2</v>
      </c>
      <c r="AK107" s="168">
        <f t="shared" si="153"/>
        <v>6.2707641983098485E-5</v>
      </c>
      <c r="AL107" s="151">
        <f t="shared" si="154"/>
        <v>13.279772528339629</v>
      </c>
      <c r="AM107" s="177">
        <f t="shared" si="155"/>
        <v>3463.9147547018547</v>
      </c>
      <c r="AN107" s="134">
        <f t="shared" si="156"/>
        <v>3.5395671956957333</v>
      </c>
      <c r="AO107" s="119">
        <f t="shared" si="157"/>
        <v>7.7387333846127785E-3</v>
      </c>
      <c r="AP107">
        <f t="shared" si="158"/>
        <v>44</v>
      </c>
      <c r="AQ107" s="124">
        <f t="shared" ref="AQ107" si="195">(AP107-0.5)/MAX(AP$51:AP$117)</f>
        <v>0.72499999999999998</v>
      </c>
      <c r="AR107" s="124"/>
      <c r="AS107" s="124"/>
      <c r="AT107" s="14">
        <f t="shared" si="160"/>
        <v>1</v>
      </c>
      <c r="AZ107" s="83"/>
      <c r="BA107" s="83"/>
      <c r="BB107" s="83"/>
      <c r="BC107" s="83"/>
      <c r="BD107" s="83"/>
      <c r="BE107" s="8">
        <f t="shared" si="161"/>
        <v>1.1035025146272465E-2</v>
      </c>
      <c r="BF107" s="16">
        <f t="shared" si="162"/>
        <v>6.2780369030186316</v>
      </c>
      <c r="BG107" s="16"/>
      <c r="BH107" s="189"/>
      <c r="BI107" s="6">
        <f t="shared" si="163"/>
        <v>9.98841563880377E-6</v>
      </c>
      <c r="BJ107" s="151">
        <f t="shared" si="164"/>
        <v>83.37090199660922</v>
      </c>
      <c r="BK107" s="177">
        <f t="shared" si="165"/>
        <v>551.75125731362323</v>
      </c>
      <c r="BL107" s="134">
        <f t="shared" si="166"/>
        <v>2.7417433314915929</v>
      </c>
      <c r="BM107" s="119">
        <f t="shared" si="167"/>
        <v>7.7387333846127785E-3</v>
      </c>
      <c r="BN107">
        <f t="shared" si="168"/>
        <v>39</v>
      </c>
      <c r="BO107" s="124">
        <f t="shared" si="169"/>
        <v>0.64166666666666672</v>
      </c>
      <c r="BP107" s="124"/>
      <c r="BQ107" s="124"/>
      <c r="BR107" s="14">
        <f t="shared" si="170"/>
        <v>1</v>
      </c>
      <c r="BX107" s="83"/>
      <c r="BY107" s="83"/>
      <c r="BZ107" s="83"/>
      <c r="CA107" s="83"/>
      <c r="CB107" s="83"/>
      <c r="CC107" s="151"/>
      <c r="CD107" s="177">
        <f t="shared" si="171"/>
        <v>46000</v>
      </c>
      <c r="CE107" s="134">
        <f t="shared" si="172"/>
        <v>4.6627578316815743</v>
      </c>
      <c r="CF107" s="119">
        <f t="shared" si="173"/>
        <v>7.7387333846127785E-3</v>
      </c>
      <c r="CG107">
        <f t="shared" si="174"/>
        <v>42</v>
      </c>
      <c r="CH107" s="124">
        <f t="shared" si="175"/>
        <v>0.69166666666666665</v>
      </c>
      <c r="CI107" s="124"/>
      <c r="CJ107" s="124"/>
      <c r="CK107" s="14">
        <f t="shared" si="176"/>
        <v>3</v>
      </c>
      <c r="CL107" s="16"/>
      <c r="DN107" s="191">
        <f t="shared" si="177"/>
        <v>3.5848910612385098E-8</v>
      </c>
      <c r="DO107" s="97"/>
      <c r="EA107" s="17">
        <f t="shared" si="178"/>
        <v>23</v>
      </c>
      <c r="EB107" s="16">
        <f t="shared" si="179"/>
        <v>2E-3</v>
      </c>
      <c r="EC107" s="16"/>
    </row>
    <row r="108" spans="1:133" x14ac:dyDescent="0.2">
      <c r="A108" s="8"/>
      <c r="B108" t="s">
        <v>149</v>
      </c>
      <c r="C108">
        <v>30</v>
      </c>
      <c r="D108" t="s">
        <v>117</v>
      </c>
      <c r="F108" s="9"/>
      <c r="G108" t="s">
        <v>111</v>
      </c>
      <c r="H108" s="1">
        <v>12</v>
      </c>
      <c r="I108" s="8">
        <v>403</v>
      </c>
      <c r="J108" t="s">
        <v>14</v>
      </c>
      <c r="K108" s="9" t="s">
        <v>153</v>
      </c>
      <c r="L108" s="1">
        <v>0.01</v>
      </c>
      <c r="M108" s="6">
        <v>0.04</v>
      </c>
      <c r="N108" s="1">
        <v>165.80749949115744</v>
      </c>
      <c r="O108" s="18">
        <f>VLOOKUP(I108,[1]CompDbase!$B:$K,9,FALSE)</f>
        <v>118.88250367033854</v>
      </c>
      <c r="P108" s="30">
        <v>3.4</v>
      </c>
      <c r="R108" s="1">
        <f t="shared" si="137"/>
        <v>-12.551068901296079</v>
      </c>
      <c r="S108" s="1">
        <f t="shared" si="138"/>
        <v>58.377969414674283</v>
      </c>
      <c r="T108" s="1">
        <f t="shared" si="139"/>
        <v>-0.46677276057511463</v>
      </c>
      <c r="U108" s="1">
        <f t="shared" si="140"/>
        <v>-0.39032380186282989</v>
      </c>
      <c r="V108" s="197">
        <f t="shared" si="141"/>
        <v>0</v>
      </c>
      <c r="W108" s="197">
        <f t="shared" si="142"/>
        <v>-13.408165463734022</v>
      </c>
      <c r="X108" s="118">
        <f t="shared" si="143"/>
        <v>3.3755790181637358E-9</v>
      </c>
      <c r="Y108" s="1">
        <f t="shared" si="144"/>
        <v>3.0399600800535533</v>
      </c>
      <c r="Z108" s="1">
        <f t="shared" si="145"/>
        <v>-0.74910321004742997</v>
      </c>
      <c r="AA108" s="1">
        <f t="shared" si="146"/>
        <v>5.9896049282869663E-3</v>
      </c>
      <c r="AB108" s="1">
        <f t="shared" si="147"/>
        <v>-0.10373764488404447</v>
      </c>
      <c r="AC108" s="197">
        <f t="shared" si="148"/>
        <v>0</v>
      </c>
      <c r="AD108" s="197">
        <f t="shared" si="149"/>
        <v>2.9422120400977958</v>
      </c>
      <c r="AE108" s="96">
        <f t="shared" si="150"/>
        <v>875.41108193381478</v>
      </c>
      <c r="AF108" s="98">
        <f t="shared" si="151"/>
        <v>2.9550192804438001E-6</v>
      </c>
      <c r="AG108" s="291">
        <v>0.26</v>
      </c>
      <c r="AH108" s="8"/>
      <c r="AI108" s="162">
        <v>2.0000000000000002E-5</v>
      </c>
      <c r="AJ108" s="167">
        <f t="shared" si="152"/>
        <v>1.9357647087815271E-2</v>
      </c>
      <c r="AK108" s="168">
        <f t="shared" si="153"/>
        <v>1.7521684123002745E-5</v>
      </c>
      <c r="AL108" s="151">
        <f t="shared" si="154"/>
        <v>13.431384445667355</v>
      </c>
      <c r="AM108" s="177">
        <f t="shared" si="155"/>
        <v>967.88235439076345</v>
      </c>
      <c r="AN108" s="134">
        <f t="shared" si="156"/>
        <v>2.9858225722423399</v>
      </c>
      <c r="AO108" s="119">
        <f t="shared" si="157"/>
        <v>2.1870333478253507E-3</v>
      </c>
      <c r="AP108">
        <f t="shared" si="158"/>
        <v>33</v>
      </c>
      <c r="AQ108" s="124">
        <f t="shared" ref="AQ108" si="196">(AP108-0.5)/MAX(AP$51:AP$117)</f>
        <v>0.54166666666666663</v>
      </c>
      <c r="AR108" s="124"/>
      <c r="AS108" s="124"/>
      <c r="AT108" s="14">
        <f t="shared" si="160"/>
        <v>1</v>
      </c>
      <c r="AZ108" s="83"/>
      <c r="BA108" s="83"/>
      <c r="BB108" s="83"/>
      <c r="BC108" s="83"/>
      <c r="BD108" s="83"/>
      <c r="BE108" s="8">
        <f t="shared" si="161"/>
        <v>3.0978166012228976E-3</v>
      </c>
      <c r="BF108" s="16">
        <f t="shared" si="162"/>
        <v>6.2488034573039686</v>
      </c>
      <c r="BG108" s="16"/>
      <c r="BH108" s="189"/>
      <c r="BI108" s="6">
        <f t="shared" si="163"/>
        <v>2.8040062777974514E-6</v>
      </c>
      <c r="BJ108" s="151">
        <f t="shared" si="164"/>
        <v>83.930081560464913</v>
      </c>
      <c r="BK108" s="177">
        <f t="shared" si="165"/>
        <v>154.89083006114487</v>
      </c>
      <c r="BL108" s="134">
        <f t="shared" si="166"/>
        <v>2.1900257071605771</v>
      </c>
      <c r="BM108" s="119">
        <f t="shared" si="167"/>
        <v>2.1870333478253507E-3</v>
      </c>
      <c r="BN108">
        <f t="shared" si="168"/>
        <v>28</v>
      </c>
      <c r="BO108" s="124">
        <f t="shared" si="169"/>
        <v>0.45833333333333331</v>
      </c>
      <c r="BP108" s="124"/>
      <c r="BQ108" s="124"/>
      <c r="BR108" s="14">
        <f t="shared" si="170"/>
        <v>1</v>
      </c>
      <c r="BX108" s="83"/>
      <c r="BY108" s="83"/>
      <c r="BZ108" s="83"/>
      <c r="CA108" s="83"/>
      <c r="CB108" s="83"/>
      <c r="CC108" s="151"/>
      <c r="CD108" s="177">
        <f t="shared" si="171"/>
        <v>13000</v>
      </c>
      <c r="CE108" s="134">
        <f t="shared" si="172"/>
        <v>4.1139433523068369</v>
      </c>
      <c r="CF108" s="119">
        <f t="shared" si="173"/>
        <v>2.1870333478253507E-3</v>
      </c>
      <c r="CG108">
        <f t="shared" si="174"/>
        <v>34</v>
      </c>
      <c r="CH108" s="124">
        <f t="shared" si="175"/>
        <v>0.55833333333333335</v>
      </c>
      <c r="CI108" s="124"/>
      <c r="CJ108" s="124"/>
      <c r="CK108" s="14">
        <f t="shared" si="176"/>
        <v>3</v>
      </c>
      <c r="CL108" s="16"/>
      <c r="DN108" s="191">
        <f t="shared" si="177"/>
        <v>3.5208106861125174E-8</v>
      </c>
      <c r="DO108" s="97"/>
      <c r="EA108" s="17">
        <f t="shared" si="178"/>
        <v>6.5</v>
      </c>
      <c r="EB108" s="16">
        <f t="shared" si="179"/>
        <v>2E-3</v>
      </c>
      <c r="EC108" s="16"/>
    </row>
    <row r="109" spans="1:133" x14ac:dyDescent="0.2">
      <c r="A109" s="8"/>
      <c r="B109" t="s">
        <v>149</v>
      </c>
      <c r="C109">
        <v>16</v>
      </c>
      <c r="D109" t="s">
        <v>124</v>
      </c>
      <c r="F109" s="9"/>
      <c r="G109" t="s">
        <v>111</v>
      </c>
      <c r="H109" s="1">
        <v>12</v>
      </c>
      <c r="I109" s="8">
        <v>406</v>
      </c>
      <c r="J109" t="s">
        <v>125</v>
      </c>
      <c r="K109" s="9">
        <v>0</v>
      </c>
      <c r="L109" s="1">
        <v>1E-4</v>
      </c>
      <c r="M109" s="6">
        <v>5.0000000000000001E-3</v>
      </c>
      <c r="N109" s="1">
        <v>62.5</v>
      </c>
      <c r="O109" s="18">
        <f>VLOOKUP(I109,[1]CompDbase!$B:$K,9,FALSE)</f>
        <v>428</v>
      </c>
      <c r="P109" s="30">
        <v>1.52</v>
      </c>
      <c r="R109" s="1">
        <f t="shared" si="137"/>
        <v>-11.390486212505994</v>
      </c>
      <c r="S109" s="1">
        <f t="shared" si="138"/>
        <v>32.167845014112942</v>
      </c>
      <c r="T109" s="1">
        <f t="shared" si="139"/>
        <v>-0.25720445520010921</v>
      </c>
      <c r="U109" s="1">
        <f t="shared" si="140"/>
        <v>-0.38709232340450622</v>
      </c>
      <c r="V109" s="197">
        <f t="shared" si="141"/>
        <v>0</v>
      </c>
      <c r="W109" s="197">
        <f t="shared" si="142"/>
        <v>-12.034782991110609</v>
      </c>
      <c r="X109" s="118">
        <f t="shared" si="143"/>
        <v>7.9750010951591415E-8</v>
      </c>
      <c r="Y109" s="1">
        <f t="shared" si="144"/>
        <v>0.97804209928752295</v>
      </c>
      <c r="Z109" s="1">
        <f t="shared" si="145"/>
        <v>3.6579419834164142</v>
      </c>
      <c r="AA109" s="1">
        <f t="shared" si="146"/>
        <v>-2.9247808629563249E-2</v>
      </c>
      <c r="AB109" s="1">
        <f t="shared" si="147"/>
        <v>-0.10330916575228137</v>
      </c>
      <c r="AC109" s="197">
        <f t="shared" si="148"/>
        <v>0</v>
      </c>
      <c r="AD109" s="197">
        <f t="shared" si="149"/>
        <v>0.8454851249056784</v>
      </c>
      <c r="AE109" s="96">
        <f t="shared" si="150"/>
        <v>7.0062418525605601</v>
      </c>
      <c r="AF109" s="98">
        <f t="shared" si="151"/>
        <v>5.5874786447120277E-7</v>
      </c>
      <c r="AG109" s="291">
        <v>2.7</v>
      </c>
      <c r="AH109" s="8"/>
      <c r="AI109" s="162">
        <v>2.0000000000000001E-4</v>
      </c>
      <c r="AJ109" s="167">
        <f t="shared" si="152"/>
        <v>3.8010058807564813E-2</v>
      </c>
      <c r="AK109" s="168">
        <f t="shared" si="153"/>
        <v>3.4405020450141634E-5</v>
      </c>
      <c r="AL109" s="151">
        <f t="shared" si="154"/>
        <v>71.033828536530507</v>
      </c>
      <c r="AM109" s="177">
        <f t="shared" si="155"/>
        <v>190.05029403782405</v>
      </c>
      <c r="AN109" s="134">
        <f t="shared" si="156"/>
        <v>2.2788685458618043</v>
      </c>
      <c r="AO109" s="119">
        <f t="shared" si="157"/>
        <v>6.3084112149532712E-3</v>
      </c>
      <c r="AP109">
        <f t="shared" si="158"/>
        <v>18</v>
      </c>
      <c r="AQ109" s="124">
        <f t="shared" ref="AQ109" si="197">(AP109-0.5)/MAX(AP$51:AP$117)</f>
        <v>0.29166666666666669</v>
      </c>
      <c r="AR109" s="124"/>
      <c r="AS109" s="124"/>
      <c r="AT109" s="14">
        <f t="shared" si="160"/>
        <v>1</v>
      </c>
      <c r="AZ109" s="83"/>
      <c r="BA109" s="83"/>
      <c r="BB109" s="83"/>
      <c r="BC109" s="83"/>
      <c r="BD109" s="83"/>
      <c r="BE109" s="8">
        <f t="shared" si="161"/>
        <v>3.8010058807564813E-2</v>
      </c>
      <c r="BF109" s="16">
        <f t="shared" si="162"/>
        <v>1</v>
      </c>
      <c r="BG109" s="16"/>
      <c r="BH109" s="189"/>
      <c r="BI109" s="6">
        <f t="shared" si="163"/>
        <v>3.4405020450141634E-5</v>
      </c>
      <c r="BJ109" s="151">
        <f t="shared" si="164"/>
        <v>71.033828536530507</v>
      </c>
      <c r="BK109" s="177">
        <f t="shared" si="165"/>
        <v>190.05029403782405</v>
      </c>
      <c r="BL109" s="134">
        <f t="shared" si="166"/>
        <v>2.2788685458618043</v>
      </c>
      <c r="BM109" s="119">
        <f t="shared" si="167"/>
        <v>6.3084112149532712E-3</v>
      </c>
      <c r="BN109">
        <f t="shared" si="168"/>
        <v>30</v>
      </c>
      <c r="BO109" s="124">
        <f t="shared" si="169"/>
        <v>0.49166666666666664</v>
      </c>
      <c r="BP109" s="124"/>
      <c r="BQ109" s="124"/>
      <c r="BR109" s="14">
        <f t="shared" si="170"/>
        <v>1</v>
      </c>
      <c r="BX109" s="83"/>
      <c r="BY109" s="83"/>
      <c r="BZ109" s="83"/>
      <c r="CA109" s="83"/>
      <c r="CB109" s="83"/>
      <c r="CC109" s="151"/>
      <c r="CD109" s="177">
        <f t="shared" si="171"/>
        <v>13500</v>
      </c>
      <c r="CE109" s="134">
        <f t="shared" si="172"/>
        <v>4.1303337684950066</v>
      </c>
      <c r="CF109" s="119">
        <f t="shared" si="173"/>
        <v>6.3084112149532712E-3</v>
      </c>
      <c r="CG109">
        <f t="shared" si="174"/>
        <v>35</v>
      </c>
      <c r="CH109" s="124">
        <f t="shared" si="175"/>
        <v>0.57499999999999996</v>
      </c>
      <c r="CI109" s="124"/>
      <c r="CJ109" s="124"/>
      <c r="CK109" s="14">
        <f t="shared" si="176"/>
        <v>3</v>
      </c>
      <c r="CL109" s="16"/>
      <c r="DN109" s="191">
        <f t="shared" si="177"/>
        <v>7.865940439685803E-9</v>
      </c>
      <c r="DO109" s="97"/>
      <c r="EA109" s="17">
        <f t="shared" si="178"/>
        <v>540</v>
      </c>
      <c r="EB109" s="16">
        <f t="shared" si="179"/>
        <v>2</v>
      </c>
      <c r="EC109" s="16"/>
    </row>
    <row r="110" spans="1:133" x14ac:dyDescent="0.2">
      <c r="A110" s="8"/>
      <c r="B110" t="s">
        <v>149</v>
      </c>
      <c r="C110">
        <v>31</v>
      </c>
      <c r="D110" t="s">
        <v>126</v>
      </c>
      <c r="F110" s="9"/>
      <c r="G110" t="s">
        <v>111</v>
      </c>
      <c r="H110" s="1">
        <v>12</v>
      </c>
      <c r="I110" s="8">
        <v>406</v>
      </c>
      <c r="J110" t="s">
        <v>125</v>
      </c>
      <c r="K110" s="9">
        <v>0</v>
      </c>
      <c r="L110" s="1">
        <v>1E-4</v>
      </c>
      <c r="M110" s="6">
        <v>5.0000000000000001E-3</v>
      </c>
      <c r="N110" s="1">
        <v>62.5</v>
      </c>
      <c r="O110" s="18">
        <f>VLOOKUP(I110,[1]CompDbase!$B:$K,9,FALSE)</f>
        <v>428</v>
      </c>
      <c r="P110" s="30">
        <v>1.52</v>
      </c>
      <c r="R110" s="1">
        <f t="shared" si="137"/>
        <v>-11.390486212505994</v>
      </c>
      <c r="S110" s="1">
        <f t="shared" si="138"/>
        <v>32.167845014112942</v>
      </c>
      <c r="T110" s="1">
        <f t="shared" si="139"/>
        <v>-0.25720445520010921</v>
      </c>
      <c r="U110" s="1">
        <f t="shared" si="140"/>
        <v>-0.39201845335071883</v>
      </c>
      <c r="V110" s="197">
        <f t="shared" si="141"/>
        <v>0</v>
      </c>
      <c r="W110" s="197">
        <f t="shared" si="142"/>
        <v>-12.039709121056822</v>
      </c>
      <c r="X110" s="118">
        <f t="shared" si="143"/>
        <v>7.8850530835727398E-8</v>
      </c>
      <c r="Y110" s="1">
        <f t="shared" si="144"/>
        <v>0.97804209928752295</v>
      </c>
      <c r="Z110" s="1">
        <f t="shared" si="145"/>
        <v>3.6579419834164142</v>
      </c>
      <c r="AA110" s="1">
        <f t="shared" si="146"/>
        <v>-2.9247808629563249E-2</v>
      </c>
      <c r="AB110" s="1">
        <f t="shared" si="147"/>
        <v>-0.10396234785128886</v>
      </c>
      <c r="AC110" s="197">
        <f t="shared" si="148"/>
        <v>0</v>
      </c>
      <c r="AD110" s="197">
        <f t="shared" si="149"/>
        <v>0.84483194280667084</v>
      </c>
      <c r="AE110" s="96">
        <f t="shared" si="150"/>
        <v>6.9957123334410412</v>
      </c>
      <c r="AF110" s="98">
        <f t="shared" si="151"/>
        <v>5.5161563106587131E-7</v>
      </c>
      <c r="AG110" s="291">
        <v>1.0999999999999999E-2</v>
      </c>
      <c r="AH110" s="8"/>
      <c r="AI110" s="162">
        <v>2.0000000000000001E-4</v>
      </c>
      <c r="AJ110" s="167">
        <f t="shared" si="152"/>
        <v>1.5287911165846771E-4</v>
      </c>
      <c r="AK110" s="168">
        <f t="shared" si="153"/>
        <v>1.3837939556047869E-7</v>
      </c>
      <c r="AL110" s="151">
        <f t="shared" si="154"/>
        <v>71.952275760039896</v>
      </c>
      <c r="AM110" s="177">
        <f t="shared" si="155"/>
        <v>0.76439555829233852</v>
      </c>
      <c r="AN110" s="134">
        <f t="shared" si="156"/>
        <v>-0.11668184518417818</v>
      </c>
      <c r="AO110" s="119">
        <f t="shared" si="157"/>
        <v>2.570093457943925E-5</v>
      </c>
      <c r="AP110">
        <f t="shared" si="158"/>
        <v>1</v>
      </c>
      <c r="AQ110" s="124">
        <f t="shared" ref="AQ110" si="198">(AP110-0.5)/MAX(AP$51:AP$117)</f>
        <v>8.3333333333333332E-3</v>
      </c>
      <c r="AR110" s="124"/>
      <c r="AS110" s="124"/>
      <c r="AT110" s="14">
        <f t="shared" si="160"/>
        <v>3</v>
      </c>
      <c r="AZ110" s="83"/>
      <c r="BA110" s="83"/>
      <c r="BB110" s="83"/>
      <c r="BC110" s="83"/>
      <c r="BD110" s="83"/>
      <c r="BE110" s="8">
        <f t="shared" si="161"/>
        <v>1.5287911165846771E-4</v>
      </c>
      <c r="BF110" s="16">
        <f t="shared" si="162"/>
        <v>1</v>
      </c>
      <c r="BG110" s="16"/>
      <c r="BH110" s="189"/>
      <c r="BI110" s="6">
        <f t="shared" si="163"/>
        <v>1.3837939556047869E-7</v>
      </c>
      <c r="BJ110" s="151">
        <f t="shared" si="164"/>
        <v>71.952275760039896</v>
      </c>
      <c r="BK110" s="177">
        <f t="shared" si="165"/>
        <v>0.76439555829233852</v>
      </c>
      <c r="BL110" s="134">
        <f t="shared" si="166"/>
        <v>-0.11668184518417818</v>
      </c>
      <c r="BM110" s="119">
        <f t="shared" si="167"/>
        <v>2.570093457943925E-5</v>
      </c>
      <c r="BN110">
        <f t="shared" si="168"/>
        <v>2</v>
      </c>
      <c r="BO110" s="124">
        <f t="shared" si="169"/>
        <v>2.5000000000000001E-2</v>
      </c>
      <c r="BP110" s="124"/>
      <c r="BQ110" s="124"/>
      <c r="BR110" s="14">
        <f t="shared" si="170"/>
        <v>3</v>
      </c>
      <c r="BX110" s="83"/>
      <c r="BY110" s="83"/>
      <c r="BZ110" s="83"/>
      <c r="CA110" s="83"/>
      <c r="CB110" s="83"/>
      <c r="CC110" s="151"/>
      <c r="CD110" s="177">
        <f t="shared" si="171"/>
        <v>54.999999999999993</v>
      </c>
      <c r="CE110" s="134">
        <f t="shared" si="172"/>
        <v>1.7403626894942439</v>
      </c>
      <c r="CF110" s="119">
        <f t="shared" si="173"/>
        <v>2.570093457943925E-5</v>
      </c>
      <c r="CG110">
        <f t="shared" si="174"/>
        <v>4</v>
      </c>
      <c r="CH110" s="124">
        <f t="shared" si="175"/>
        <v>5.8333333333333334E-2</v>
      </c>
      <c r="CI110" s="124"/>
      <c r="CJ110" s="124"/>
      <c r="CK110" s="14">
        <f t="shared" si="176"/>
        <v>3</v>
      </c>
      <c r="CL110" s="16"/>
      <c r="DN110" s="191">
        <f t="shared" si="177"/>
        <v>7.6664097867523159E-9</v>
      </c>
      <c r="DO110" s="97"/>
      <c r="EA110" s="17">
        <f t="shared" si="178"/>
        <v>2.1999999999999997</v>
      </c>
      <c r="EB110" s="16">
        <f t="shared" si="179"/>
        <v>2</v>
      </c>
      <c r="EC110" s="16"/>
    </row>
    <row r="111" spans="1:133" x14ac:dyDescent="0.2">
      <c r="A111" s="8"/>
      <c r="B111" t="s">
        <v>149</v>
      </c>
      <c r="C111">
        <v>10</v>
      </c>
      <c r="D111" t="s">
        <v>124</v>
      </c>
      <c r="F111" s="9"/>
      <c r="G111" t="s">
        <v>111</v>
      </c>
      <c r="H111" s="1">
        <v>12</v>
      </c>
      <c r="I111" s="8">
        <v>-200</v>
      </c>
      <c r="J111" t="s">
        <v>24</v>
      </c>
      <c r="K111" s="9" t="s">
        <v>154</v>
      </c>
      <c r="L111" s="1">
        <v>1E-3</v>
      </c>
      <c r="M111" s="6">
        <v>7.0000000000000007E-2</v>
      </c>
      <c r="N111" s="1">
        <v>106.18777634762812</v>
      </c>
      <c r="O111" s="18">
        <f>VLOOKUP(I111,[1]CompDbase!$B:$K,9,FALSE)</f>
        <v>209.09285927557949</v>
      </c>
      <c r="P111" s="30">
        <v>3.1566666666666667</v>
      </c>
      <c r="R111" s="1">
        <f t="shared" si="137"/>
        <v>-11.881285788437362</v>
      </c>
      <c r="S111" s="1">
        <f t="shared" si="138"/>
        <v>46.406888703625768</v>
      </c>
      <c r="T111" s="1">
        <f t="shared" si="139"/>
        <v>-0.37105558427403146</v>
      </c>
      <c r="U111" s="1">
        <f t="shared" si="140"/>
        <v>-0.35453960980635857</v>
      </c>
      <c r="V111" s="197">
        <f t="shared" si="141"/>
        <v>0</v>
      </c>
      <c r="W111" s="197">
        <f t="shared" si="142"/>
        <v>-12.606880982517753</v>
      </c>
      <c r="X111" s="118">
        <f t="shared" si="143"/>
        <v>2.1361549898334756E-8</v>
      </c>
      <c r="Y111" s="1">
        <f t="shared" si="144"/>
        <v>2.7730806250962483</v>
      </c>
      <c r="Z111" s="1">
        <f t="shared" si="145"/>
        <v>1.1934655484068486</v>
      </c>
      <c r="AA111" s="1">
        <f t="shared" si="146"/>
        <v>-9.5425931094672012E-3</v>
      </c>
      <c r="AB111" s="1">
        <f t="shared" si="147"/>
        <v>-9.8992826145207977E-2</v>
      </c>
      <c r="AC111" s="197">
        <f t="shared" si="148"/>
        <v>0</v>
      </c>
      <c r="AD111" s="197">
        <f t="shared" si="149"/>
        <v>2.6645452058415735</v>
      </c>
      <c r="AE111" s="96">
        <f t="shared" si="150"/>
        <v>461.89706839605446</v>
      </c>
      <c r="AF111" s="98">
        <f t="shared" si="151"/>
        <v>9.8668372744368585E-6</v>
      </c>
      <c r="AG111" s="291">
        <v>10</v>
      </c>
      <c r="AH111" s="8"/>
      <c r="AI111" s="162">
        <v>2.0000000000000002E-5</v>
      </c>
      <c r="AJ111" s="167">
        <f t="shared" si="152"/>
        <v>2.4859756297396967</v>
      </c>
      <c r="AK111" s="168">
        <f t="shared" si="153"/>
        <v>2.2501949500463728E-3</v>
      </c>
      <c r="AL111" s="151">
        <f t="shared" si="154"/>
        <v>4.0225655796340556</v>
      </c>
      <c r="AM111" s="177">
        <f t="shared" si="155"/>
        <v>124298.78148698482</v>
      </c>
      <c r="AN111" s="134">
        <f t="shared" si="156"/>
        <v>5.0944668712315684</v>
      </c>
      <c r="AO111" s="119">
        <f t="shared" si="157"/>
        <v>4.7825640888196158E-2</v>
      </c>
      <c r="AP111">
        <f t="shared" si="158"/>
        <v>58</v>
      </c>
      <c r="AQ111" s="124">
        <f t="shared" ref="AQ111" si="199">(AP111-0.5)/MAX(AP$51:AP$117)</f>
        <v>0.95833333333333337</v>
      </c>
      <c r="AR111" s="124"/>
      <c r="AS111" s="124"/>
      <c r="AT111" s="14">
        <f t="shared" si="160"/>
        <v>1</v>
      </c>
      <c r="AZ111" s="83"/>
      <c r="BA111" s="83"/>
      <c r="BB111" s="83"/>
      <c r="BC111" s="83"/>
      <c r="BD111" s="83"/>
      <c r="BE111" s="8">
        <f t="shared" si="161"/>
        <v>0.32298070296882414</v>
      </c>
      <c r="BF111" s="16">
        <f t="shared" si="162"/>
        <v>7.6969788191329078</v>
      </c>
      <c r="BG111" s="16"/>
      <c r="BH111" s="189"/>
      <c r="BI111" s="6">
        <f t="shared" si="163"/>
        <v>2.9234781632150381E-4</v>
      </c>
      <c r="BJ111" s="151">
        <f t="shared" si="164"/>
        <v>30.961602065016418</v>
      </c>
      <c r="BK111" s="177">
        <f t="shared" si="165"/>
        <v>16149.035148441206</v>
      </c>
      <c r="BL111" s="134">
        <f t="shared" si="166"/>
        <v>4.2081465797800996</v>
      </c>
      <c r="BM111" s="119">
        <f t="shared" si="167"/>
        <v>4.7825640888196158E-2</v>
      </c>
      <c r="BN111">
        <f t="shared" si="168"/>
        <v>58</v>
      </c>
      <c r="BO111" s="124">
        <f t="shared" si="169"/>
        <v>0.95833333333333337</v>
      </c>
      <c r="BP111" s="124"/>
      <c r="BQ111" s="124"/>
      <c r="BR111" s="14">
        <f t="shared" si="170"/>
        <v>1</v>
      </c>
      <c r="BX111" s="83"/>
      <c r="BY111" s="83"/>
      <c r="BZ111" s="83"/>
      <c r="CA111" s="83"/>
      <c r="CB111" s="83"/>
      <c r="CC111" s="151"/>
      <c r="CD111" s="177">
        <f t="shared" si="171"/>
        <v>499999.99999999994</v>
      </c>
      <c r="CE111" s="134">
        <f t="shared" si="172"/>
        <v>5.6989700043360187</v>
      </c>
      <c r="CF111" s="119">
        <f t="shared" si="173"/>
        <v>4.7825640888196158E-2</v>
      </c>
      <c r="CG111">
        <f t="shared" si="174"/>
        <v>58</v>
      </c>
      <c r="CH111" s="124">
        <f t="shared" si="175"/>
        <v>0.95833333333333337</v>
      </c>
      <c r="CI111" s="124"/>
      <c r="CJ111" s="124"/>
      <c r="CK111" s="14">
        <f t="shared" si="176"/>
        <v>3</v>
      </c>
      <c r="CL111" s="16"/>
      <c r="DN111" s="191">
        <f t="shared" si="177"/>
        <v>3.1867980389766134E-7</v>
      </c>
      <c r="DO111" s="97"/>
      <c r="EA111" s="17">
        <f t="shared" si="178"/>
        <v>142.85714285714283</v>
      </c>
      <c r="EB111" s="16">
        <f t="shared" si="179"/>
        <v>0.02</v>
      </c>
      <c r="EC111" s="16"/>
    </row>
    <row r="112" spans="1:133" x14ac:dyDescent="0.2">
      <c r="A112" s="8"/>
      <c r="B112" t="s">
        <v>149</v>
      </c>
      <c r="C112">
        <v>12</v>
      </c>
      <c r="D112" t="s">
        <v>123</v>
      </c>
      <c r="F112" s="9"/>
      <c r="G112" t="s">
        <v>111</v>
      </c>
      <c r="H112" s="1">
        <v>12</v>
      </c>
      <c r="I112" s="8">
        <v>-200</v>
      </c>
      <c r="J112" t="s">
        <v>24</v>
      </c>
      <c r="K112" s="9" t="s">
        <v>154</v>
      </c>
      <c r="L112" s="1">
        <v>1E-3</v>
      </c>
      <c r="M112" s="6">
        <v>7.0000000000000007E-2</v>
      </c>
      <c r="N112" s="1">
        <v>106.18777634762812</v>
      </c>
      <c r="O112" s="18">
        <f>VLOOKUP(I112,[1]CompDbase!$B:$K,9,FALSE)</f>
        <v>209.09285927557949</v>
      </c>
      <c r="P112" s="30">
        <v>3.1566666666666667</v>
      </c>
      <c r="R112" s="1">
        <f t="shared" si="137"/>
        <v>-11.881285788437362</v>
      </c>
      <c r="S112" s="1">
        <f t="shared" si="138"/>
        <v>46.406888703625768</v>
      </c>
      <c r="T112" s="1">
        <f t="shared" si="139"/>
        <v>-0.37105558427403146</v>
      </c>
      <c r="U112" s="1">
        <f t="shared" si="140"/>
        <v>-0.37591403699137532</v>
      </c>
      <c r="V112" s="197">
        <f t="shared" si="141"/>
        <v>0</v>
      </c>
      <c r="W112" s="197">
        <f t="shared" si="142"/>
        <v>-12.628255409702769</v>
      </c>
      <c r="X112" s="118">
        <f t="shared" si="143"/>
        <v>2.0335662839814452E-8</v>
      </c>
      <c r="Y112" s="1">
        <f t="shared" si="144"/>
        <v>2.7730806250962483</v>
      </c>
      <c r="Z112" s="1">
        <f t="shared" si="145"/>
        <v>1.1934655484068486</v>
      </c>
      <c r="AA112" s="1">
        <f t="shared" si="146"/>
        <v>-9.5425931094672012E-3</v>
      </c>
      <c r="AB112" s="1">
        <f t="shared" si="147"/>
        <v>-0.1018269765566331</v>
      </c>
      <c r="AC112" s="197">
        <f t="shared" si="148"/>
        <v>0</v>
      </c>
      <c r="AD112" s="197">
        <f t="shared" si="149"/>
        <v>2.661711055430148</v>
      </c>
      <c r="AE112" s="96">
        <f t="shared" si="150"/>
        <v>458.89260107274379</v>
      </c>
      <c r="AF112" s="98">
        <f t="shared" si="151"/>
        <v>9.3318852151007933E-6</v>
      </c>
      <c r="AG112" s="291">
        <v>4.3</v>
      </c>
      <c r="AH112" s="8"/>
      <c r="AI112" s="162">
        <v>2.0000000000000002E-5</v>
      </c>
      <c r="AJ112" s="167">
        <f t="shared" si="152"/>
        <v>1.0110130114621669</v>
      </c>
      <c r="AK112" s="168">
        <f t="shared" si="153"/>
        <v>9.1512416517999155E-4</v>
      </c>
      <c r="AL112" s="151">
        <f t="shared" si="154"/>
        <v>4.2531599012570274</v>
      </c>
      <c r="AM112" s="177">
        <f t="shared" si="155"/>
        <v>50550.650573108345</v>
      </c>
      <c r="AN112" s="134">
        <f t="shared" si="156"/>
        <v>4.7037267492147139</v>
      </c>
      <c r="AO112" s="119">
        <f t="shared" si="157"/>
        <v>2.056502558192435E-2</v>
      </c>
      <c r="AP112">
        <f t="shared" si="158"/>
        <v>56</v>
      </c>
      <c r="AQ112" s="124">
        <f t="shared" ref="AQ112" si="200">(AP112-0.5)/MAX(AP$51:AP$117)</f>
        <v>0.92500000000000004</v>
      </c>
      <c r="AR112" s="124"/>
      <c r="AS112" s="124"/>
      <c r="AT112" s="14">
        <f t="shared" si="160"/>
        <v>1</v>
      </c>
      <c r="AZ112" s="83"/>
      <c r="BA112" s="83"/>
      <c r="BB112" s="83"/>
      <c r="BC112" s="83"/>
      <c r="BD112" s="83"/>
      <c r="BE112" s="8">
        <f t="shared" si="161"/>
        <v>0.13439702789719049</v>
      </c>
      <c r="BF112" s="16">
        <f t="shared" si="162"/>
        <v>7.5225845934298494</v>
      </c>
      <c r="BG112" s="16"/>
      <c r="BH112" s="189"/>
      <c r="BI112" s="6">
        <f t="shared" si="163"/>
        <v>1.2165023255162218E-4</v>
      </c>
      <c r="BJ112" s="151">
        <f t="shared" si="164"/>
        <v>31.994755146589736</v>
      </c>
      <c r="BK112" s="177">
        <f t="shared" si="165"/>
        <v>6719.8513948595237</v>
      </c>
      <c r="BL112" s="134">
        <f t="shared" si="166"/>
        <v>3.8273596690201797</v>
      </c>
      <c r="BM112" s="119">
        <f t="shared" si="167"/>
        <v>2.056502558192435E-2</v>
      </c>
      <c r="BN112">
        <f t="shared" si="168"/>
        <v>56</v>
      </c>
      <c r="BO112" s="124">
        <f t="shared" si="169"/>
        <v>0.92500000000000004</v>
      </c>
      <c r="BP112" s="124"/>
      <c r="BQ112" s="124"/>
      <c r="BR112" s="14">
        <f t="shared" si="170"/>
        <v>1</v>
      </c>
      <c r="BX112" s="83"/>
      <c r="BY112" s="83"/>
      <c r="BZ112" s="83"/>
      <c r="CA112" s="83"/>
      <c r="CB112" s="83"/>
      <c r="CC112" s="151"/>
      <c r="CD112" s="177">
        <f t="shared" si="171"/>
        <v>214999.99999999997</v>
      </c>
      <c r="CE112" s="134">
        <f t="shared" si="172"/>
        <v>5.3324384599156049</v>
      </c>
      <c r="CF112" s="119">
        <f t="shared" si="173"/>
        <v>2.056502558192435E-2</v>
      </c>
      <c r="CG112">
        <f t="shared" si="174"/>
        <v>56</v>
      </c>
      <c r="CH112" s="124">
        <f t="shared" si="175"/>
        <v>0.92500000000000004</v>
      </c>
      <c r="CI112" s="124"/>
      <c r="CJ112" s="124"/>
      <c r="CK112" s="14">
        <f t="shared" si="176"/>
        <v>3</v>
      </c>
      <c r="CL112" s="16"/>
      <c r="DN112" s="191">
        <f t="shared" si="177"/>
        <v>2.9166921804355368E-7</v>
      </c>
      <c r="DO112" s="97"/>
      <c r="EA112" s="17">
        <f t="shared" si="178"/>
        <v>61.428571428571423</v>
      </c>
      <c r="EB112" s="16">
        <f t="shared" si="179"/>
        <v>0.02</v>
      </c>
      <c r="EC112" s="16"/>
    </row>
    <row r="113" spans="1:133" x14ac:dyDescent="0.2">
      <c r="A113" s="8"/>
      <c r="B113" t="s">
        <v>149</v>
      </c>
      <c r="C113">
        <v>19</v>
      </c>
      <c r="D113" t="s">
        <v>122</v>
      </c>
      <c r="F113" s="9"/>
      <c r="G113" t="s">
        <v>111</v>
      </c>
      <c r="H113" s="1">
        <v>12</v>
      </c>
      <c r="I113" s="8">
        <v>-200</v>
      </c>
      <c r="J113" t="s">
        <v>24</v>
      </c>
      <c r="K113" s="9" t="s">
        <v>154</v>
      </c>
      <c r="L113" s="1">
        <v>1E-3</v>
      </c>
      <c r="M113" s="6">
        <v>7.0000000000000007E-2</v>
      </c>
      <c r="N113" s="1">
        <v>106.18777634762812</v>
      </c>
      <c r="O113" s="18">
        <f>VLOOKUP(I113,[1]CompDbase!$B:$K,9,FALSE)</f>
        <v>209.09285927557949</v>
      </c>
      <c r="P113" s="30">
        <v>3.1566666666666667</v>
      </c>
      <c r="R113" s="1">
        <f t="shared" si="137"/>
        <v>-11.881285788437362</v>
      </c>
      <c r="S113" s="1">
        <f t="shared" si="138"/>
        <v>46.406888703625768</v>
      </c>
      <c r="T113" s="1">
        <f t="shared" si="139"/>
        <v>-0.37105558427403146</v>
      </c>
      <c r="U113" s="1">
        <f t="shared" si="140"/>
        <v>-0.38603876565796219</v>
      </c>
      <c r="V113" s="197">
        <f t="shared" si="141"/>
        <v>0</v>
      </c>
      <c r="W113" s="197">
        <f t="shared" si="142"/>
        <v>-12.638380138369357</v>
      </c>
      <c r="X113" s="118">
        <f t="shared" si="143"/>
        <v>1.9867060033224243E-8</v>
      </c>
      <c r="Y113" s="1">
        <f t="shared" si="144"/>
        <v>2.7730806250962483</v>
      </c>
      <c r="Z113" s="1">
        <f t="shared" si="145"/>
        <v>1.1934655484068486</v>
      </c>
      <c r="AA113" s="1">
        <f t="shared" si="146"/>
        <v>-9.5425931094672012E-3</v>
      </c>
      <c r="AB113" s="1">
        <f t="shared" si="147"/>
        <v>-0.10316946885678183</v>
      </c>
      <c r="AC113" s="197">
        <f t="shared" si="148"/>
        <v>0</v>
      </c>
      <c r="AD113" s="197">
        <f t="shared" si="149"/>
        <v>2.6603685631299996</v>
      </c>
      <c r="AE113" s="96">
        <f t="shared" si="150"/>
        <v>457.47626122342973</v>
      </c>
      <c r="AF113" s="98">
        <f t="shared" si="151"/>
        <v>9.0887083455008548E-6</v>
      </c>
      <c r="AG113" s="291">
        <v>1.6</v>
      </c>
      <c r="AH113" s="8"/>
      <c r="AI113" s="162">
        <v>2.0000000000000002E-5</v>
      </c>
      <c r="AJ113" s="167">
        <f t="shared" si="152"/>
        <v>0.36638783957675403</v>
      </c>
      <c r="AK113" s="168">
        <f t="shared" si="153"/>
        <v>3.3163803237296372E-4</v>
      </c>
      <c r="AL113" s="151">
        <f t="shared" si="154"/>
        <v>4.3669571617013743</v>
      </c>
      <c r="AM113" s="177">
        <f t="shared" si="155"/>
        <v>18319.391978837699</v>
      </c>
      <c r="AN113" s="134">
        <f t="shared" si="156"/>
        <v>4.2629110553243148</v>
      </c>
      <c r="AO113" s="119">
        <f t="shared" si="157"/>
        <v>7.6521025421113862E-3</v>
      </c>
      <c r="AP113">
        <f t="shared" si="158"/>
        <v>54</v>
      </c>
      <c r="AQ113" s="124">
        <f t="shared" ref="AQ113" si="201">(AP113-0.5)/MAX(AP$51:AP$117)</f>
        <v>0.89166666666666672</v>
      </c>
      <c r="AR113" s="124"/>
      <c r="AS113" s="124"/>
      <c r="AT113" s="14">
        <f t="shared" si="160"/>
        <v>1</v>
      </c>
      <c r="AZ113" s="83"/>
      <c r="BA113" s="83"/>
      <c r="BB113" s="83"/>
      <c r="BC113" s="83"/>
      <c r="BD113" s="83"/>
      <c r="BE113" s="8">
        <f t="shared" si="161"/>
        <v>4.9236667391016918E-2</v>
      </c>
      <c r="BF113" s="16">
        <f t="shared" si="162"/>
        <v>7.4413614688227332</v>
      </c>
      <c r="BG113" s="16"/>
      <c r="BH113" s="189"/>
      <c r="BI113" s="6">
        <f t="shared" si="163"/>
        <v>4.4566848924412056E-5</v>
      </c>
      <c r="BJ113" s="151">
        <f t="shared" si="164"/>
        <v>32.496106759084093</v>
      </c>
      <c r="BK113" s="177">
        <f t="shared" si="165"/>
        <v>2461.8333695508459</v>
      </c>
      <c r="BL113" s="134">
        <f t="shared" si="166"/>
        <v>3.3912586541462244</v>
      </c>
      <c r="BM113" s="119">
        <f t="shared" si="167"/>
        <v>7.6521025421113862E-3</v>
      </c>
      <c r="BN113">
        <f t="shared" si="168"/>
        <v>53</v>
      </c>
      <c r="BO113" s="124">
        <f t="shared" si="169"/>
        <v>0.875</v>
      </c>
      <c r="BP113" s="124"/>
      <c r="BQ113" s="124"/>
      <c r="BR113" s="14">
        <f t="shared" si="170"/>
        <v>1</v>
      </c>
      <c r="BX113" s="83"/>
      <c r="BY113" s="83"/>
      <c r="BZ113" s="83"/>
      <c r="CA113" s="83"/>
      <c r="CB113" s="83"/>
      <c r="CC113" s="151"/>
      <c r="CD113" s="177">
        <f t="shared" si="171"/>
        <v>80000</v>
      </c>
      <c r="CE113" s="134">
        <f t="shared" si="172"/>
        <v>4.9030899869919438</v>
      </c>
      <c r="CF113" s="119">
        <f t="shared" si="173"/>
        <v>7.6521025421113862E-3</v>
      </c>
      <c r="CG113">
        <f t="shared" si="174"/>
        <v>49</v>
      </c>
      <c r="CH113" s="124">
        <f t="shared" si="175"/>
        <v>0.80833333333333335</v>
      </c>
      <c r="CI113" s="124"/>
      <c r="CJ113" s="124"/>
      <c r="CK113" s="14">
        <f t="shared" si="176"/>
        <v>3</v>
      </c>
      <c r="CL113" s="16"/>
      <c r="DN113" s="191">
        <f t="shared" si="177"/>
        <v>2.7968606863836576E-7</v>
      </c>
      <c r="DO113" s="97"/>
      <c r="EA113" s="17">
        <f t="shared" si="178"/>
        <v>22.857142857142858</v>
      </c>
      <c r="EB113" s="16">
        <f t="shared" si="179"/>
        <v>0.02</v>
      </c>
      <c r="EC113" s="16"/>
    </row>
    <row r="114" spans="1:133" x14ac:dyDescent="0.2">
      <c r="A114" s="8"/>
      <c r="B114" t="s">
        <v>149</v>
      </c>
      <c r="C114">
        <v>23</v>
      </c>
      <c r="D114" t="s">
        <v>121</v>
      </c>
      <c r="F114" s="9"/>
      <c r="G114" t="s">
        <v>111</v>
      </c>
      <c r="H114" s="1">
        <v>12</v>
      </c>
      <c r="I114" s="8">
        <v>-200</v>
      </c>
      <c r="J114" t="s">
        <v>24</v>
      </c>
      <c r="K114" s="9" t="s">
        <v>154</v>
      </c>
      <c r="L114" s="1">
        <v>1E-3</v>
      </c>
      <c r="M114" s="6">
        <v>7.0000000000000007E-2</v>
      </c>
      <c r="N114" s="1">
        <v>106.18777634762812</v>
      </c>
      <c r="O114" s="18">
        <f>VLOOKUP(I114,[1]CompDbase!$B:$K,9,FALSE)</f>
        <v>209.09285927557949</v>
      </c>
      <c r="P114" s="30">
        <v>3.1566666666666667</v>
      </c>
      <c r="R114" s="1">
        <f t="shared" si="137"/>
        <v>-11.881285788437362</v>
      </c>
      <c r="S114" s="1">
        <f t="shared" si="138"/>
        <v>46.406888703625768</v>
      </c>
      <c r="T114" s="1">
        <f t="shared" si="139"/>
        <v>-0.37105558427403146</v>
      </c>
      <c r="U114" s="1">
        <f t="shared" si="140"/>
        <v>-0.38945117420855258</v>
      </c>
      <c r="V114" s="197">
        <f t="shared" si="141"/>
        <v>0</v>
      </c>
      <c r="W114" s="197">
        <f t="shared" si="142"/>
        <v>-12.641792546919946</v>
      </c>
      <c r="X114" s="118">
        <f t="shared" si="143"/>
        <v>1.9711569043745582E-8</v>
      </c>
      <c r="Y114" s="1">
        <f t="shared" si="144"/>
        <v>2.7730806250962483</v>
      </c>
      <c r="Z114" s="1">
        <f t="shared" si="145"/>
        <v>1.1934655484068486</v>
      </c>
      <c r="AA114" s="1">
        <f t="shared" si="146"/>
        <v>-9.5425931094672012E-3</v>
      </c>
      <c r="AB114" s="1">
        <f t="shared" si="147"/>
        <v>-0.103621938483869</v>
      </c>
      <c r="AC114" s="197">
        <f t="shared" si="148"/>
        <v>0</v>
      </c>
      <c r="AD114" s="197">
        <f t="shared" si="149"/>
        <v>2.6599160935029125</v>
      </c>
      <c r="AE114" s="96">
        <f t="shared" si="150"/>
        <v>456.9998878616089</v>
      </c>
      <c r="AF114" s="98">
        <f t="shared" si="151"/>
        <v>9.0081848425680917E-6</v>
      </c>
      <c r="AG114" s="291">
        <v>0.69000000000000006</v>
      </c>
      <c r="AH114" s="8"/>
      <c r="AI114" s="162">
        <v>2.0000000000000002E-5</v>
      </c>
      <c r="AJ114" s="167">
        <f t="shared" si="152"/>
        <v>0.1566048763258247</v>
      </c>
      <c r="AK114" s="168">
        <f t="shared" si="153"/>
        <v>1.417517925941639E-4</v>
      </c>
      <c r="AL114" s="151">
        <f t="shared" si="154"/>
        <v>4.4059930711507267</v>
      </c>
      <c r="AM114" s="177">
        <f t="shared" si="155"/>
        <v>7830.2438162912349</v>
      </c>
      <c r="AN114" s="134">
        <f t="shared" si="156"/>
        <v>3.8937752852279695</v>
      </c>
      <c r="AO114" s="119">
        <f t="shared" si="157"/>
        <v>3.2999692212855353E-3</v>
      </c>
      <c r="AP114">
        <f t="shared" si="158"/>
        <v>50</v>
      </c>
      <c r="AQ114" s="124">
        <f t="shared" ref="AQ114" si="202">(AP114-0.5)/MAX(AP$51:AP$117)</f>
        <v>0.82499999999999996</v>
      </c>
      <c r="AR114" s="124"/>
      <c r="AS114" s="124"/>
      <c r="AT114" s="14">
        <f t="shared" si="160"/>
        <v>1</v>
      </c>
      <c r="AZ114" s="83"/>
      <c r="BA114" s="83"/>
      <c r="BB114" s="83"/>
      <c r="BC114" s="83"/>
      <c r="BD114" s="83"/>
      <c r="BE114" s="8">
        <f t="shared" si="161"/>
        <v>2.1122333779908874E-2</v>
      </c>
      <c r="BF114" s="16">
        <f t="shared" si="162"/>
        <v>7.4141843395536169</v>
      </c>
      <c r="BG114" s="16"/>
      <c r="BH114" s="189"/>
      <c r="BI114" s="6">
        <f t="shared" si="163"/>
        <v>1.9119000297569933E-5</v>
      </c>
      <c r="BJ114" s="151">
        <f t="shared" si="164"/>
        <v>32.666844828307454</v>
      </c>
      <c r="BK114" s="177">
        <f t="shared" si="165"/>
        <v>1056.1166889954436</v>
      </c>
      <c r="BL114" s="134">
        <f t="shared" si="166"/>
        <v>3.0237119054961616</v>
      </c>
      <c r="BM114" s="119">
        <f t="shared" si="167"/>
        <v>3.2999692212855353E-3</v>
      </c>
      <c r="BN114">
        <f t="shared" si="168"/>
        <v>46</v>
      </c>
      <c r="BO114" s="124">
        <f t="shared" si="169"/>
        <v>0.7583333333333333</v>
      </c>
      <c r="BP114" s="124"/>
      <c r="BQ114" s="124"/>
      <c r="BR114" s="14">
        <f t="shared" si="170"/>
        <v>1</v>
      </c>
      <c r="BX114" s="83"/>
      <c r="BY114" s="83"/>
      <c r="BZ114" s="83"/>
      <c r="CA114" s="83"/>
      <c r="CB114" s="83"/>
      <c r="CC114" s="151"/>
      <c r="CD114" s="177">
        <f t="shared" si="171"/>
        <v>34500</v>
      </c>
      <c r="CE114" s="134">
        <f t="shared" si="172"/>
        <v>4.5378190950732744</v>
      </c>
      <c r="CF114" s="119">
        <f t="shared" si="173"/>
        <v>3.2999692212855353E-3</v>
      </c>
      <c r="CG114">
        <f t="shared" si="174"/>
        <v>40</v>
      </c>
      <c r="CH114" s="124">
        <f t="shared" si="175"/>
        <v>0.65833333333333333</v>
      </c>
      <c r="CI114" s="124"/>
      <c r="CJ114" s="124"/>
      <c r="CK114" s="14">
        <f t="shared" si="176"/>
        <v>3</v>
      </c>
      <c r="CL114" s="16"/>
      <c r="DN114" s="191">
        <f t="shared" si="177"/>
        <v>2.7575925651570884E-7</v>
      </c>
      <c r="DO114" s="97"/>
      <c r="EA114" s="17">
        <f t="shared" si="178"/>
        <v>9.8571428571428577</v>
      </c>
      <c r="EB114" s="16">
        <f t="shared" si="179"/>
        <v>0.02</v>
      </c>
      <c r="EC114" s="16"/>
    </row>
    <row r="115" spans="1:133" x14ac:dyDescent="0.2">
      <c r="A115" s="8"/>
      <c r="B115" t="s">
        <v>149</v>
      </c>
      <c r="C115">
        <v>24</v>
      </c>
      <c r="D115" t="s">
        <v>120</v>
      </c>
      <c r="F115" s="9"/>
      <c r="G115" t="s">
        <v>111</v>
      </c>
      <c r="H115" s="1">
        <v>12</v>
      </c>
      <c r="I115" s="8">
        <v>-200</v>
      </c>
      <c r="J115" t="s">
        <v>24</v>
      </c>
      <c r="K115" s="9" t="s">
        <v>154</v>
      </c>
      <c r="L115" s="1">
        <v>1E-3</v>
      </c>
      <c r="M115" s="6">
        <v>7.0000000000000007E-2</v>
      </c>
      <c r="N115" s="1">
        <v>106.18777634762812</v>
      </c>
      <c r="O115" s="18">
        <f>VLOOKUP(I115,[1]CompDbase!$B:$K,9,FALSE)</f>
        <v>209.09285927557949</v>
      </c>
      <c r="P115" s="30">
        <v>3.1566666666666667</v>
      </c>
      <c r="R115" s="1">
        <f t="shared" si="137"/>
        <v>-11.881285788437362</v>
      </c>
      <c r="S115" s="1">
        <f t="shared" si="138"/>
        <v>46.406888703625768</v>
      </c>
      <c r="T115" s="1">
        <f t="shared" si="139"/>
        <v>-0.37105558427403146</v>
      </c>
      <c r="U115" s="1">
        <f t="shared" si="140"/>
        <v>-0.38982616415916693</v>
      </c>
      <c r="V115" s="197">
        <f t="shared" si="141"/>
        <v>0</v>
      </c>
      <c r="W115" s="197">
        <f t="shared" si="142"/>
        <v>-12.642167536870561</v>
      </c>
      <c r="X115" s="118">
        <f t="shared" si="143"/>
        <v>1.9694556508734741E-8</v>
      </c>
      <c r="Y115" s="1">
        <f t="shared" si="144"/>
        <v>2.7730806250962483</v>
      </c>
      <c r="Z115" s="1">
        <f t="shared" si="145"/>
        <v>1.1934655484068486</v>
      </c>
      <c r="AA115" s="1">
        <f t="shared" si="146"/>
        <v>-9.5425931094672012E-3</v>
      </c>
      <c r="AB115" s="1">
        <f t="shared" si="147"/>
        <v>-0.10367166042091154</v>
      </c>
      <c r="AC115" s="197">
        <f t="shared" si="148"/>
        <v>0</v>
      </c>
      <c r="AD115" s="197">
        <f t="shared" si="149"/>
        <v>2.6598663715658697</v>
      </c>
      <c r="AE115" s="96">
        <f t="shared" si="150"/>
        <v>456.94756940054793</v>
      </c>
      <c r="AF115" s="98">
        <f t="shared" si="151"/>
        <v>8.9993797270880809E-6</v>
      </c>
      <c r="AG115" s="291">
        <v>0.59</v>
      </c>
      <c r="AH115" s="8"/>
      <c r="AI115" s="162">
        <v>2.0000000000000002E-5</v>
      </c>
      <c r="AJ115" s="167">
        <f t="shared" si="152"/>
        <v>0.13377762758835895</v>
      </c>
      <c r="AK115" s="168">
        <f t="shared" si="153"/>
        <v>1.2108957884676835E-4</v>
      </c>
      <c r="AL115" s="151">
        <f t="shared" si="154"/>
        <v>4.4103039546751575</v>
      </c>
      <c r="AM115" s="177">
        <f t="shared" si="155"/>
        <v>6688.8813794179468</v>
      </c>
      <c r="AN115" s="134">
        <f t="shared" si="156"/>
        <v>3.8253534942452005</v>
      </c>
      <c r="AO115" s="119">
        <f t="shared" si="157"/>
        <v>2.8217128124035733E-3</v>
      </c>
      <c r="AP115">
        <f t="shared" si="158"/>
        <v>49</v>
      </c>
      <c r="AQ115" s="124">
        <f t="shared" ref="AQ115" si="203">(AP115-0.5)/MAX(AP$51:AP$117)</f>
        <v>0.80833333333333335</v>
      </c>
      <c r="AR115" s="124"/>
      <c r="AS115" s="124"/>
      <c r="AT115" s="14">
        <f t="shared" si="160"/>
        <v>1</v>
      </c>
      <c r="AZ115" s="83"/>
      <c r="BA115" s="83"/>
      <c r="BB115" s="83"/>
      <c r="BC115" s="83"/>
      <c r="BD115" s="83"/>
      <c r="BE115" s="8">
        <f t="shared" si="161"/>
        <v>1.805072824469079E-2</v>
      </c>
      <c r="BF115" s="16">
        <f t="shared" si="162"/>
        <v>7.4112039013000235</v>
      </c>
      <c r="BG115" s="16"/>
      <c r="BH115" s="189"/>
      <c r="BI115" s="6">
        <f t="shared" si="163"/>
        <v>1.6338719114923772E-5</v>
      </c>
      <c r="BJ115" s="151">
        <f t="shared" si="164"/>
        <v>32.685661874807458</v>
      </c>
      <c r="BK115" s="177">
        <f t="shared" si="165"/>
        <v>902.5364122345394</v>
      </c>
      <c r="BL115" s="134">
        <f t="shared" si="166"/>
        <v>2.9554647322547423</v>
      </c>
      <c r="BM115" s="119">
        <f t="shared" si="167"/>
        <v>2.8217128124035733E-3</v>
      </c>
      <c r="BN115">
        <f t="shared" si="168"/>
        <v>45</v>
      </c>
      <c r="BO115" s="124">
        <f t="shared" si="169"/>
        <v>0.7416666666666667</v>
      </c>
      <c r="BP115" s="124"/>
      <c r="BQ115" s="124"/>
      <c r="BR115" s="14">
        <f t="shared" si="170"/>
        <v>1</v>
      </c>
      <c r="BX115" s="83"/>
      <c r="BY115" s="83"/>
      <c r="BZ115" s="83"/>
      <c r="CA115" s="83"/>
      <c r="CB115" s="83"/>
      <c r="CC115" s="151"/>
      <c r="CD115" s="177">
        <f t="shared" si="171"/>
        <v>29499.999999999996</v>
      </c>
      <c r="CE115" s="134">
        <f t="shared" si="172"/>
        <v>4.4698220159781625</v>
      </c>
      <c r="CF115" s="119">
        <f t="shared" si="173"/>
        <v>2.8217128124035733E-3</v>
      </c>
      <c r="CG115">
        <f t="shared" si="174"/>
        <v>39</v>
      </c>
      <c r="CH115" s="124">
        <f t="shared" si="175"/>
        <v>0.64166666666666672</v>
      </c>
      <c r="CI115" s="124"/>
      <c r="CJ115" s="124"/>
      <c r="CK115" s="14">
        <f t="shared" si="176"/>
        <v>3</v>
      </c>
      <c r="CL115" s="16"/>
      <c r="DN115" s="191">
        <f t="shared" si="177"/>
        <v>2.7533111495668907E-7</v>
      </c>
      <c r="DO115" s="97"/>
      <c r="EA115" s="17">
        <f t="shared" si="178"/>
        <v>8.428571428571427</v>
      </c>
      <c r="EB115" s="16">
        <f t="shared" si="179"/>
        <v>0.02</v>
      </c>
      <c r="EC115" s="16"/>
    </row>
    <row r="116" spans="1:133" x14ac:dyDescent="0.2">
      <c r="A116" s="8"/>
      <c r="B116" t="s">
        <v>149</v>
      </c>
      <c r="C116">
        <v>25</v>
      </c>
      <c r="D116" t="s">
        <v>117</v>
      </c>
      <c r="F116" s="9"/>
      <c r="G116" t="s">
        <v>111</v>
      </c>
      <c r="H116" s="1">
        <v>12</v>
      </c>
      <c r="I116" s="8">
        <v>-200</v>
      </c>
      <c r="J116" t="s">
        <v>24</v>
      </c>
      <c r="K116" s="9"/>
      <c r="L116" s="1">
        <v>1E-3</v>
      </c>
      <c r="M116" s="6">
        <v>7.0000000000000007E-2</v>
      </c>
      <c r="N116" s="1">
        <v>106.18777634762812</v>
      </c>
      <c r="O116" s="18">
        <f>VLOOKUP(I116,[1]CompDbase!$B:$K,9,FALSE)</f>
        <v>209.09285927557949</v>
      </c>
      <c r="P116" s="30">
        <v>3.1566666666666667</v>
      </c>
      <c r="R116" s="1">
        <f t="shared" si="137"/>
        <v>-11.881285788437362</v>
      </c>
      <c r="S116" s="1">
        <f t="shared" si="138"/>
        <v>46.406888703625768</v>
      </c>
      <c r="T116" s="1">
        <f t="shared" si="139"/>
        <v>-0.37105558427403146</v>
      </c>
      <c r="U116" s="1">
        <f t="shared" si="140"/>
        <v>-0.38990116214928983</v>
      </c>
      <c r="V116" s="197">
        <f t="shared" si="141"/>
        <v>0</v>
      </c>
      <c r="W116" s="197">
        <f t="shared" si="142"/>
        <v>-12.642242534860683</v>
      </c>
      <c r="X116" s="118">
        <f t="shared" si="143"/>
        <v>1.9691155764106662E-8</v>
      </c>
      <c r="Y116" s="1">
        <f t="shared" si="144"/>
        <v>2.7730806250962483</v>
      </c>
      <c r="Z116" s="1">
        <f t="shared" si="145"/>
        <v>1.1934655484068486</v>
      </c>
      <c r="AA116" s="1">
        <f t="shared" si="146"/>
        <v>-9.5425931094672012E-3</v>
      </c>
      <c r="AB116" s="1">
        <f t="shared" si="147"/>
        <v>-0.10368160480832005</v>
      </c>
      <c r="AC116" s="197">
        <f t="shared" si="148"/>
        <v>0</v>
      </c>
      <c r="AD116" s="197">
        <f t="shared" si="149"/>
        <v>2.659856427178461</v>
      </c>
      <c r="AE116" s="96">
        <f t="shared" si="150"/>
        <v>456.93710642710306</v>
      </c>
      <c r="AF116" s="98">
        <f t="shared" si="151"/>
        <v>8.9976197370562701E-6</v>
      </c>
      <c r="AG116" s="291">
        <v>0.57000000000000006</v>
      </c>
      <c r="AH116" s="8"/>
      <c r="AI116" s="162">
        <v>2.0000000000000002E-5</v>
      </c>
      <c r="AJ116" s="167">
        <f t="shared" si="152"/>
        <v>0.12921751700987841</v>
      </c>
      <c r="AK116" s="168">
        <f t="shared" si="153"/>
        <v>1.1696196887642267E-4</v>
      </c>
      <c r="AL116" s="151">
        <f t="shared" si="154"/>
        <v>4.4111666373872884</v>
      </c>
      <c r="AM116" s="177">
        <f t="shared" si="155"/>
        <v>6460.8758504939196</v>
      </c>
      <c r="AN116" s="134">
        <f t="shared" si="156"/>
        <v>3.8102913958980165</v>
      </c>
      <c r="AO116" s="119">
        <f t="shared" si="157"/>
        <v>2.7260615306271816E-3</v>
      </c>
      <c r="AP116">
        <f t="shared" si="158"/>
        <v>48</v>
      </c>
      <c r="AQ116" s="124">
        <f t="shared" ref="AQ116" si="204">(AP116-0.5)/MAX(AP$51:AP$117)</f>
        <v>0.79166666666666663</v>
      </c>
      <c r="AR116" s="124"/>
      <c r="AS116" s="124"/>
      <c r="AT116" s="14">
        <f t="shared" si="160"/>
        <v>1</v>
      </c>
      <c r="AZ116" s="83"/>
      <c r="BA116" s="83"/>
      <c r="BB116" s="83"/>
      <c r="BC116" s="83"/>
      <c r="BD116" s="83"/>
      <c r="BE116" s="8">
        <f t="shared" si="161"/>
        <v>1.7436830790675362E-2</v>
      </c>
      <c r="BF116" s="16">
        <f t="shared" si="162"/>
        <v>7.4106079574379802</v>
      </c>
      <c r="BG116" s="16"/>
      <c r="BH116" s="189"/>
      <c r="BI116" s="6">
        <f t="shared" si="163"/>
        <v>1.5783046350337384E-5</v>
      </c>
      <c r="BJ116" s="151">
        <f t="shared" si="164"/>
        <v>32.689426584607169</v>
      </c>
      <c r="BK116" s="177">
        <f t="shared" si="165"/>
        <v>871.84153953376801</v>
      </c>
      <c r="BL116" s="134">
        <f t="shared" si="166"/>
        <v>2.9404375574558284</v>
      </c>
      <c r="BM116" s="119">
        <f t="shared" si="167"/>
        <v>2.7260615306271816E-3</v>
      </c>
      <c r="BN116">
        <f t="shared" si="168"/>
        <v>44</v>
      </c>
      <c r="BO116" s="124">
        <f t="shared" si="169"/>
        <v>0.72499999999999998</v>
      </c>
      <c r="BP116" s="124"/>
      <c r="BQ116" s="124"/>
      <c r="BR116" s="14">
        <f t="shared" si="170"/>
        <v>1</v>
      </c>
      <c r="BX116" s="83"/>
      <c r="BY116" s="83"/>
      <c r="BZ116" s="83"/>
      <c r="CA116" s="83"/>
      <c r="CB116" s="83"/>
      <c r="CC116" s="151"/>
      <c r="CD116" s="177">
        <f t="shared" si="171"/>
        <v>28500</v>
      </c>
      <c r="CE116" s="134">
        <f t="shared" si="172"/>
        <v>4.4548448600085102</v>
      </c>
      <c r="CF116" s="119">
        <f t="shared" si="173"/>
        <v>2.7260615306271816E-3</v>
      </c>
      <c r="CG116">
        <f t="shared" si="174"/>
        <v>38</v>
      </c>
      <c r="CH116" s="124">
        <f t="shared" si="175"/>
        <v>0.625</v>
      </c>
      <c r="CI116" s="124"/>
      <c r="CJ116" s="124"/>
      <c r="CK116" s="14">
        <f t="shared" si="176"/>
        <v>3</v>
      </c>
      <c r="CL116" s="16"/>
      <c r="DN116" s="191">
        <f t="shared" si="177"/>
        <v>2.7524556644542301E-7</v>
      </c>
      <c r="DO116" s="97"/>
      <c r="EA116" s="17">
        <f t="shared" si="178"/>
        <v>8.1428571428571423</v>
      </c>
      <c r="EB116" s="16">
        <f t="shared" si="179"/>
        <v>0.02</v>
      </c>
      <c r="EC116" s="16"/>
    </row>
    <row r="117" spans="1:133" x14ac:dyDescent="0.2">
      <c r="A117" s="8"/>
      <c r="B117" t="s">
        <v>149</v>
      </c>
      <c r="C117">
        <v>29</v>
      </c>
      <c r="D117" t="s">
        <v>119</v>
      </c>
      <c r="F117" s="9"/>
      <c r="G117" t="s">
        <v>111</v>
      </c>
      <c r="H117" s="1">
        <v>12</v>
      </c>
      <c r="I117" s="8">
        <v>-200</v>
      </c>
      <c r="J117" t="s">
        <v>24</v>
      </c>
      <c r="K117" s="9" t="s">
        <v>154</v>
      </c>
      <c r="L117" s="1">
        <v>1E-3</v>
      </c>
      <c r="M117" s="6">
        <v>7.0000000000000007E-2</v>
      </c>
      <c r="N117" s="1">
        <v>106.18777634762812</v>
      </c>
      <c r="O117" s="18">
        <f>VLOOKUP(I117,[1]CompDbase!$B:$K,9,FALSE)</f>
        <v>209.09285927557949</v>
      </c>
      <c r="P117" s="30">
        <v>3.1566666666666667</v>
      </c>
      <c r="R117" s="1">
        <f t="shared" si="137"/>
        <v>-11.881285788437362</v>
      </c>
      <c r="S117" s="1">
        <f t="shared" si="138"/>
        <v>46.406888703625768</v>
      </c>
      <c r="T117" s="1">
        <f t="shared" si="139"/>
        <v>-0.37105558427403146</v>
      </c>
      <c r="U117" s="1">
        <f t="shared" si="140"/>
        <v>-0.39121362697643991</v>
      </c>
      <c r="V117" s="197">
        <f t="shared" si="141"/>
        <v>0</v>
      </c>
      <c r="W117" s="197">
        <f t="shared" si="142"/>
        <v>-12.643554999687833</v>
      </c>
      <c r="X117" s="118">
        <f t="shared" si="143"/>
        <v>1.9631737699355352E-8</v>
      </c>
      <c r="Y117" s="1">
        <f t="shared" si="144"/>
        <v>2.7730806250962483</v>
      </c>
      <c r="Z117" s="1">
        <f t="shared" si="145"/>
        <v>1.1934655484068486</v>
      </c>
      <c r="AA117" s="1">
        <f t="shared" si="146"/>
        <v>-9.5425931094672012E-3</v>
      </c>
      <c r="AB117" s="1">
        <f t="shared" si="147"/>
        <v>-0.10385563158796896</v>
      </c>
      <c r="AC117" s="197">
        <f t="shared" si="148"/>
        <v>0</v>
      </c>
      <c r="AD117" s="197">
        <f t="shared" si="149"/>
        <v>2.6596824003988124</v>
      </c>
      <c r="AE117" s="96">
        <f t="shared" si="150"/>
        <v>456.75404316835181</v>
      </c>
      <c r="AF117" s="98">
        <f t="shared" si="151"/>
        <v>8.9668755686011138E-6</v>
      </c>
      <c r="AG117" s="291">
        <v>0.22</v>
      </c>
      <c r="AH117" s="8"/>
      <c r="AI117" s="162">
        <v>2.0000000000000002E-5</v>
      </c>
      <c r="AJ117" s="167">
        <f t="shared" si="152"/>
        <v>4.9703013985695252E-2</v>
      </c>
      <c r="AK117" s="168">
        <f t="shared" si="153"/>
        <v>4.4988965191266365E-5</v>
      </c>
      <c r="AL117" s="151">
        <f t="shared" si="154"/>
        <v>4.4262909300292526</v>
      </c>
      <c r="AM117" s="177">
        <f t="shared" si="155"/>
        <v>2485.1506992847626</v>
      </c>
      <c r="AN117" s="134">
        <f t="shared" si="156"/>
        <v>3.3953527294409338</v>
      </c>
      <c r="AO117" s="119">
        <f t="shared" si="157"/>
        <v>1.0521640995403156E-3</v>
      </c>
      <c r="AP117">
        <f t="shared" si="158"/>
        <v>42</v>
      </c>
      <c r="AQ117" s="124">
        <f t="shared" ref="AQ117" si="205">(AP117-0.5)/MAX(AP$51:AP$117)</f>
        <v>0.69166666666666665</v>
      </c>
      <c r="AR117" s="124"/>
      <c r="AS117" s="124"/>
      <c r="AT117" s="14">
        <f t="shared" si="160"/>
        <v>1</v>
      </c>
      <c r="AZ117" s="83"/>
      <c r="BA117" s="83"/>
      <c r="BB117" s="83"/>
      <c r="BC117" s="83"/>
      <c r="BD117" s="83"/>
      <c r="BE117" s="8">
        <f t="shared" si="161"/>
        <v>6.71645406310093E-3</v>
      </c>
      <c r="BF117" s="16">
        <f t="shared" si="162"/>
        <v>7.400186693564283</v>
      </c>
      <c r="BG117" s="16"/>
      <c r="BH117" s="189"/>
      <c r="BI117" s="6">
        <f t="shared" si="163"/>
        <v>6.0794365134587628E-6</v>
      </c>
      <c r="BJ117" s="151">
        <f t="shared" si="164"/>
        <v>32.755379242246747</v>
      </c>
      <c r="BK117" s="177">
        <f t="shared" si="165"/>
        <v>335.8227031550465</v>
      </c>
      <c r="BL117" s="134">
        <f t="shared" si="166"/>
        <v>2.5261100530934693</v>
      </c>
      <c r="BM117" s="119">
        <f t="shared" si="167"/>
        <v>1.0521640995403156E-3</v>
      </c>
      <c r="BN117">
        <f t="shared" si="168"/>
        <v>35</v>
      </c>
      <c r="BO117" s="124">
        <f t="shared" si="169"/>
        <v>0.57499999999999996</v>
      </c>
      <c r="BP117" s="124"/>
      <c r="BQ117" s="124"/>
      <c r="BR117" s="14">
        <f t="shared" si="170"/>
        <v>1</v>
      </c>
      <c r="BX117" s="83"/>
      <c r="BY117" s="83"/>
      <c r="BZ117" s="83"/>
      <c r="CA117" s="83"/>
      <c r="CB117" s="83"/>
      <c r="CC117" s="151"/>
      <c r="CD117" s="177">
        <f t="shared" si="171"/>
        <v>11000</v>
      </c>
      <c r="CE117" s="134">
        <f t="shared" si="172"/>
        <v>4.0413926851582254</v>
      </c>
      <c r="CF117" s="119">
        <f t="shared" si="173"/>
        <v>1.0521640995403156E-3</v>
      </c>
      <c r="CG117">
        <f t="shared" si="174"/>
        <v>31</v>
      </c>
      <c r="CH117" s="124">
        <f t="shared" si="175"/>
        <v>0.5083333333333333</v>
      </c>
      <c r="CI117" s="124"/>
      <c r="CJ117" s="124"/>
      <c r="CK117" s="14">
        <f t="shared" si="176"/>
        <v>3</v>
      </c>
      <c r="CL117" s="16"/>
      <c r="DN117" s="191">
        <f t="shared" si="177"/>
        <v>2.737527629365973E-7</v>
      </c>
      <c r="DO117" s="97"/>
      <c r="EA117" s="17">
        <f t="shared" si="178"/>
        <v>3.1428571428571428</v>
      </c>
      <c r="EB117" s="16">
        <f t="shared" si="179"/>
        <v>0.02</v>
      </c>
      <c r="EC117" s="16"/>
    </row>
    <row r="118" spans="1:133" x14ac:dyDescent="0.2">
      <c r="A118" s="8"/>
      <c r="F118" s="9"/>
      <c r="I118" s="8"/>
      <c r="K118" s="9"/>
      <c r="M118" s="9"/>
      <c r="N118"/>
      <c r="O118"/>
      <c r="X118" s="9"/>
      <c r="AG118" s="10"/>
      <c r="AJ118" s="8"/>
      <c r="AK118" s="9"/>
      <c r="AL118" s="8"/>
      <c r="AP118"/>
      <c r="AQ118" s="16"/>
      <c r="AR118" s="16"/>
      <c r="AS118" s="16"/>
      <c r="BE118"/>
      <c r="BF118"/>
      <c r="BG118"/>
      <c r="BH118"/>
      <c r="BI118"/>
      <c r="BN118"/>
      <c r="BO118" s="16"/>
      <c r="BP118" s="16"/>
      <c r="BQ118" s="16"/>
      <c r="CG118"/>
      <c r="CH118" s="16"/>
      <c r="CI118" s="16"/>
      <c r="CJ118" s="16"/>
    </row>
    <row r="119" spans="1:133" x14ac:dyDescent="0.2">
      <c r="A119" s="8"/>
      <c r="F119" s="9"/>
      <c r="I119" s="8"/>
      <c r="K119" s="9"/>
      <c r="M119" s="9"/>
      <c r="N119"/>
      <c r="O119"/>
      <c r="X119" s="9"/>
      <c r="AG119" s="27"/>
      <c r="AI119" s="13"/>
      <c r="AJ119" s="8"/>
      <c r="AK119" s="9"/>
      <c r="AL119" s="8"/>
      <c r="AP119"/>
      <c r="AQ119" s="16"/>
      <c r="AR119" s="16"/>
      <c r="AS119" s="16"/>
      <c r="BE119"/>
      <c r="BF119"/>
      <c r="BG119"/>
      <c r="BH119"/>
      <c r="BI119"/>
      <c r="BN119"/>
      <c r="BO119" s="16"/>
      <c r="BP119" s="16"/>
      <c r="BQ119" s="16"/>
      <c r="BX119" t="s">
        <v>354</v>
      </c>
      <c r="BZ119" t="s">
        <v>356</v>
      </c>
      <c r="CG119"/>
      <c r="CH119" s="16"/>
      <c r="CI119" s="16"/>
      <c r="CJ119" s="16"/>
      <c r="EA119"/>
      <c r="EB119" s="13"/>
      <c r="EC119" s="13"/>
    </row>
    <row r="120" spans="1:133" x14ac:dyDescent="0.2">
      <c r="A120" s="8"/>
      <c r="F120" s="9"/>
      <c r="I120" s="8"/>
      <c r="K120" s="9"/>
      <c r="M120" s="9"/>
      <c r="N120"/>
      <c r="O120"/>
      <c r="X120" s="9"/>
      <c r="AG120" s="27"/>
      <c r="AI120" s="13"/>
      <c r="AJ120" s="8"/>
      <c r="AK120" s="9"/>
      <c r="AL120" s="8"/>
      <c r="AP120"/>
      <c r="AQ120" s="16"/>
      <c r="AR120" s="16"/>
      <c r="AS120" s="16"/>
      <c r="BE120"/>
      <c r="BF120"/>
      <c r="BG120"/>
      <c r="BH120"/>
      <c r="BI120"/>
      <c r="BJ120" t="s">
        <v>350</v>
      </c>
      <c r="BN120"/>
      <c r="BO120" s="16"/>
      <c r="BP120" s="16"/>
      <c r="BQ120" s="16"/>
      <c r="BZ120" t="s">
        <v>366</v>
      </c>
      <c r="CB120" t="s">
        <v>360</v>
      </c>
      <c r="CD120" t="s">
        <v>365</v>
      </c>
      <c r="CG120"/>
      <c r="CH120" s="16"/>
      <c r="CI120" s="16"/>
      <c r="CJ120" s="16"/>
      <c r="EA120"/>
      <c r="EB120" s="13"/>
      <c r="EC120" s="13"/>
    </row>
    <row r="121" spans="1:133" x14ac:dyDescent="0.2">
      <c r="A121" s="8"/>
      <c r="F121" s="9"/>
      <c r="I121" s="8"/>
      <c r="K121" s="9"/>
      <c r="M121" s="9"/>
      <c r="N121"/>
      <c r="O121"/>
      <c r="X121" s="9"/>
      <c r="AG121" s="27"/>
      <c r="AI121" s="13"/>
      <c r="AJ121" s="8"/>
      <c r="AK121" s="9"/>
      <c r="AL121" s="8"/>
      <c r="AP121"/>
      <c r="AQ121" s="16"/>
      <c r="AR121" s="16"/>
      <c r="AS121" s="16"/>
      <c r="BE121"/>
      <c r="BF121"/>
      <c r="BG121"/>
      <c r="BH121"/>
      <c r="BI121"/>
      <c r="BJ121" t="s">
        <v>351</v>
      </c>
      <c r="BN121"/>
      <c r="BO121" s="16"/>
      <c r="BP121" s="16"/>
      <c r="BQ121" s="16"/>
      <c r="BS121" t="s">
        <v>367</v>
      </c>
      <c r="BT121" t="s">
        <v>368</v>
      </c>
      <c r="BX121" t="s">
        <v>355</v>
      </c>
      <c r="BY121" t="s">
        <v>357</v>
      </c>
      <c r="BZ121" t="s">
        <v>355</v>
      </c>
      <c r="CA121" t="s">
        <v>357</v>
      </c>
      <c r="CB121" t="s">
        <v>355</v>
      </c>
      <c r="CC121" t="s">
        <v>357</v>
      </c>
      <c r="CD121" t="s">
        <v>355</v>
      </c>
      <c r="CG121"/>
      <c r="CH121" s="16"/>
      <c r="CI121" s="16"/>
      <c r="CJ121" s="16"/>
      <c r="EA121"/>
      <c r="EB121" s="13"/>
      <c r="EC121" s="13"/>
    </row>
    <row r="122" spans="1:133" x14ac:dyDescent="0.2">
      <c r="A122" s="8"/>
      <c r="F122" s="9"/>
      <c r="I122" s="8"/>
      <c r="K122" s="9"/>
      <c r="M122" s="9"/>
      <c r="N122"/>
      <c r="O122"/>
      <c r="X122" s="9"/>
      <c r="AG122" s="27"/>
      <c r="AI122" s="13"/>
      <c r="AJ122" s="8"/>
      <c r="AK122" s="9"/>
      <c r="AL122" s="8"/>
      <c r="AP122"/>
      <c r="AQ122" s="16"/>
      <c r="AR122" s="16"/>
      <c r="AS122" s="16"/>
      <c r="BE122"/>
      <c r="BF122"/>
      <c r="BG122"/>
      <c r="BH122"/>
      <c r="BI122"/>
      <c r="BK122" s="279">
        <f>BK51</f>
        <v>4.6703574039855882</v>
      </c>
      <c r="BL122">
        <f>LOG(BK122)</f>
        <v>0.66935011667734723</v>
      </c>
      <c r="BN122"/>
      <c r="BO122" s="16"/>
      <c r="BP122" s="16"/>
      <c r="BQ122" s="358">
        <f>BQ51</f>
        <v>0.42307692307692307</v>
      </c>
      <c r="BR122">
        <f>LOG(BQ122)</f>
        <v>-0.37358066281259295</v>
      </c>
      <c r="BS122">
        <f>BZ$153*BL122+CA$153</f>
        <v>-0.40598691521883667</v>
      </c>
      <c r="BT122">
        <f>BS122-BR122</f>
        <v>-3.240625240624373E-2</v>
      </c>
      <c r="BX122">
        <v>-2</v>
      </c>
      <c r="BY122">
        <f>10^BX122</f>
        <v>0.01</v>
      </c>
      <c r="BZ122">
        <f t="shared" ref="BZ122:BZ139" si="206">BZ$155*BX122+CA$155</f>
        <v>-3.6658999999999997</v>
      </c>
      <c r="CA122">
        <f>10^BZ122</f>
        <v>2.1582413053688641E-4</v>
      </c>
      <c r="CB122">
        <f t="shared" ref="CB122:CB136" si="207">BZ$153*BX122+CA$153</f>
        <v>-4.8621999999999996</v>
      </c>
      <c r="CC122">
        <f>10^CB122</f>
        <v>1.373409350977001E-5</v>
      </c>
      <c r="CD122">
        <f>BZ$152*BX122+CA$152</f>
        <v>5.1699999999999968E-2</v>
      </c>
      <c r="CG122"/>
      <c r="CH122" s="16"/>
      <c r="CI122" s="16"/>
      <c r="CJ122" s="16"/>
      <c r="EA122"/>
      <c r="EB122" s="13"/>
      <c r="EC122" s="13"/>
    </row>
    <row r="123" spans="1:133" x14ac:dyDescent="0.2">
      <c r="A123" s="8"/>
      <c r="F123" s="9"/>
      <c r="I123" s="8"/>
      <c r="K123" s="9"/>
      <c r="M123" s="9"/>
      <c r="N123"/>
      <c r="O123"/>
      <c r="X123" s="9"/>
      <c r="AG123" s="27"/>
      <c r="AJ123" s="8"/>
      <c r="AK123" s="9"/>
      <c r="AL123" s="8"/>
      <c r="AP123"/>
      <c r="AQ123" s="16"/>
      <c r="AR123" s="16"/>
      <c r="AS123" s="16"/>
      <c r="BE123"/>
      <c r="BF123"/>
      <c r="BG123"/>
      <c r="BH123"/>
      <c r="BI123"/>
      <c r="BK123" s="279">
        <f>BK53</f>
        <v>4.0709853890321455</v>
      </c>
      <c r="BL123">
        <f t="shared" ref="BL123:BL127" si="208">LOG(BK123)</f>
        <v>0.60969954367782697</v>
      </c>
      <c r="BN123"/>
      <c r="BO123" s="16"/>
      <c r="BP123" s="16"/>
      <c r="BQ123" s="358">
        <f>BQ53</f>
        <v>0.34615384615384615</v>
      </c>
      <c r="BR123">
        <f t="shared" ref="BR123:BR127" si="209">LOG(BQ123)</f>
        <v>-0.4607308385314931</v>
      </c>
      <c r="BS123">
        <f t="shared" ref="BS123:BS127" si="210">BZ$153*BL123+CA$153</f>
        <v>-0.50556758178423578</v>
      </c>
      <c r="BT123">
        <f t="shared" ref="BT123:BT127" si="211">BS123-BR123</f>
        <v>-4.4836743252742672E-2</v>
      </c>
      <c r="BX123">
        <f>BX122+0.2</f>
        <v>-1.8</v>
      </c>
      <c r="BY123">
        <f t="shared" ref="BY123:BY135" si="212">10^BX123</f>
        <v>1.5848931924611124E-2</v>
      </c>
      <c r="BZ123">
        <f t="shared" si="206"/>
        <v>-3.4529399999999999</v>
      </c>
      <c r="CA123">
        <f t="shared" ref="CA123" si="213">10^BZ123</f>
        <v>3.52419556240356E-4</v>
      </c>
      <c r="CB123">
        <f>BZ$153*BX123+CA$153</f>
        <v>-4.5283200000000008</v>
      </c>
      <c r="CC123">
        <f t="shared" ref="CC123:CC135" si="214">10^CB123</f>
        <v>2.9626476256520312E-5</v>
      </c>
      <c r="CD123">
        <f t="shared" ref="CD123:CD148" si="215">BZ$152*BX123+CA$152</f>
        <v>0.13223999999999991</v>
      </c>
      <c r="CG123"/>
      <c r="CH123" s="16"/>
      <c r="CI123" s="16"/>
      <c r="CJ123" s="16"/>
      <c r="EA123"/>
    </row>
    <row r="124" spans="1:133" x14ac:dyDescent="0.2">
      <c r="A124" s="8"/>
      <c r="F124" s="9"/>
      <c r="I124" s="8"/>
      <c r="K124" s="9"/>
      <c r="M124" s="9"/>
      <c r="N124"/>
      <c r="O124"/>
      <c r="X124" s="9"/>
      <c r="AG124" s="27"/>
      <c r="AJ124" s="8"/>
      <c r="AK124" s="9"/>
      <c r="AL124" s="8"/>
      <c r="AP124"/>
      <c r="AQ124" s="16"/>
      <c r="AR124" s="16"/>
      <c r="AS124" s="16"/>
      <c r="BE124"/>
      <c r="BF124"/>
      <c r="BG124"/>
      <c r="BH124"/>
      <c r="BI124"/>
      <c r="BK124" s="279">
        <f>BK56</f>
        <v>2.2930238757236747</v>
      </c>
      <c r="BL124">
        <f t="shared" si="208"/>
        <v>0.36040857677139543</v>
      </c>
      <c r="BN124"/>
      <c r="BO124" s="16"/>
      <c r="BP124" s="16"/>
      <c r="BQ124" s="358">
        <f>BQ56</f>
        <v>0.11538461538461539</v>
      </c>
      <c r="BR124">
        <f t="shared" si="209"/>
        <v>-0.93785209325115548</v>
      </c>
      <c r="BS124">
        <f t="shared" si="210"/>
        <v>-0.92173392193783255</v>
      </c>
      <c r="BT124">
        <f t="shared" si="211"/>
        <v>1.6118171313322938E-2</v>
      </c>
      <c r="BX124">
        <f t="shared" ref="BX124:BX133" si="216">BX123+0.2</f>
        <v>-1.6</v>
      </c>
      <c r="BY124">
        <f t="shared" si="212"/>
        <v>2.511886431509578E-2</v>
      </c>
      <c r="BZ124">
        <f t="shared" si="206"/>
        <v>-3.2399800000000001</v>
      </c>
      <c r="CA124">
        <f t="shared" ref="CA124" si="217">10^BZ124</f>
        <v>5.7546643793578297E-4</v>
      </c>
      <c r="CB124">
        <f>BZ$153*BX124+CA$153</f>
        <v>-4.1944400000000002</v>
      </c>
      <c r="CC124">
        <f t="shared" si="214"/>
        <v>6.3908702438481105E-5</v>
      </c>
      <c r="CD124">
        <f t="shared" si="215"/>
        <v>0.21277999999999997</v>
      </c>
      <c r="CG124"/>
      <c r="CH124" s="16"/>
      <c r="CI124" s="16"/>
      <c r="CJ124" s="16"/>
      <c r="EA124"/>
    </row>
    <row r="125" spans="1:133" x14ac:dyDescent="0.2">
      <c r="A125" s="8"/>
      <c r="F125" s="9"/>
      <c r="I125" s="8"/>
      <c r="K125" s="9"/>
      <c r="M125" s="9"/>
      <c r="N125"/>
      <c r="O125"/>
      <c r="X125" s="9"/>
      <c r="AG125" s="27"/>
      <c r="AJ125" s="8"/>
      <c r="AK125" s="9"/>
      <c r="AL125" s="8"/>
      <c r="AP125"/>
      <c r="AQ125" s="16"/>
      <c r="AR125" s="16"/>
      <c r="AS125" s="16"/>
      <c r="BE125"/>
      <c r="BF125"/>
      <c r="BG125"/>
      <c r="BH125"/>
      <c r="BI125"/>
      <c r="BK125" s="279">
        <f>BK57</f>
        <v>4.0294790281873647</v>
      </c>
      <c r="BL125">
        <f t="shared" si="208"/>
        <v>0.6052488997864931</v>
      </c>
      <c r="BN125"/>
      <c r="BO125" s="16"/>
      <c r="BP125" s="16"/>
      <c r="BQ125" s="358">
        <f>BQ57</f>
        <v>0.26923076923076922</v>
      </c>
      <c r="BR125">
        <f t="shared" si="209"/>
        <v>-0.56987530795656116</v>
      </c>
      <c r="BS125">
        <f t="shared" si="210"/>
        <v>-0.51299748669642842</v>
      </c>
      <c r="BT125">
        <f t="shared" si="211"/>
        <v>5.6877821260132744E-2</v>
      </c>
      <c r="BX125">
        <f t="shared" si="216"/>
        <v>-1.4000000000000001</v>
      </c>
      <c r="BY125">
        <f t="shared" si="212"/>
        <v>3.9810717055349713E-2</v>
      </c>
      <c r="BZ125">
        <f t="shared" si="206"/>
        <v>-3.0270200000000003</v>
      </c>
      <c r="CA125">
        <f t="shared" ref="CA125" si="218">10^BZ125</f>
        <v>9.3968003570335632E-4</v>
      </c>
      <c r="CB125">
        <f t="shared" si="207"/>
        <v>-3.8605600000000004</v>
      </c>
      <c r="CC125">
        <f t="shared" si="214"/>
        <v>1.378605478426217E-4</v>
      </c>
      <c r="CD125">
        <f t="shared" si="215"/>
        <v>0.29331999999999991</v>
      </c>
      <c r="CG125"/>
      <c r="CH125" s="16"/>
      <c r="CI125" s="16"/>
      <c r="CJ125" s="16"/>
      <c r="EA125"/>
    </row>
    <row r="126" spans="1:133" x14ac:dyDescent="0.2">
      <c r="A126" s="8"/>
      <c r="F126" s="9"/>
      <c r="I126" s="8"/>
      <c r="K126" s="9"/>
      <c r="M126" s="9"/>
      <c r="N126"/>
      <c r="O126"/>
      <c r="X126" s="9"/>
      <c r="AG126" s="27"/>
      <c r="AJ126" s="8"/>
      <c r="AK126" s="9"/>
      <c r="AL126" s="8"/>
      <c r="AP126"/>
      <c r="AQ126" s="16"/>
      <c r="AR126" s="16"/>
      <c r="AS126" s="16"/>
      <c r="BE126"/>
      <c r="BF126"/>
      <c r="BG126"/>
      <c r="BH126"/>
      <c r="BI126"/>
      <c r="BK126" s="279">
        <f>BK60</f>
        <v>3.1287170889939904</v>
      </c>
      <c r="BL126">
        <f t="shared" si="208"/>
        <v>0.4953662942923554</v>
      </c>
      <c r="BN126"/>
      <c r="BO126" s="16"/>
      <c r="BP126" s="16"/>
      <c r="BQ126" s="358">
        <f>BQ60</f>
        <v>0.19230769230769232</v>
      </c>
      <c r="BR126">
        <f t="shared" si="209"/>
        <v>-0.71600334363479912</v>
      </c>
      <c r="BS126">
        <f t="shared" si="210"/>
        <v>-0.696435508308342</v>
      </c>
      <c r="BT126">
        <f t="shared" si="211"/>
        <v>1.9567835326457117E-2</v>
      </c>
      <c r="BX126">
        <f t="shared" si="216"/>
        <v>-1.2000000000000002</v>
      </c>
      <c r="BY126">
        <f t="shared" si="212"/>
        <v>6.3095734448019289E-2</v>
      </c>
      <c r="BZ126">
        <f t="shared" si="206"/>
        <v>-2.8140600000000004</v>
      </c>
      <c r="CA126">
        <f t="shared" ref="CA126" si="219">10^BZ126</f>
        <v>1.5344049822728233E-3</v>
      </c>
      <c r="CB126">
        <f t="shared" si="207"/>
        <v>-3.5266800000000003</v>
      </c>
      <c r="CC126">
        <f t="shared" si="214"/>
        <v>2.9738564430662091E-4</v>
      </c>
      <c r="CD126">
        <f t="shared" si="215"/>
        <v>0.37385999999999991</v>
      </c>
      <c r="CG126"/>
      <c r="CH126" s="16"/>
      <c r="CI126" s="16"/>
      <c r="CJ126" s="16"/>
      <c r="EA126"/>
    </row>
    <row r="127" spans="1:133" x14ac:dyDescent="0.2">
      <c r="A127" s="8"/>
      <c r="F127" s="9"/>
      <c r="I127" s="8"/>
      <c r="K127" s="9"/>
      <c r="M127" s="9"/>
      <c r="N127"/>
      <c r="O127"/>
      <c r="X127" s="9"/>
      <c r="AG127" s="27"/>
      <c r="AJ127" s="8"/>
      <c r="AK127" s="9"/>
      <c r="AL127" s="8"/>
      <c r="AP127"/>
      <c r="AQ127" s="16"/>
      <c r="AR127" s="16"/>
      <c r="AS127" s="16"/>
      <c r="BE127"/>
      <c r="BF127"/>
      <c r="BG127"/>
      <c r="BH127"/>
      <c r="BI127"/>
      <c r="BK127" s="279">
        <f>BK87</f>
        <v>1.137198356239735</v>
      </c>
      <c r="BL127">
        <f t="shared" si="208"/>
        <v>5.5836223269082857E-2</v>
      </c>
      <c r="BN127"/>
      <c r="BO127" s="16"/>
      <c r="BP127" s="16"/>
      <c r="BQ127" s="358">
        <f>BQ87</f>
        <v>3.8461538461538464E-2</v>
      </c>
      <c r="BR127">
        <f t="shared" si="209"/>
        <v>-1.414973347970818</v>
      </c>
      <c r="BS127">
        <f t="shared" si="210"/>
        <v>-1.4301870088745932</v>
      </c>
      <c r="BT127">
        <f t="shared" si="211"/>
        <v>-1.5213660903775184E-2</v>
      </c>
      <c r="BX127">
        <f t="shared" si="216"/>
        <v>-1.0000000000000002</v>
      </c>
      <c r="BY127">
        <f t="shared" si="212"/>
        <v>9.9999999999999922E-2</v>
      </c>
      <c r="BZ127">
        <f t="shared" si="206"/>
        <v>-2.6011000000000002</v>
      </c>
      <c r="CA127">
        <f t="shared" ref="CA127" si="220">10^BZ127</f>
        <v>2.505532266481948E-3</v>
      </c>
      <c r="CB127">
        <f t="shared" si="207"/>
        <v>-3.1928000000000005</v>
      </c>
      <c r="CC127">
        <f t="shared" si="214"/>
        <v>6.4150493251066178E-4</v>
      </c>
      <c r="CD127">
        <f t="shared" si="215"/>
        <v>0.45439999999999986</v>
      </c>
      <c r="CG127"/>
      <c r="CH127" s="16"/>
      <c r="CI127" s="16"/>
      <c r="CJ127" s="16"/>
      <c r="EA127"/>
    </row>
    <row r="128" spans="1:133" x14ac:dyDescent="0.2">
      <c r="A128" s="8"/>
      <c r="F128" s="9"/>
      <c r="I128" s="8"/>
      <c r="K128" s="9"/>
      <c r="M128" s="9"/>
      <c r="N128"/>
      <c r="O128"/>
      <c r="X128" s="9"/>
      <c r="AG128" s="27"/>
      <c r="AJ128" s="8"/>
      <c r="AK128" s="9"/>
      <c r="AL128" s="8"/>
      <c r="AP128"/>
      <c r="AQ128" s="16"/>
      <c r="AR128" s="16"/>
      <c r="AS128" s="16"/>
      <c r="BE128"/>
      <c r="BF128"/>
      <c r="BG128"/>
      <c r="BH128"/>
      <c r="BI128"/>
      <c r="BJ128" t="s">
        <v>352</v>
      </c>
      <c r="BN128"/>
      <c r="BO128" s="16"/>
      <c r="BP128" s="16"/>
      <c r="BQ128" s="16"/>
      <c r="BX128">
        <f t="shared" si="216"/>
        <v>-0.80000000000000027</v>
      </c>
      <c r="BY128">
        <f t="shared" si="212"/>
        <v>0.1584893192461112</v>
      </c>
      <c r="BZ128">
        <f t="shared" si="206"/>
        <v>-2.3881400000000004</v>
      </c>
      <c r="CA128">
        <f t="shared" ref="CA128" si="221">10^BZ128</f>
        <v>4.0912875094314283E-3</v>
      </c>
      <c r="CB128">
        <f t="shared" si="207"/>
        <v>-2.8589200000000003</v>
      </c>
      <c r="CC128">
        <f t="shared" si="214"/>
        <v>1.3838212647924611E-3</v>
      </c>
      <c r="CD128">
        <f t="shared" si="215"/>
        <v>0.53493999999999986</v>
      </c>
      <c r="CG128"/>
      <c r="CH128" s="16"/>
      <c r="CI128" s="16"/>
      <c r="CJ128" s="16"/>
      <c r="EA128"/>
    </row>
    <row r="129" spans="1:131" x14ac:dyDescent="0.2">
      <c r="A129" s="8"/>
      <c r="F129" s="9"/>
      <c r="I129" s="8"/>
      <c r="K129" s="9"/>
      <c r="M129" s="9"/>
      <c r="N129"/>
      <c r="O129"/>
      <c r="X129" s="9"/>
      <c r="AG129" s="27"/>
      <c r="AJ129" s="8"/>
      <c r="AK129" s="9"/>
      <c r="AL129" s="8"/>
      <c r="AP129"/>
      <c r="AQ129" s="16"/>
      <c r="AR129" s="16"/>
      <c r="AS129" s="16"/>
      <c r="BE129"/>
      <c r="BF129"/>
      <c r="BG129"/>
      <c r="BH129"/>
      <c r="BI129"/>
      <c r="BK129" s="279">
        <f>BK51</f>
        <v>4.6703574039855882</v>
      </c>
      <c r="BL129">
        <f t="shared" ref="BL129:BL136" si="222">LOG(BK129)</f>
        <v>0.66935011667734723</v>
      </c>
      <c r="BN129"/>
      <c r="BO129" s="16"/>
      <c r="BP129" s="16"/>
      <c r="BQ129" s="358">
        <f>BQ51</f>
        <v>0.42307692307692307</v>
      </c>
      <c r="BR129">
        <f t="shared" ref="BR129:BR136" si="223">LOG(BQ129)</f>
        <v>-0.37358066281259295</v>
      </c>
      <c r="BX129">
        <f t="shared" si="216"/>
        <v>-0.60000000000000031</v>
      </c>
      <c r="BY129">
        <f t="shared" si="212"/>
        <v>0.25118864315095779</v>
      </c>
      <c r="BZ129">
        <f t="shared" si="206"/>
        <v>-2.1751800000000001</v>
      </c>
      <c r="CA129">
        <f t="shared" ref="CA129" si="224">10^BZ129</f>
        <v>6.6806696959175859E-3</v>
      </c>
      <c r="CB129">
        <f t="shared" si="207"/>
        <v>-2.5250400000000006</v>
      </c>
      <c r="CC129">
        <f t="shared" si="214"/>
        <v>2.9851076676795135E-3</v>
      </c>
      <c r="CD129">
        <f t="shared" si="215"/>
        <v>0.61547999999999981</v>
      </c>
      <c r="CG129"/>
      <c r="CH129" s="16"/>
      <c r="CI129" s="16"/>
      <c r="CJ129" s="16"/>
      <c r="EA129"/>
    </row>
    <row r="130" spans="1:131" x14ac:dyDescent="0.2">
      <c r="A130" s="8"/>
      <c r="F130" s="9"/>
      <c r="I130" s="8"/>
      <c r="K130" s="9"/>
      <c r="M130" s="9"/>
      <c r="N130"/>
      <c r="O130"/>
      <c r="X130" s="9"/>
      <c r="AG130" s="27"/>
      <c r="AJ130" s="8"/>
      <c r="AK130" s="9"/>
      <c r="AL130" s="8"/>
      <c r="AP130"/>
      <c r="AQ130" s="16"/>
      <c r="AR130" s="16"/>
      <c r="AS130" s="16"/>
      <c r="BE130"/>
      <c r="BF130"/>
      <c r="BG130"/>
      <c r="BH130"/>
      <c r="BI130"/>
      <c r="BK130" s="279">
        <f>BK52</f>
        <v>7.1624688891175934</v>
      </c>
      <c r="BL130">
        <f t="shared" si="222"/>
        <v>0.85506274857909037</v>
      </c>
      <c r="BN130"/>
      <c r="BO130" s="16"/>
      <c r="BP130" s="16"/>
      <c r="BQ130" s="358">
        <f>BQ52</f>
        <v>0.5</v>
      </c>
      <c r="BR130">
        <f t="shared" si="223"/>
        <v>-0.3010299956639812</v>
      </c>
      <c r="BX130">
        <f t="shared" si="216"/>
        <v>-0.4000000000000003</v>
      </c>
      <c r="BY130">
        <f t="shared" si="212"/>
        <v>0.39810717055349698</v>
      </c>
      <c r="BZ130">
        <f t="shared" si="206"/>
        <v>-1.9622200000000003</v>
      </c>
      <c r="CA130">
        <f t="shared" ref="CA130" si="225">10^BZ130</f>
        <v>1.0908875869286919E-2</v>
      </c>
      <c r="CB130">
        <f t="shared" si="207"/>
        <v>-2.1911600000000004</v>
      </c>
      <c r="CC130">
        <f t="shared" si="214"/>
        <v>6.4393198849819963E-3</v>
      </c>
      <c r="CD130">
        <f t="shared" si="215"/>
        <v>0.69601999999999986</v>
      </c>
      <c r="CG130"/>
      <c r="CH130" s="16"/>
      <c r="CI130" s="16"/>
      <c r="CJ130" s="16"/>
      <c r="EA130"/>
    </row>
    <row r="131" spans="1:131" x14ac:dyDescent="0.2">
      <c r="A131" s="8"/>
      <c r="F131" s="9"/>
      <c r="I131" s="8"/>
      <c r="K131" s="9"/>
      <c r="M131" s="9"/>
      <c r="N131"/>
      <c r="O131"/>
      <c r="X131" s="9"/>
      <c r="AG131" s="27"/>
      <c r="AJ131" s="8"/>
      <c r="AK131" s="9"/>
      <c r="AL131" s="8"/>
      <c r="AP131"/>
      <c r="AQ131" s="16"/>
      <c r="AR131" s="16"/>
      <c r="AS131" s="16"/>
      <c r="BE131"/>
      <c r="BF131"/>
      <c r="BG131"/>
      <c r="BH131"/>
      <c r="BI131"/>
      <c r="BK131" s="279">
        <f>BK54</f>
        <v>76.459538707252094</v>
      </c>
      <c r="BL131">
        <f t="shared" si="222"/>
        <v>1.8834316735221501</v>
      </c>
      <c r="BN131"/>
      <c r="BO131" s="16"/>
      <c r="BP131" s="16"/>
      <c r="BQ131" s="358">
        <f>BQ54</f>
        <v>0.80769230769230771</v>
      </c>
      <c r="BR131">
        <f t="shared" si="223"/>
        <v>-9.2754053236898684E-2</v>
      </c>
      <c r="BX131">
        <f t="shared" si="216"/>
        <v>-0.20000000000000029</v>
      </c>
      <c r="BY131">
        <f t="shared" si="212"/>
        <v>0.63095734448019281</v>
      </c>
      <c r="BZ131">
        <f t="shared" si="206"/>
        <v>-1.7492600000000003</v>
      </c>
      <c r="CA131">
        <f t="shared" ref="CA131" si="226">10^BZ131</f>
        <v>1.7813120263112402E-2</v>
      </c>
      <c r="CB131">
        <f t="shared" si="207"/>
        <v>-1.8572800000000005</v>
      </c>
      <c r="CC131">
        <f t="shared" si="214"/>
        <v>1.38905678445285E-2</v>
      </c>
      <c r="CD131">
        <f t="shared" si="215"/>
        <v>0.77655999999999992</v>
      </c>
      <c r="CG131"/>
      <c r="CH131" s="16"/>
      <c r="CI131" s="16"/>
      <c r="CJ131" s="16"/>
      <c r="EA131"/>
    </row>
    <row r="132" spans="1:131" x14ac:dyDescent="0.2">
      <c r="A132" s="8"/>
      <c r="F132" s="9"/>
      <c r="I132" s="8"/>
      <c r="K132" s="9"/>
      <c r="M132" s="9"/>
      <c r="N132"/>
      <c r="O132"/>
      <c r="X132" s="9"/>
      <c r="AG132" s="27"/>
      <c r="AJ132" s="8"/>
      <c r="AK132" s="9"/>
      <c r="AL132" s="8"/>
      <c r="AP132"/>
      <c r="AQ132" s="16"/>
      <c r="AR132" s="16"/>
      <c r="AS132" s="16"/>
      <c r="BE132"/>
      <c r="BF132"/>
      <c r="BG132"/>
      <c r="BH132"/>
      <c r="BI132"/>
      <c r="BK132" s="279">
        <f>BK55</f>
        <v>409.05853208379864</v>
      </c>
      <c r="BL132">
        <f t="shared" si="222"/>
        <v>2.6117854555433784</v>
      </c>
      <c r="BN132"/>
      <c r="BO132" s="16"/>
      <c r="BP132" s="16"/>
      <c r="BQ132" s="358">
        <f>BQ55</f>
        <v>0.96153846153846156</v>
      </c>
      <c r="BR132">
        <f t="shared" si="223"/>
        <v>-1.7033339298780342E-2</v>
      </c>
      <c r="BX132">
        <f t="shared" si="216"/>
        <v>-2.7755575615628914E-16</v>
      </c>
      <c r="BY132">
        <f t="shared" si="212"/>
        <v>0.99999999999999933</v>
      </c>
      <c r="BZ132">
        <f t="shared" si="206"/>
        <v>-1.5363000000000002</v>
      </c>
      <c r="CA132">
        <f t="shared" ref="CA132" si="227">10^BZ132</f>
        <v>2.9087071602075829E-2</v>
      </c>
      <c r="CB132">
        <f t="shared" si="207"/>
        <v>-1.5234000000000005</v>
      </c>
      <c r="CC132">
        <f t="shared" si="214"/>
        <v>2.9964014599344387E-2</v>
      </c>
      <c r="CD132">
        <f t="shared" si="215"/>
        <v>0.85709999999999986</v>
      </c>
      <c r="CG132"/>
      <c r="CH132" s="16"/>
      <c r="CI132" s="16"/>
      <c r="CJ132" s="16"/>
      <c r="EA132"/>
    </row>
    <row r="133" spans="1:131" x14ac:dyDescent="0.2">
      <c r="A133" s="8"/>
      <c r="F133" s="9"/>
      <c r="I133" s="8"/>
      <c r="K133" s="9"/>
      <c r="M133" s="9"/>
      <c r="N133"/>
      <c r="O133"/>
      <c r="X133" s="9"/>
      <c r="AG133" s="27"/>
      <c r="AJ133" s="8"/>
      <c r="AK133" s="9"/>
      <c r="AL133" s="8"/>
      <c r="AP133"/>
      <c r="AQ133" s="16"/>
      <c r="AR133" s="16"/>
      <c r="AS133" s="16"/>
      <c r="BE133"/>
      <c r="BF133"/>
      <c r="BG133"/>
      <c r="BH133"/>
      <c r="BI133"/>
      <c r="BK133" s="279">
        <f>BK58</f>
        <v>61.22187323476868</v>
      </c>
      <c r="BL133">
        <f t="shared" si="222"/>
        <v>1.7869066137794007</v>
      </c>
      <c r="BN133"/>
      <c r="BO133" s="16"/>
      <c r="BP133" s="16"/>
      <c r="BQ133" s="358">
        <f>BQ58</f>
        <v>0.73076923076923073</v>
      </c>
      <c r="BR133">
        <f t="shared" si="223"/>
        <v>-0.13621974701798903</v>
      </c>
      <c r="BX133">
        <f t="shared" si="216"/>
        <v>0.19999999999999973</v>
      </c>
      <c r="BY133">
        <f t="shared" si="212"/>
        <v>1.5848931924611125</v>
      </c>
      <c r="BZ133">
        <f t="shared" si="206"/>
        <v>-1.3233400000000004</v>
      </c>
      <c r="CA133">
        <f t="shared" ref="CA133" si="228">10^BZ133</f>
        <v>4.7496324163729509E-2</v>
      </c>
      <c r="CB133">
        <f t="shared" si="207"/>
        <v>-1.1895200000000006</v>
      </c>
      <c r="CC133">
        <f t="shared" si="214"/>
        <v>6.4636822695724738E-2</v>
      </c>
      <c r="CD133">
        <f t="shared" si="215"/>
        <v>0.93763999999999981</v>
      </c>
      <c r="CG133"/>
      <c r="CH133" s="16"/>
      <c r="CI133" s="16"/>
      <c r="CJ133" s="16"/>
      <c r="EA133"/>
    </row>
    <row r="134" spans="1:131" x14ac:dyDescent="0.2">
      <c r="A134" s="8"/>
      <c r="F134" s="9"/>
      <c r="I134" s="8"/>
      <c r="K134" s="9"/>
      <c r="M134" s="9"/>
      <c r="N134"/>
      <c r="O134"/>
      <c r="X134" s="9"/>
      <c r="AG134" s="27"/>
      <c r="AJ134" s="8"/>
      <c r="AK134" s="9"/>
      <c r="AL134" s="8"/>
      <c r="AP134"/>
      <c r="AQ134" s="16"/>
      <c r="AR134" s="16"/>
      <c r="AS134" s="16"/>
      <c r="BE134"/>
      <c r="BF134"/>
      <c r="BG134"/>
      <c r="BH134"/>
      <c r="BI134"/>
      <c r="BK134" s="279">
        <f>BK59</f>
        <v>209.1747335521263</v>
      </c>
      <c r="BL134">
        <f t="shared" si="222"/>
        <v>2.3205092244515111</v>
      </c>
      <c r="BN134"/>
      <c r="BO134" s="16"/>
      <c r="BP134" s="16"/>
      <c r="BQ134" s="358">
        <f>BQ59</f>
        <v>0.88461538461538458</v>
      </c>
      <c r="BR134">
        <f t="shared" si="223"/>
        <v>-5.3245511953225105E-2</v>
      </c>
      <c r="BX134">
        <f t="shared" ref="BX134:BX135" si="229">BX133+0.2</f>
        <v>0.39999999999999974</v>
      </c>
      <c r="BY134">
        <f t="shared" si="212"/>
        <v>2.5118864315095788</v>
      </c>
      <c r="BZ134">
        <f t="shared" si="206"/>
        <v>-1.1103800000000001</v>
      </c>
      <c r="CA134">
        <f t="shared" ref="CA134" si="230">10^BZ134</f>
        <v>7.7556821117223895E-2</v>
      </c>
      <c r="CB134">
        <f>BZ$153*BX134+CA$153</f>
        <v>-0.85564000000000051</v>
      </c>
      <c r="CC134">
        <f t="shared" si="214"/>
        <v>0.13943121120659077</v>
      </c>
      <c r="CD134">
        <f t="shared" si="215"/>
        <v>1.0181799999999999</v>
      </c>
      <c r="CG134"/>
      <c r="CH134" s="16"/>
      <c r="CI134" s="16"/>
      <c r="CJ134" s="16"/>
      <c r="EA134"/>
    </row>
    <row r="135" spans="1:131" x14ac:dyDescent="0.2">
      <c r="A135" s="8"/>
      <c r="F135" s="9"/>
      <c r="I135" s="8"/>
      <c r="K135" s="9"/>
      <c r="M135" s="9"/>
      <c r="N135"/>
      <c r="O135"/>
      <c r="X135" s="9"/>
      <c r="AG135" s="27"/>
      <c r="AJ135" s="8"/>
      <c r="AK135" s="9"/>
      <c r="AL135" s="8"/>
      <c r="AP135"/>
      <c r="AQ135" s="16"/>
      <c r="AR135" s="16"/>
      <c r="AS135" s="16"/>
      <c r="BE135"/>
      <c r="BF135"/>
      <c r="BG135"/>
      <c r="BH135"/>
      <c r="BI135"/>
      <c r="BK135" s="279">
        <f>BK86</f>
        <v>8.9736601690319215</v>
      </c>
      <c r="BL135">
        <f t="shared" si="222"/>
        <v>0.95296961885108677</v>
      </c>
      <c r="BN135"/>
      <c r="BO135" s="16"/>
      <c r="BP135" s="16"/>
      <c r="BQ135" s="358">
        <f>BQ86</f>
        <v>0.57692307692307687</v>
      </c>
      <c r="BR135">
        <f t="shared" si="223"/>
        <v>-0.23888208891513676</v>
      </c>
      <c r="BX135">
        <f t="shared" si="229"/>
        <v>0.59999999999999976</v>
      </c>
      <c r="BY135">
        <f t="shared" si="212"/>
        <v>3.9810717055349709</v>
      </c>
      <c r="BZ135">
        <f t="shared" si="206"/>
        <v>-0.89742000000000033</v>
      </c>
      <c r="CA135">
        <f t="shared" ref="CA135" si="231">10^BZ135</f>
        <v>0.12664265304140002</v>
      </c>
      <c r="CB135">
        <f t="shared" si="207"/>
        <v>-0.52176000000000045</v>
      </c>
      <c r="CC135">
        <f t="shared" si="214"/>
        <v>0.30077379808804877</v>
      </c>
      <c r="CD135">
        <f t="shared" si="215"/>
        <v>1.0987199999999999</v>
      </c>
      <c r="CG135"/>
      <c r="CH135" s="16"/>
      <c r="CI135" s="16"/>
      <c r="CJ135" s="16"/>
      <c r="EA135"/>
    </row>
    <row r="136" spans="1:131" x14ac:dyDescent="0.2">
      <c r="A136" s="8"/>
      <c r="F136" s="9"/>
      <c r="I136" s="8"/>
      <c r="K136" s="9"/>
      <c r="M136" s="9"/>
      <c r="N136"/>
      <c r="O136"/>
      <c r="X136" s="9"/>
      <c r="AG136" s="27"/>
      <c r="AJ136" s="8"/>
      <c r="AK136" s="9"/>
      <c r="AL136" s="8"/>
      <c r="AP136"/>
      <c r="AQ136" s="16"/>
      <c r="AR136" s="16"/>
      <c r="AS136" s="16"/>
      <c r="BE136"/>
      <c r="BF136"/>
      <c r="BG136"/>
      <c r="BH136"/>
      <c r="BI136"/>
      <c r="BK136" s="279">
        <f>BK88</f>
        <v>22.063811310090323</v>
      </c>
      <c r="BL136">
        <f t="shared" si="222"/>
        <v>1.3436805347574015</v>
      </c>
      <c r="BN136"/>
      <c r="BO136" s="16"/>
      <c r="BP136" s="16"/>
      <c r="BQ136" s="358">
        <f>BQ88</f>
        <v>0.65384615384615385</v>
      </c>
      <c r="BR136">
        <f t="shared" si="223"/>
        <v>-0.18452442659254403</v>
      </c>
      <c r="BX136">
        <v>0.72499999999999998</v>
      </c>
      <c r="BY136">
        <f t="shared" ref="BY136:BY143" si="232">10^BX136</f>
        <v>5.3088444423098844</v>
      </c>
      <c r="BZ136">
        <f t="shared" si="206"/>
        <v>-0.76432</v>
      </c>
      <c r="CA136">
        <f t="shared" ref="CA136" si="233">10^BZ136</f>
        <v>0.17206003226327057</v>
      </c>
      <c r="CB136">
        <f t="shared" si="207"/>
        <v>-0.31308500000000006</v>
      </c>
      <c r="CC136">
        <f>10^CB136</f>
        <v>0.48631201551868219</v>
      </c>
      <c r="CD136">
        <f t="shared" si="215"/>
        <v>1.1490575000000001</v>
      </c>
      <c r="CG136"/>
      <c r="CH136" s="16"/>
      <c r="CI136" s="16"/>
      <c r="CJ136" s="16"/>
      <c r="EA136"/>
    </row>
    <row r="137" spans="1:131" x14ac:dyDescent="0.2">
      <c r="A137" s="8"/>
      <c r="F137" s="9"/>
      <c r="I137" s="8"/>
      <c r="K137" s="9"/>
      <c r="M137" s="9"/>
      <c r="N137"/>
      <c r="O137"/>
      <c r="X137" s="9"/>
      <c r="AG137" s="27"/>
      <c r="AJ137" s="8"/>
      <c r="AK137" s="9"/>
      <c r="AL137" s="8"/>
      <c r="AP137"/>
      <c r="AQ137" s="16"/>
      <c r="AR137" s="16"/>
      <c r="AS137" s="16"/>
      <c r="BE137"/>
      <c r="BF137"/>
      <c r="BG137"/>
      <c r="BH137"/>
      <c r="BI137"/>
      <c r="BN137"/>
      <c r="BO137" s="16"/>
      <c r="BP137" s="16"/>
      <c r="BQ137" s="16"/>
      <c r="BX137" s="360">
        <f>BX136</f>
        <v>0.72499999999999998</v>
      </c>
      <c r="BY137" s="360">
        <f t="shared" si="232"/>
        <v>5.3088444423098844</v>
      </c>
      <c r="BZ137">
        <f t="shared" si="206"/>
        <v>-0.76432</v>
      </c>
      <c r="CA137">
        <f t="shared" ref="CA137" si="234">10^BZ137</f>
        <v>0.17206003226327057</v>
      </c>
      <c r="CB137" s="361">
        <f t="shared" ref="CB137:CB148" si="235">BZ$154*BX137+CA$154</f>
        <v>-0.31498500000000001</v>
      </c>
      <c r="CC137">
        <f>10^CB137</f>
        <v>0.48418909059403437</v>
      </c>
      <c r="CD137">
        <f t="shared" si="215"/>
        <v>1.1490575000000001</v>
      </c>
      <c r="CG137"/>
      <c r="CH137" s="16"/>
      <c r="CI137" s="16"/>
      <c r="CJ137" s="16"/>
      <c r="EA137"/>
    </row>
    <row r="138" spans="1:131" x14ac:dyDescent="0.2">
      <c r="A138" s="8"/>
      <c r="F138" s="9"/>
      <c r="I138" s="8"/>
      <c r="K138" s="9"/>
      <c r="M138" s="9"/>
      <c r="N138"/>
      <c r="O138"/>
      <c r="X138" s="9"/>
      <c r="AG138" s="27"/>
      <c r="AJ138" s="8"/>
      <c r="AK138" s="9"/>
      <c r="AL138" s="8"/>
      <c r="AP138"/>
      <c r="AQ138" s="16"/>
      <c r="AR138" s="16"/>
      <c r="AS138" s="16"/>
      <c r="BE138"/>
      <c r="BF138"/>
      <c r="BG138"/>
      <c r="BH138"/>
      <c r="BI138"/>
      <c r="BJ138" t="s">
        <v>353</v>
      </c>
      <c r="BN138"/>
      <c r="BO138"/>
      <c r="BP138" s="16"/>
      <c r="BQ138" s="16"/>
      <c r="BX138">
        <f>BX135+0.2</f>
        <v>0.79999999999999982</v>
      </c>
      <c r="BY138">
        <f t="shared" si="232"/>
        <v>6.3095734448019307</v>
      </c>
      <c r="BZ138">
        <f t="shared" si="206"/>
        <v>-0.68446000000000018</v>
      </c>
      <c r="CA138">
        <f t="shared" ref="CA138" si="236">10^BZ138</f>
        <v>0.20679498383672951</v>
      </c>
      <c r="CB138" s="361">
        <f t="shared" si="235"/>
        <v>-0.30228000000000005</v>
      </c>
      <c r="CC138">
        <f>10^CB138</f>
        <v>0.49856294840758764</v>
      </c>
      <c r="CD138">
        <f t="shared" si="215"/>
        <v>1.17926</v>
      </c>
      <c r="CG138"/>
      <c r="CH138" s="16"/>
      <c r="CI138" s="16"/>
      <c r="CJ138" s="16"/>
      <c r="EA138"/>
    </row>
    <row r="139" spans="1:131" x14ac:dyDescent="0.2">
      <c r="A139" s="8"/>
      <c r="F139" s="9"/>
      <c r="I139" s="8"/>
      <c r="K139" s="9"/>
      <c r="M139" s="9"/>
      <c r="N139"/>
      <c r="O139"/>
      <c r="X139" s="9"/>
      <c r="AG139" s="27"/>
      <c r="AH139" s="8"/>
      <c r="AJ139" s="8"/>
      <c r="AK139" s="9"/>
      <c r="AL139" s="8"/>
      <c r="AP139"/>
      <c r="AQ139" s="16"/>
      <c r="AR139" s="16"/>
      <c r="AS139" s="16"/>
      <c r="BE139"/>
      <c r="BF139"/>
      <c r="BG139"/>
      <c r="BH139"/>
      <c r="BI139"/>
      <c r="BJ139" t="s">
        <v>359</v>
      </c>
      <c r="BN139"/>
      <c r="BO139"/>
      <c r="BP139" s="16"/>
      <c r="BQ139" s="16"/>
      <c r="BX139">
        <v>0.85</v>
      </c>
      <c r="BY139">
        <f t="shared" si="232"/>
        <v>7.0794578438413795</v>
      </c>
      <c r="BZ139">
        <f t="shared" si="206"/>
        <v>-0.63122</v>
      </c>
      <c r="CA139">
        <f t="shared" ref="CA139:CA140" si="237">10^BZ139</f>
        <v>0.23376527569080377</v>
      </c>
      <c r="CB139" s="361">
        <f t="shared" si="235"/>
        <v>-0.29381000000000002</v>
      </c>
      <c r="CC139">
        <f t="shared" ref="CC139:CC140" si="238">10^CB139</f>
        <v>0.50838180646602393</v>
      </c>
      <c r="CD139">
        <f t="shared" si="215"/>
        <v>1.199395</v>
      </c>
      <c r="CG139"/>
      <c r="CH139" s="16"/>
      <c r="CI139" s="16"/>
      <c r="CJ139" s="16"/>
      <c r="EA139"/>
    </row>
    <row r="140" spans="1:131" x14ac:dyDescent="0.2">
      <c r="A140" s="8"/>
      <c r="F140" s="9"/>
      <c r="I140" s="8"/>
      <c r="K140" s="9"/>
      <c r="M140" s="9"/>
      <c r="N140"/>
      <c r="O140"/>
      <c r="X140" s="9"/>
      <c r="AG140" s="27"/>
      <c r="AH140" s="8"/>
      <c r="AJ140" s="8"/>
      <c r="AK140" s="9"/>
      <c r="AL140" s="8"/>
      <c r="AP140"/>
      <c r="AQ140" s="16"/>
      <c r="AR140" s="16"/>
      <c r="AS140" s="16"/>
      <c r="BE140"/>
      <c r="BF140"/>
      <c r="BG140"/>
      <c r="BH140"/>
      <c r="BI140"/>
      <c r="BK140" s="279">
        <f>BK51</f>
        <v>4.6703574039855882</v>
      </c>
      <c r="BL140">
        <f t="shared" ref="BL140:BL151" si="239">LOG(BK140)</f>
        <v>0.66935011667734723</v>
      </c>
      <c r="BN140"/>
      <c r="BO140" s="358">
        <f>BO51</f>
        <v>0.15833333333333333</v>
      </c>
      <c r="BP140">
        <f t="shared" ref="BP140:BP151" si="240">LOG(BO140)</f>
        <v>-0.80042764509479591</v>
      </c>
      <c r="BQ140" s="16"/>
      <c r="BX140" s="226">
        <f>BX139</f>
        <v>0.85</v>
      </c>
      <c r="BY140" s="226">
        <f t="shared" si="232"/>
        <v>7.0794578438413795</v>
      </c>
      <c r="BZ140" s="226">
        <f t="shared" ref="BZ140:BZ148" si="241">BZ$156*BX140+CA$156</f>
        <v>-0.63928999999999991</v>
      </c>
      <c r="CA140">
        <f t="shared" si="237"/>
        <v>0.22946159073948258</v>
      </c>
      <c r="CB140" s="361">
        <f t="shared" si="235"/>
        <v>-0.29381000000000002</v>
      </c>
      <c r="CC140">
        <f t="shared" si="238"/>
        <v>0.50838180646602393</v>
      </c>
      <c r="CD140">
        <f t="shared" si="215"/>
        <v>1.199395</v>
      </c>
      <c r="CG140"/>
      <c r="CH140" s="16"/>
      <c r="CI140" s="16"/>
      <c r="CJ140" s="16"/>
      <c r="EA140"/>
    </row>
    <row r="141" spans="1:131" x14ac:dyDescent="0.2">
      <c r="A141" s="8"/>
      <c r="F141" s="9"/>
      <c r="I141" s="8"/>
      <c r="K141" s="9"/>
      <c r="M141" s="9"/>
      <c r="N141"/>
      <c r="O141"/>
      <c r="X141" s="9"/>
      <c r="AG141" s="27"/>
      <c r="AH141" s="8"/>
      <c r="AJ141" s="8"/>
      <c r="AK141" s="9"/>
      <c r="AL141" s="8"/>
      <c r="AP141"/>
      <c r="AQ141" s="16"/>
      <c r="AR141" s="16"/>
      <c r="AS141" s="16"/>
      <c r="BE141"/>
      <c r="BF141"/>
      <c r="BG141"/>
      <c r="BH141"/>
      <c r="BI141"/>
      <c r="BK141" s="279">
        <f>BK53</f>
        <v>4.0709853890321455</v>
      </c>
      <c r="BL141">
        <f t="shared" si="239"/>
        <v>0.60969954367782697</v>
      </c>
      <c r="BN141"/>
      <c r="BO141" s="358">
        <f>BO53</f>
        <v>0.125</v>
      </c>
      <c r="BP141">
        <f t="shared" si="240"/>
        <v>-0.90308998699194354</v>
      </c>
      <c r="BQ141" s="16"/>
      <c r="BX141">
        <f>BX138+0.2</f>
        <v>0.99999999999999978</v>
      </c>
      <c r="BY141">
        <f t="shared" si="232"/>
        <v>9.9999999999999982</v>
      </c>
      <c r="BZ141" s="226">
        <f t="shared" si="241"/>
        <v>-0.60650000000000004</v>
      </c>
      <c r="CA141">
        <f>10^BZ141</f>
        <v>0.24745714613338068</v>
      </c>
      <c r="CB141" s="361">
        <f t="shared" si="235"/>
        <v>-0.26840000000000008</v>
      </c>
      <c r="CC141">
        <f>10^CB141</f>
        <v>0.53901394363255084</v>
      </c>
      <c r="CD141">
        <f t="shared" si="215"/>
        <v>1.2597999999999998</v>
      </c>
      <c r="CG141"/>
      <c r="CH141" s="16"/>
      <c r="CI141" s="16"/>
      <c r="CJ141" s="16"/>
      <c r="EA141"/>
    </row>
    <row r="142" spans="1:131" x14ac:dyDescent="0.2">
      <c r="A142" s="8"/>
      <c r="F142" s="9"/>
      <c r="I142" s="8"/>
      <c r="K142" s="9"/>
      <c r="M142" s="9"/>
      <c r="N142"/>
      <c r="O142"/>
      <c r="X142" s="9"/>
      <c r="AG142" s="27"/>
      <c r="AH142" s="8"/>
      <c r="AJ142" s="8"/>
      <c r="AK142" s="9"/>
      <c r="AL142" s="8"/>
      <c r="AP142"/>
      <c r="AQ142" s="16"/>
      <c r="AR142" s="16"/>
      <c r="AS142" s="16"/>
      <c r="BE142"/>
      <c r="BF142"/>
      <c r="BG142"/>
      <c r="BH142"/>
      <c r="BI142"/>
      <c r="BK142" s="279">
        <f>BK56</f>
        <v>2.2930238757236747</v>
      </c>
      <c r="BL142">
        <f t="shared" si="239"/>
        <v>0.36040857677139543</v>
      </c>
      <c r="BN142"/>
      <c r="BO142" s="358">
        <f>BO56</f>
        <v>7.4999999999999997E-2</v>
      </c>
      <c r="BP142">
        <f t="shared" si="240"/>
        <v>-1.1249387366082999</v>
      </c>
      <c r="BQ142" s="16"/>
      <c r="BX142">
        <f>BX141+0.2</f>
        <v>1.1999999999999997</v>
      </c>
      <c r="BY142">
        <f t="shared" si="232"/>
        <v>15.848931924611129</v>
      </c>
      <c r="BZ142" s="226">
        <f t="shared" si="241"/>
        <v>-0.56278000000000006</v>
      </c>
      <c r="CA142">
        <f t="shared" ref="CA142" si="242">10^BZ142</f>
        <v>0.2736654678895985</v>
      </c>
      <c r="CB142" s="361">
        <f t="shared" si="235"/>
        <v>-0.23452000000000006</v>
      </c>
      <c r="CC142">
        <f>10^CB142</f>
        <v>0.5827469376901917</v>
      </c>
      <c r="CD142">
        <f t="shared" si="215"/>
        <v>1.3403399999999999</v>
      </c>
      <c r="CG142"/>
      <c r="CH142" s="16"/>
      <c r="CI142" s="16"/>
      <c r="CJ142" s="16"/>
      <c r="EA142"/>
    </row>
    <row r="143" spans="1:131" x14ac:dyDescent="0.2">
      <c r="A143" s="8"/>
      <c r="F143" s="9"/>
      <c r="I143" s="8"/>
      <c r="K143" s="9"/>
      <c r="M143" s="9"/>
      <c r="N143"/>
      <c r="O143"/>
      <c r="X143" s="9"/>
      <c r="AG143" s="27"/>
      <c r="AH143" s="8"/>
      <c r="AJ143" s="8"/>
      <c r="AK143" s="9"/>
      <c r="AL143" s="8"/>
      <c r="AP143"/>
      <c r="AQ143" s="16"/>
      <c r="AR143" s="16"/>
      <c r="AS143" s="16"/>
      <c r="BE143"/>
      <c r="BF143"/>
      <c r="BG143"/>
      <c r="BH143"/>
      <c r="BI143"/>
      <c r="BK143" s="279">
        <f>BK57</f>
        <v>4.0294790281873647</v>
      </c>
      <c r="BL143">
        <f t="shared" si="239"/>
        <v>0.6052488997864931</v>
      </c>
      <c r="BN143"/>
      <c r="BO143" s="358">
        <f>BO57</f>
        <v>0.10833333333333334</v>
      </c>
      <c r="BP143">
        <f t="shared" si="240"/>
        <v>-0.96523789374078806</v>
      </c>
      <c r="BQ143" s="16"/>
      <c r="BX143">
        <f>BX142+0.2</f>
        <v>1.3999999999999997</v>
      </c>
      <c r="BY143">
        <f t="shared" si="232"/>
        <v>25.118864315095788</v>
      </c>
      <c r="BZ143" s="226">
        <f t="shared" si="241"/>
        <v>-0.51906000000000008</v>
      </c>
      <c r="CA143">
        <f t="shared" ref="CA143" si="243">10^BZ143</f>
        <v>0.30264952734428302</v>
      </c>
      <c r="CB143" s="361">
        <f t="shared" si="235"/>
        <v>-0.20064000000000007</v>
      </c>
      <c r="CC143">
        <f>10^CB143</f>
        <v>0.63002821615093396</v>
      </c>
      <c r="CD143">
        <f t="shared" si="215"/>
        <v>1.4208799999999999</v>
      </c>
      <c r="CG143"/>
      <c r="CH143" s="16"/>
      <c r="CI143" s="16"/>
      <c r="CJ143" s="16"/>
      <c r="EA143"/>
    </row>
    <row r="144" spans="1:131" x14ac:dyDescent="0.2">
      <c r="A144" s="8"/>
      <c r="F144" s="9"/>
      <c r="I144" s="8"/>
      <c r="K144" s="9"/>
      <c r="M144" s="9"/>
      <c r="N144"/>
      <c r="O144"/>
      <c r="X144" s="9"/>
      <c r="AG144" s="27"/>
      <c r="AH144" s="8"/>
      <c r="AJ144" s="8"/>
      <c r="AK144" s="9"/>
      <c r="AL144" s="8"/>
      <c r="AM144" s="89"/>
      <c r="AN144" s="240"/>
      <c r="AO144" s="240"/>
      <c r="AP144"/>
      <c r="AQ144" s="16"/>
      <c r="AR144" s="16"/>
      <c r="AS144" s="16"/>
      <c r="BE144"/>
      <c r="BF144"/>
      <c r="BG144"/>
      <c r="BH144"/>
      <c r="BI144"/>
      <c r="BK144" s="359">
        <f>BK60</f>
        <v>3.1287170889939904</v>
      </c>
      <c r="BL144">
        <f t="shared" si="239"/>
        <v>0.4953662942923554</v>
      </c>
      <c r="BN144"/>
      <c r="BO144" s="358">
        <f>BO60</f>
        <v>9.166666666666666E-2</v>
      </c>
      <c r="BP144">
        <f t="shared" si="240"/>
        <v>-1.0377885608893997</v>
      </c>
      <c r="BQ144" s="16"/>
      <c r="BX144">
        <f t="shared" ref="BX144:BX148" si="244">BX143+0.2</f>
        <v>1.5999999999999996</v>
      </c>
      <c r="BY144">
        <f t="shared" ref="BY144:BY148" si="245">10^BX144</f>
        <v>39.810717055349699</v>
      </c>
      <c r="BZ144" s="226">
        <f t="shared" si="241"/>
        <v>-0.47534000000000004</v>
      </c>
      <c r="CA144">
        <f t="shared" ref="CA144" si="246">10^BZ144</f>
        <v>0.33470330439597046</v>
      </c>
      <c r="CB144" s="361">
        <f t="shared" si="235"/>
        <v>-0.16676000000000007</v>
      </c>
      <c r="CC144">
        <f t="shared" ref="CC144:CC148" si="247">10^CB144</f>
        <v>0.68114566971324464</v>
      </c>
      <c r="CD144">
        <f t="shared" si="215"/>
        <v>1.50142</v>
      </c>
      <c r="CE144" s="240"/>
      <c r="CF144" s="240"/>
      <c r="CG144"/>
      <c r="CH144" s="16"/>
      <c r="CI144" s="16"/>
      <c r="CJ144" s="16"/>
      <c r="EA144"/>
    </row>
    <row r="145" spans="1:133" x14ac:dyDescent="0.2">
      <c r="A145" s="8"/>
      <c r="F145" s="9"/>
      <c r="I145" s="8"/>
      <c r="K145" s="9"/>
      <c r="M145" s="9"/>
      <c r="N145"/>
      <c r="O145"/>
      <c r="X145" s="9"/>
      <c r="AG145" s="27"/>
      <c r="AH145" s="8"/>
      <c r="AJ145" s="8"/>
      <c r="AK145" s="9"/>
      <c r="AL145" s="8"/>
      <c r="AM145" s="89"/>
      <c r="AN145" s="240"/>
      <c r="AO145" s="240"/>
      <c r="AP145"/>
      <c r="AQ145" s="16"/>
      <c r="AR145" s="16"/>
      <c r="AS145" s="16"/>
      <c r="BE145"/>
      <c r="BF145"/>
      <c r="BG145"/>
      <c r="BH145"/>
      <c r="BI145"/>
      <c r="BK145" s="359">
        <f>BK64</f>
        <v>4.1708486553509427</v>
      </c>
      <c r="BL145">
        <f t="shared" si="239"/>
        <v>0.62022443119360116</v>
      </c>
      <c r="BN145"/>
      <c r="BO145" s="358">
        <f>BO64</f>
        <v>0.14166666666666666</v>
      </c>
      <c r="BP145">
        <f t="shared" si="240"/>
        <v>-0.84873232466935089</v>
      </c>
      <c r="BQ145" s="16"/>
      <c r="BX145">
        <f t="shared" si="244"/>
        <v>1.7999999999999996</v>
      </c>
      <c r="BY145">
        <f t="shared" si="245"/>
        <v>63.095734448019307</v>
      </c>
      <c r="BZ145" s="226">
        <f t="shared" si="241"/>
        <v>-0.43162000000000006</v>
      </c>
      <c r="CA145">
        <f t="shared" ref="CA145" si="248">10^BZ145</f>
        <v>0.37015191451511703</v>
      </c>
      <c r="CB145" s="361">
        <f t="shared" si="235"/>
        <v>-0.13288000000000011</v>
      </c>
      <c r="CC145">
        <f t="shared" si="247"/>
        <v>0.7364105471396144</v>
      </c>
      <c r="CD145">
        <f t="shared" si="215"/>
        <v>1.5819599999999998</v>
      </c>
      <c r="CE145" s="240"/>
      <c r="CF145" s="240"/>
      <c r="CG145"/>
      <c r="CH145" s="16"/>
      <c r="CI145" s="16"/>
      <c r="CJ145" s="16"/>
      <c r="EA145"/>
    </row>
    <row r="146" spans="1:133" x14ac:dyDescent="0.2">
      <c r="A146" s="8"/>
      <c r="F146" s="9"/>
      <c r="I146" s="8"/>
      <c r="K146" s="9"/>
      <c r="M146" s="9"/>
      <c r="N146"/>
      <c r="O146"/>
      <c r="X146" s="9"/>
      <c r="AG146" s="27"/>
      <c r="AH146" s="8"/>
      <c r="AJ146" s="8"/>
      <c r="AK146" s="9"/>
      <c r="AL146" s="8"/>
      <c r="AM146" s="89"/>
      <c r="AN146" s="240"/>
      <c r="AO146" s="240"/>
      <c r="AP146"/>
      <c r="AQ146" s="16"/>
      <c r="AR146" s="16"/>
      <c r="AS146" s="16"/>
      <c r="BE146"/>
      <c r="BF146"/>
      <c r="BG146"/>
      <c r="BH146"/>
      <c r="BI146"/>
      <c r="BK146" s="359">
        <f>BK65</f>
        <v>0.97634437251339912</v>
      </c>
      <c r="BL146">
        <f t="shared" si="239"/>
        <v>-1.0396972596393855E-2</v>
      </c>
      <c r="BN146"/>
      <c r="BO146" s="358">
        <f>BO65</f>
        <v>4.1666666666666664E-2</v>
      </c>
      <c r="BP146">
        <f t="shared" si="240"/>
        <v>-1.3802112417116061</v>
      </c>
      <c r="BQ146" s="16"/>
      <c r="BX146">
        <f t="shared" si="244"/>
        <v>1.9999999999999996</v>
      </c>
      <c r="BY146">
        <f t="shared" si="245"/>
        <v>99.999999999999957</v>
      </c>
      <c r="BZ146" s="226">
        <f t="shared" si="241"/>
        <v>-0.38790000000000008</v>
      </c>
      <c r="CA146">
        <f t="shared" ref="CA146" si="249">10^BZ146</f>
        <v>0.40935490632955945</v>
      </c>
      <c r="CB146" s="361">
        <f t="shared" si="235"/>
        <v>-9.9000000000000088E-2</v>
      </c>
      <c r="CC146">
        <f t="shared" si="247"/>
        <v>0.79615935041731856</v>
      </c>
      <c r="CD146">
        <f t="shared" si="215"/>
        <v>1.6624999999999996</v>
      </c>
      <c r="CE146" s="240"/>
      <c r="CF146" s="240"/>
      <c r="CG146"/>
      <c r="CH146" s="16"/>
      <c r="CI146" s="16"/>
      <c r="CJ146" s="16"/>
      <c r="EA146"/>
    </row>
    <row r="147" spans="1:133" x14ac:dyDescent="0.2">
      <c r="A147" s="8"/>
      <c r="F147" s="9"/>
      <c r="I147" s="8"/>
      <c r="K147" s="9"/>
      <c r="M147" s="9"/>
      <c r="N147"/>
      <c r="O147"/>
      <c r="X147" s="9"/>
      <c r="AG147" s="27"/>
      <c r="AH147" s="8"/>
      <c r="AJ147" s="8"/>
      <c r="AK147" s="9"/>
      <c r="AL147" s="8"/>
      <c r="AM147" s="89"/>
      <c r="AN147" s="240"/>
      <c r="AO147" s="240"/>
      <c r="AP147"/>
      <c r="AQ147" s="16"/>
      <c r="AR147" s="16"/>
      <c r="AS147" s="16"/>
      <c r="BE147"/>
      <c r="BF147"/>
      <c r="BG147"/>
      <c r="BH147"/>
      <c r="BI147"/>
      <c r="BK147" s="359">
        <f>BK76</f>
        <v>6.4938928098078037</v>
      </c>
      <c r="BL147">
        <f t="shared" si="239"/>
        <v>0.81250511575084117</v>
      </c>
      <c r="BN147"/>
      <c r="BO147" s="358">
        <f>BO76</f>
        <v>0.19166666666666668</v>
      </c>
      <c r="BP147">
        <f t="shared" si="240"/>
        <v>-0.71745341003003194</v>
      </c>
      <c r="BQ147" s="16"/>
      <c r="BX147">
        <f t="shared" si="244"/>
        <v>2.1999999999999997</v>
      </c>
      <c r="BY147">
        <f t="shared" si="245"/>
        <v>158.48931924611139</v>
      </c>
      <c r="BZ147" s="226">
        <f t="shared" si="241"/>
        <v>-0.34418000000000004</v>
      </c>
      <c r="CA147">
        <f t="shared" ref="CA147" si="250">10^BZ147</f>
        <v>0.45270990845905457</v>
      </c>
      <c r="CB147" s="361">
        <f t="shared" si="235"/>
        <v>-6.5120000000000067E-2</v>
      </c>
      <c r="CC147">
        <f t="shared" si="247"/>
        <v>0.86075588368338884</v>
      </c>
      <c r="CD147">
        <f t="shared" si="215"/>
        <v>1.7430399999999999</v>
      </c>
      <c r="CE147" s="240"/>
      <c r="CF147" s="363"/>
      <c r="CG147"/>
      <c r="CH147" s="16"/>
      <c r="CI147" s="16"/>
      <c r="CJ147" s="16"/>
      <c r="EA147"/>
    </row>
    <row r="148" spans="1:133" x14ac:dyDescent="0.2">
      <c r="A148" s="8"/>
      <c r="F148" s="9"/>
      <c r="I148" s="8"/>
      <c r="K148" s="9"/>
      <c r="M148" s="9"/>
      <c r="N148"/>
      <c r="O148"/>
      <c r="X148" s="9"/>
      <c r="AG148" s="27"/>
      <c r="AH148" s="8"/>
      <c r="AJ148" s="8"/>
      <c r="AK148" s="9"/>
      <c r="AL148" s="8"/>
      <c r="AP148"/>
      <c r="AS148" s="1"/>
      <c r="BE148"/>
      <c r="BF148"/>
      <c r="BG148"/>
      <c r="BH148"/>
      <c r="BI148"/>
      <c r="BK148" s="279">
        <f>BK77</f>
        <v>5.3670466260330327</v>
      </c>
      <c r="BL148">
        <f t="shared" si="239"/>
        <v>0.72973536822180363</v>
      </c>
      <c r="BN148"/>
      <c r="BO148" s="358">
        <f>BO77</f>
        <v>0.17499999999999999</v>
      </c>
      <c r="BP148">
        <f t="shared" si="240"/>
        <v>-0.75696195131370558</v>
      </c>
      <c r="BQ148" s="1"/>
      <c r="BX148">
        <f t="shared" si="244"/>
        <v>2.4</v>
      </c>
      <c r="BY148">
        <f t="shared" si="245"/>
        <v>251.18864315095806</v>
      </c>
      <c r="BZ148" s="226">
        <f t="shared" si="241"/>
        <v>-0.30045999999999995</v>
      </c>
      <c r="CA148">
        <f t="shared" ref="CA148" si="251">10^BZ148</f>
        <v>0.50065666258806107</v>
      </c>
      <c r="CB148" s="361">
        <f t="shared" si="235"/>
        <v>-3.1240000000000046E-2</v>
      </c>
      <c r="CC148">
        <f t="shared" si="247"/>
        <v>0.93059346838948465</v>
      </c>
      <c r="CD148">
        <f t="shared" si="215"/>
        <v>1.82358</v>
      </c>
      <c r="CG148"/>
      <c r="CJ148" s="1"/>
      <c r="EA148"/>
    </row>
    <row r="149" spans="1:133" x14ac:dyDescent="0.2">
      <c r="A149" s="104" t="s">
        <v>23</v>
      </c>
      <c r="B149" s="105"/>
      <c r="C149" s="106"/>
      <c r="D149" s="46"/>
      <c r="E149" s="46"/>
      <c r="F149" s="51"/>
      <c r="G149" s="107"/>
      <c r="H149" s="52"/>
      <c r="I149" s="55"/>
      <c r="J149" s="46"/>
      <c r="K149" s="54"/>
      <c r="L149" s="46"/>
      <c r="M149" s="51"/>
      <c r="N149" s="52"/>
      <c r="O149" s="52"/>
      <c r="P149" s="46"/>
      <c r="Q149" s="46"/>
      <c r="R149" s="46"/>
      <c r="S149" s="46"/>
      <c r="T149" s="46"/>
      <c r="U149" s="46"/>
      <c r="V149" s="46"/>
      <c r="W149" s="46"/>
      <c r="X149" s="51"/>
      <c r="Y149" s="46"/>
      <c r="Z149" s="46"/>
      <c r="AA149" s="46"/>
      <c r="AB149" s="46"/>
      <c r="AC149" s="46"/>
      <c r="AD149" s="46"/>
      <c r="AE149" s="46"/>
      <c r="AF149" s="46"/>
      <c r="AG149" s="50" t="s">
        <v>22</v>
      </c>
      <c r="AH149" s="55"/>
      <c r="AI149" s="46"/>
      <c r="AJ149" s="170"/>
      <c r="AK149" s="54"/>
      <c r="AL149" s="8"/>
      <c r="AM149" s="46"/>
      <c r="AP149"/>
      <c r="AS149" s="1"/>
      <c r="BK149" s="279">
        <f>BK80</f>
        <v>0.70846908776270645</v>
      </c>
      <c r="BL149">
        <f t="shared" si="239"/>
        <v>-0.14967909433248225</v>
      </c>
      <c r="BN149"/>
      <c r="BO149" s="358">
        <f>BO80</f>
        <v>8.3333333333333332E-3</v>
      </c>
      <c r="BP149">
        <f t="shared" si="240"/>
        <v>-2.0791812460476247</v>
      </c>
      <c r="BQ149" s="1"/>
      <c r="CG149"/>
      <c r="CJ149" s="1"/>
      <c r="EA149" s="187"/>
    </row>
    <row r="150" spans="1:133" x14ac:dyDescent="0.2">
      <c r="A150" s="8">
        <v>39</v>
      </c>
      <c r="B150" t="s">
        <v>143</v>
      </c>
      <c r="C150">
        <v>3</v>
      </c>
      <c r="D150" t="s">
        <v>17</v>
      </c>
      <c r="E150" t="s">
        <v>16</v>
      </c>
      <c r="F150" s="9">
        <v>16</v>
      </c>
      <c r="G150" s="26" t="s">
        <v>15</v>
      </c>
      <c r="H150" s="1">
        <v>18</v>
      </c>
      <c r="I150" s="11">
        <v>410</v>
      </c>
      <c r="J150" t="s">
        <v>21</v>
      </c>
      <c r="K150" s="6" t="s">
        <v>181</v>
      </c>
      <c r="L150" s="1"/>
      <c r="M150" s="6"/>
      <c r="N150" s="1">
        <v>96.95</v>
      </c>
      <c r="O150" s="18">
        <f>VLOOKUP(I150,[1]CompDbase!$B:$K,9,FALSE)</f>
        <v>775.6</v>
      </c>
      <c r="P150" s="30">
        <v>1.906666666666667</v>
      </c>
      <c r="Q150" s="1"/>
      <c r="R150" s="1"/>
      <c r="S150" s="1"/>
      <c r="T150" s="1"/>
      <c r="U150" s="1"/>
      <c r="V150" s="1"/>
      <c r="W150" s="1"/>
      <c r="X150" s="118"/>
      <c r="Y150" s="1"/>
      <c r="Z150" s="1"/>
      <c r="AA150" s="1"/>
      <c r="AB150" s="1"/>
      <c r="AC150" s="1"/>
      <c r="AD150" s="1"/>
      <c r="AE150" s="96"/>
      <c r="AF150" s="98"/>
      <c r="AG150" s="298">
        <v>0.30199999999999994</v>
      </c>
      <c r="AH150" s="154">
        <v>5.9000000000000007E-3</v>
      </c>
      <c r="AI150" s="16"/>
      <c r="AJ150" s="171"/>
      <c r="AK150" s="118"/>
      <c r="AL150" s="8"/>
      <c r="AM150" s="178"/>
      <c r="AN150" s="240"/>
      <c r="AO150" s="240"/>
      <c r="AP150"/>
      <c r="AQ150" s="16"/>
      <c r="AR150" s="16"/>
      <c r="AS150" s="16"/>
      <c r="BE150" s="188"/>
      <c r="BF150" s="188"/>
      <c r="BG150" s="188"/>
      <c r="BH150" s="188"/>
      <c r="BI150" s="98"/>
      <c r="BK150" s="359">
        <f>BK87</f>
        <v>1.137198356239735</v>
      </c>
      <c r="BL150">
        <f t="shared" si="239"/>
        <v>5.5836223269082857E-2</v>
      </c>
      <c r="BN150"/>
      <c r="BO150" s="358">
        <f>BO87</f>
        <v>5.8333333333333334E-2</v>
      </c>
      <c r="BP150">
        <f t="shared" si="240"/>
        <v>-1.234083206033368</v>
      </c>
      <c r="BQ150" s="16"/>
      <c r="BZ150" t="s">
        <v>323</v>
      </c>
      <c r="CD150" s="239"/>
      <c r="CE150" s="240"/>
      <c r="CF150" s="240"/>
      <c r="CG150"/>
      <c r="CH150" s="16"/>
      <c r="CI150" s="16"/>
      <c r="CJ150" s="16"/>
      <c r="EA150" s="187"/>
      <c r="EB150" s="16"/>
      <c r="EC150" s="16"/>
    </row>
    <row r="151" spans="1:133" x14ac:dyDescent="0.2">
      <c r="A151" s="8">
        <v>32</v>
      </c>
      <c r="B151" t="s">
        <v>143</v>
      </c>
      <c r="C151">
        <v>3</v>
      </c>
      <c r="D151" t="s">
        <v>17</v>
      </c>
      <c r="E151" t="s">
        <v>16</v>
      </c>
      <c r="F151" s="9">
        <v>11</v>
      </c>
      <c r="G151" s="26" t="s">
        <v>15</v>
      </c>
      <c r="H151" s="1">
        <v>18</v>
      </c>
      <c r="I151" s="11">
        <v>410</v>
      </c>
      <c r="J151" t="s">
        <v>21</v>
      </c>
      <c r="K151" s="6" t="s">
        <v>181</v>
      </c>
      <c r="L151" s="1"/>
      <c r="M151" s="6"/>
      <c r="N151" s="1">
        <v>96.95</v>
      </c>
      <c r="O151" s="18">
        <f>VLOOKUP(I151,[1]CompDbase!$B:$K,9,FALSE)</f>
        <v>775.6</v>
      </c>
      <c r="P151" s="30">
        <v>1.906666666666667</v>
      </c>
      <c r="Q151" s="1"/>
      <c r="R151" s="1"/>
      <c r="S151" s="1"/>
      <c r="T151" s="1"/>
      <c r="U151" s="1"/>
      <c r="V151" s="1"/>
      <c r="W151" s="1"/>
      <c r="X151" s="118"/>
      <c r="Y151" s="1"/>
      <c r="Z151" s="1"/>
      <c r="AA151" s="1"/>
      <c r="AB151" s="1"/>
      <c r="AC151" s="1"/>
      <c r="AD151" s="1"/>
      <c r="AE151" s="96"/>
      <c r="AF151" s="98"/>
      <c r="AG151" s="298">
        <v>5.1066666666666746E-2</v>
      </c>
      <c r="AH151" s="154">
        <v>1.7999999999999998E-4</v>
      </c>
      <c r="AI151" s="16"/>
      <c r="AJ151" s="171"/>
      <c r="AK151" s="118"/>
      <c r="AL151" s="8"/>
      <c r="AM151" s="178"/>
      <c r="AN151" s="240"/>
      <c r="AO151" s="240"/>
      <c r="AP151"/>
      <c r="AQ151" s="16"/>
      <c r="AR151" s="16"/>
      <c r="AS151" s="16"/>
      <c r="BE151" s="188"/>
      <c r="BF151" s="188"/>
      <c r="BG151" s="188"/>
      <c r="BH151" s="188"/>
      <c r="BI151" s="98"/>
      <c r="BK151" s="359">
        <f>BK110</f>
        <v>0.76439555829233852</v>
      </c>
      <c r="BL151">
        <f t="shared" si="239"/>
        <v>-0.11668184518417818</v>
      </c>
      <c r="BN151"/>
      <c r="BO151" s="358">
        <f>BO110</f>
        <v>2.5000000000000001E-2</v>
      </c>
      <c r="BP151">
        <f t="shared" si="240"/>
        <v>-1.6020599913279623</v>
      </c>
      <c r="BQ151" s="16"/>
      <c r="BZ151" s="1" t="s">
        <v>105</v>
      </c>
      <c r="CA151" s="1" t="s">
        <v>104</v>
      </c>
      <c r="CB151" t="s">
        <v>369</v>
      </c>
      <c r="CD151" s="362"/>
      <c r="CE151" s="240"/>
      <c r="CF151" s="240"/>
      <c r="CG151"/>
      <c r="CH151" s="16"/>
      <c r="CI151" s="16"/>
      <c r="CJ151" s="16"/>
      <c r="EA151" s="187"/>
      <c r="EB151" s="16"/>
      <c r="EC151" s="16"/>
    </row>
    <row r="152" spans="1:133" x14ac:dyDescent="0.2">
      <c r="A152" s="8">
        <v>35</v>
      </c>
      <c r="B152" t="s">
        <v>143</v>
      </c>
      <c r="C152">
        <v>3</v>
      </c>
      <c r="D152" t="s">
        <v>17</v>
      </c>
      <c r="E152" t="s">
        <v>16</v>
      </c>
      <c r="F152" s="9">
        <v>14</v>
      </c>
      <c r="G152" s="26" t="s">
        <v>15</v>
      </c>
      <c r="H152" s="1">
        <v>18</v>
      </c>
      <c r="I152" s="11">
        <v>410</v>
      </c>
      <c r="J152" t="s">
        <v>21</v>
      </c>
      <c r="K152" s="6" t="s">
        <v>181</v>
      </c>
      <c r="L152" s="1"/>
      <c r="M152" s="6"/>
      <c r="N152" s="1">
        <v>96.95</v>
      </c>
      <c r="O152" s="18">
        <f>VLOOKUP(I152,[1]CompDbase!$B:$K,9,FALSE)</f>
        <v>775.6</v>
      </c>
      <c r="P152" s="30">
        <v>1.906666666666667</v>
      </c>
      <c r="Q152" s="1"/>
      <c r="R152" s="1"/>
      <c r="S152" s="1"/>
      <c r="T152" s="1"/>
      <c r="U152" s="1"/>
      <c r="V152" s="1"/>
      <c r="W152" s="1"/>
      <c r="X152" s="118"/>
      <c r="Y152" s="1"/>
      <c r="Z152" s="1"/>
      <c r="AA152" s="1"/>
      <c r="AB152" s="1"/>
      <c r="AC152" s="1"/>
      <c r="AD152" s="1"/>
      <c r="AE152" s="96"/>
      <c r="AF152" s="98"/>
      <c r="AG152" s="298">
        <v>1.3511111111111109E-2</v>
      </c>
      <c r="AH152" s="154">
        <v>7.0000000000000007E-5</v>
      </c>
      <c r="AI152" s="16"/>
      <c r="AJ152" s="171"/>
      <c r="AK152" s="118"/>
      <c r="AL152" s="8"/>
      <c r="AM152" s="178"/>
      <c r="AN152" s="240"/>
      <c r="AO152" s="240"/>
      <c r="AP152"/>
      <c r="AQ152" s="16"/>
      <c r="AR152" s="16"/>
      <c r="AS152" s="16"/>
      <c r="BE152" s="188"/>
      <c r="BF152" s="188"/>
      <c r="BG152" s="188"/>
      <c r="BH152" s="188"/>
      <c r="BI152" s="98"/>
      <c r="BN152"/>
      <c r="BO152"/>
      <c r="BP152" s="16"/>
      <c r="BQ152" s="16"/>
      <c r="BX152" t="s">
        <v>355</v>
      </c>
      <c r="BY152" t="s">
        <v>178</v>
      </c>
      <c r="BZ152" s="1">
        <v>0.4027</v>
      </c>
      <c r="CA152" s="1">
        <v>0.85709999999999997</v>
      </c>
      <c r="CB152">
        <f>SQRT(SUMSQ(BT122:BT127,BT122:BT127)/COUNT(BS122:BS127))</f>
        <v>4.8886727564078095E-2</v>
      </c>
      <c r="CG152"/>
      <c r="CH152"/>
      <c r="CI152"/>
      <c r="CJ152" s="16"/>
      <c r="EA152" s="187"/>
      <c r="EB152" s="16"/>
      <c r="EC152" s="16"/>
    </row>
    <row r="153" spans="1:133" x14ac:dyDescent="0.2">
      <c r="A153" s="21" t="s">
        <v>18</v>
      </c>
      <c r="B153" t="s">
        <v>143</v>
      </c>
      <c r="C153">
        <v>3</v>
      </c>
      <c r="D153" t="s">
        <v>17</v>
      </c>
      <c r="E153" t="s">
        <v>16</v>
      </c>
      <c r="F153" s="9">
        <v>17</v>
      </c>
      <c r="G153" s="26" t="s">
        <v>15</v>
      </c>
      <c r="H153" s="1">
        <v>18</v>
      </c>
      <c r="I153" s="11">
        <v>410</v>
      </c>
      <c r="J153" t="s">
        <v>21</v>
      </c>
      <c r="K153" s="6" t="s">
        <v>181</v>
      </c>
      <c r="L153" s="1"/>
      <c r="M153" s="6"/>
      <c r="N153" s="1">
        <v>96.95</v>
      </c>
      <c r="O153" s="18">
        <f>VLOOKUP(I153,[1]CompDbase!$B:$K,9,FALSE)</f>
        <v>775.6</v>
      </c>
      <c r="P153" s="30">
        <v>1.906666666666667</v>
      </c>
      <c r="Q153" s="1"/>
      <c r="R153" s="1"/>
      <c r="S153" s="1"/>
      <c r="T153" s="1"/>
      <c r="U153" s="1"/>
      <c r="V153" s="1"/>
      <c r="W153" s="1"/>
      <c r="X153" s="118"/>
      <c r="Y153" s="1"/>
      <c r="Z153" s="1"/>
      <c r="AA153" s="1"/>
      <c r="AB153" s="1"/>
      <c r="AC153" s="1"/>
      <c r="AD153" s="1"/>
      <c r="AE153" s="96"/>
      <c r="AF153" s="98"/>
      <c r="AG153" s="298">
        <v>8.0888888888888885E-3</v>
      </c>
      <c r="AH153" s="154">
        <v>0</v>
      </c>
      <c r="AI153" s="99">
        <v>5.0000000000000002E-5</v>
      </c>
      <c r="AJ153" s="171"/>
      <c r="AK153" s="118"/>
      <c r="AL153" s="8"/>
      <c r="AM153" s="177"/>
      <c r="AN153" s="240"/>
      <c r="AO153" s="240"/>
      <c r="AP153"/>
      <c r="AQ153" s="16"/>
      <c r="AR153" s="16"/>
      <c r="AS153" s="16"/>
      <c r="BE153" s="188"/>
      <c r="BF153" s="188"/>
      <c r="BG153" s="188"/>
      <c r="BH153" s="188"/>
      <c r="BI153" s="98"/>
      <c r="BK153" s="359">
        <f>BK52</f>
        <v>7.1624688891175934</v>
      </c>
      <c r="BL153">
        <f t="shared" ref="BL153:BL200" si="252">LOG(BK153)</f>
        <v>0.85506274857909037</v>
      </c>
      <c r="BN153"/>
      <c r="BO153" s="358">
        <f>BO52</f>
        <v>0.20833333333333334</v>
      </c>
      <c r="BP153">
        <f t="shared" ref="BP153:BP200" si="253">LOG(BO153)</f>
        <v>-0.68124123737558717</v>
      </c>
      <c r="BQ153" s="16"/>
      <c r="BX153" t="s">
        <v>364</v>
      </c>
      <c r="BY153" t="s">
        <v>361</v>
      </c>
      <c r="BZ153" s="1">
        <v>1.6694</v>
      </c>
      <c r="CA153" s="1">
        <v>-1.5234000000000001</v>
      </c>
      <c r="CD153" s="239"/>
      <c r="CE153" s="240"/>
      <c r="CF153" s="240"/>
      <c r="CG153"/>
      <c r="CH153" s="16"/>
      <c r="CI153" s="16"/>
      <c r="CJ153" s="16"/>
      <c r="EA153" s="187"/>
      <c r="EB153" s="16"/>
      <c r="EC153" s="16"/>
    </row>
    <row r="154" spans="1:133" x14ac:dyDescent="0.2">
      <c r="A154" s="21" t="s">
        <v>18</v>
      </c>
      <c r="B154" t="s">
        <v>143</v>
      </c>
      <c r="C154">
        <v>3</v>
      </c>
      <c r="D154" t="s">
        <v>17</v>
      </c>
      <c r="E154" t="s">
        <v>16</v>
      </c>
      <c r="F154" s="9">
        <v>22</v>
      </c>
      <c r="G154" s="26" t="s">
        <v>15</v>
      </c>
      <c r="H154" s="1">
        <v>18</v>
      </c>
      <c r="I154" s="11">
        <v>410</v>
      </c>
      <c r="J154" t="s">
        <v>21</v>
      </c>
      <c r="K154" s="6" t="s">
        <v>181</v>
      </c>
      <c r="L154" s="1"/>
      <c r="M154" s="6"/>
      <c r="N154" s="1">
        <v>96.95</v>
      </c>
      <c r="O154" s="18">
        <f>VLOOKUP(I154,[1]CompDbase!$B:$K,9,FALSE)</f>
        <v>775.6</v>
      </c>
      <c r="P154" s="30">
        <v>1.906666666666667</v>
      </c>
      <c r="Q154" s="1"/>
      <c r="R154" s="1"/>
      <c r="S154" s="1"/>
      <c r="T154" s="1"/>
      <c r="U154" s="1"/>
      <c r="V154" s="1"/>
      <c r="W154" s="1"/>
      <c r="X154" s="118"/>
      <c r="Y154" s="1"/>
      <c r="Z154" s="1"/>
      <c r="AA154" s="1"/>
      <c r="AB154" s="1"/>
      <c r="AC154" s="1"/>
      <c r="AD154" s="1"/>
      <c r="AE154" s="96"/>
      <c r="AF154" s="98"/>
      <c r="AG154" s="298">
        <v>2.5866666666666668E-3</v>
      </c>
      <c r="AH154" s="154">
        <v>0</v>
      </c>
      <c r="AI154" s="99">
        <v>5.0000000000000002E-5</v>
      </c>
      <c r="AJ154" s="171"/>
      <c r="AK154" s="118"/>
      <c r="AL154" s="8"/>
      <c r="AM154" s="177"/>
      <c r="AN154" s="240"/>
      <c r="AO154" s="240"/>
      <c r="AP154"/>
      <c r="AQ154" s="16"/>
      <c r="AR154" s="16"/>
      <c r="AS154" s="16"/>
      <c r="BE154" s="188"/>
      <c r="BF154" s="188"/>
      <c r="BG154" s="188"/>
      <c r="BH154" s="188"/>
      <c r="BI154" s="98"/>
      <c r="BK154" s="359">
        <f>BK54</f>
        <v>76.459538707252094</v>
      </c>
      <c r="BL154">
        <f t="shared" si="252"/>
        <v>1.8834316735221501</v>
      </c>
      <c r="BN154"/>
      <c r="BO154" s="358">
        <f>BO54</f>
        <v>0.34166666666666667</v>
      </c>
      <c r="BP154">
        <f t="shared" si="253"/>
        <v>-0.46639738932788932</v>
      </c>
      <c r="BQ154" s="16"/>
      <c r="BX154" t="s">
        <v>364</v>
      </c>
      <c r="BY154" t="s">
        <v>358</v>
      </c>
      <c r="BZ154" s="1">
        <v>0.1694</v>
      </c>
      <c r="CA154" s="1">
        <v>-0.43780000000000002</v>
      </c>
      <c r="CD154" s="176"/>
      <c r="CE154" s="240"/>
      <c r="CF154" s="240"/>
      <c r="CG154"/>
      <c r="CH154" s="16"/>
      <c r="CI154" s="16"/>
      <c r="CJ154" s="16"/>
      <c r="EA154" s="187"/>
      <c r="EB154" s="16"/>
      <c r="EC154" s="16"/>
    </row>
    <row r="155" spans="1:133" x14ac:dyDescent="0.2">
      <c r="A155" s="21" t="s">
        <v>18</v>
      </c>
      <c r="B155" t="s">
        <v>143</v>
      </c>
      <c r="C155">
        <v>3</v>
      </c>
      <c r="D155" t="s">
        <v>17</v>
      </c>
      <c r="E155" t="s">
        <v>16</v>
      </c>
      <c r="F155" s="9">
        <v>23</v>
      </c>
      <c r="G155" s="26" t="s">
        <v>15</v>
      </c>
      <c r="H155" s="1">
        <v>18</v>
      </c>
      <c r="I155" s="11">
        <v>410</v>
      </c>
      <c r="J155" t="s">
        <v>21</v>
      </c>
      <c r="K155" s="6" t="s">
        <v>181</v>
      </c>
      <c r="L155" s="1"/>
      <c r="M155" s="6"/>
      <c r="N155" s="1">
        <v>96.95</v>
      </c>
      <c r="O155" s="18">
        <f>VLOOKUP(I155,[1]CompDbase!$B:$K,9,FALSE)</f>
        <v>775.6</v>
      </c>
      <c r="P155" s="30">
        <v>1.906666666666667</v>
      </c>
      <c r="Q155" s="1"/>
      <c r="R155" s="1"/>
      <c r="S155" s="1"/>
      <c r="T155" s="1"/>
      <c r="U155" s="1"/>
      <c r="V155" s="1"/>
      <c r="W155" s="1"/>
      <c r="X155" s="118"/>
      <c r="Y155" s="1"/>
      <c r="Z155" s="1"/>
      <c r="AA155" s="1"/>
      <c r="AB155" s="1"/>
      <c r="AC155" s="1"/>
      <c r="AD155" s="1"/>
      <c r="AE155" s="96"/>
      <c r="AF155" s="98"/>
      <c r="AG155" s="298">
        <v>6.5600000000000066E-4</v>
      </c>
      <c r="AH155" s="154">
        <v>0</v>
      </c>
      <c r="AI155" s="99">
        <v>5.0000000000000002E-5</v>
      </c>
      <c r="AJ155" s="171"/>
      <c r="AK155" s="118"/>
      <c r="AL155" s="8"/>
      <c r="AM155" s="177"/>
      <c r="AN155" s="240"/>
      <c r="AO155" s="240"/>
      <c r="AP155"/>
      <c r="AQ155" s="16"/>
      <c r="AR155" s="16"/>
      <c r="AS155" s="16"/>
      <c r="BE155" s="188"/>
      <c r="BF155" s="188"/>
      <c r="BG155" s="188"/>
      <c r="BH155" s="188"/>
      <c r="BI155" s="98"/>
      <c r="BK155" s="359">
        <f>BK55</f>
        <v>409.05853208379864</v>
      </c>
      <c r="BL155">
        <f t="shared" si="252"/>
        <v>2.6117854555433784</v>
      </c>
      <c r="BN155"/>
      <c r="BO155" s="358">
        <f>BO55</f>
        <v>0.60833333333333328</v>
      </c>
      <c r="BP155">
        <f t="shared" si="253"/>
        <v>-0.21585838592716897</v>
      </c>
      <c r="BQ155" s="16"/>
      <c r="BY155" t="s">
        <v>363</v>
      </c>
      <c r="BZ155" s="1">
        <v>1.0648</v>
      </c>
      <c r="CA155" s="1">
        <v>-1.5363</v>
      </c>
      <c r="CD155" s="243"/>
      <c r="CE155" s="240"/>
      <c r="CF155" s="240"/>
      <c r="CG155"/>
      <c r="CH155" s="16"/>
      <c r="CI155" s="16"/>
      <c r="CJ155" s="16"/>
      <c r="EA155" s="187"/>
      <c r="EB155" s="16"/>
      <c r="EC155" s="16"/>
    </row>
    <row r="156" spans="1:133" x14ac:dyDescent="0.2">
      <c r="A156" s="21" t="s">
        <v>18</v>
      </c>
      <c r="B156" t="s">
        <v>143</v>
      </c>
      <c r="C156">
        <v>3</v>
      </c>
      <c r="D156" t="s">
        <v>17</v>
      </c>
      <c r="E156" t="s">
        <v>20</v>
      </c>
      <c r="F156" s="9">
        <v>59</v>
      </c>
      <c r="G156" s="26" t="s">
        <v>15</v>
      </c>
      <c r="H156" s="1">
        <v>18</v>
      </c>
      <c r="I156" s="11">
        <v>410</v>
      </c>
      <c r="J156" t="s">
        <v>21</v>
      </c>
      <c r="K156" s="6" t="s">
        <v>181</v>
      </c>
      <c r="L156" s="1"/>
      <c r="M156" s="6"/>
      <c r="N156" s="1">
        <v>96.95</v>
      </c>
      <c r="O156" s="18">
        <f>VLOOKUP(I156,[1]CompDbase!$B:$K,9,FALSE)</f>
        <v>775.6</v>
      </c>
      <c r="P156" s="30">
        <v>1.906666666666667</v>
      </c>
      <c r="Q156" s="1"/>
      <c r="R156" s="1"/>
      <c r="S156" s="1"/>
      <c r="T156" s="1"/>
      <c r="U156" s="1"/>
      <c r="V156" s="1"/>
      <c r="W156" s="1"/>
      <c r="X156" s="118"/>
      <c r="Y156" s="1"/>
      <c r="Z156" s="1"/>
      <c r="AA156" s="1"/>
      <c r="AB156" s="1"/>
      <c r="AC156" s="1"/>
      <c r="AD156" s="1"/>
      <c r="AE156" s="96"/>
      <c r="AF156" s="98"/>
      <c r="AG156" s="298">
        <v>1.0000000000000002E-4</v>
      </c>
      <c r="AH156" s="154">
        <v>0</v>
      </c>
      <c r="AI156" s="99">
        <v>5.0000000000000002E-5</v>
      </c>
      <c r="AJ156" s="171"/>
      <c r="AK156" s="118"/>
      <c r="AL156" s="8"/>
      <c r="AM156" s="177"/>
      <c r="AN156" s="240"/>
      <c r="AO156" s="240"/>
      <c r="AP156"/>
      <c r="AQ156" s="16"/>
      <c r="AR156" s="16"/>
      <c r="AS156" s="16"/>
      <c r="BE156" s="188"/>
      <c r="BF156" s="188"/>
      <c r="BG156" s="188"/>
      <c r="BH156" s="188"/>
      <c r="BI156" s="98"/>
      <c r="BK156" s="359">
        <f>BK58</f>
        <v>61.22187323476868</v>
      </c>
      <c r="BL156">
        <f t="shared" si="252"/>
        <v>1.7869066137794007</v>
      </c>
      <c r="BN156"/>
      <c r="BO156" s="358">
        <f>BO58</f>
        <v>0.30833333333333335</v>
      </c>
      <c r="BP156">
        <f t="shared" si="253"/>
        <v>-0.51097952198062979</v>
      </c>
      <c r="BQ156" s="16"/>
      <c r="BY156" t="s">
        <v>362</v>
      </c>
      <c r="BZ156" s="1">
        <v>0.21859999999999999</v>
      </c>
      <c r="CA156" s="1">
        <v>-0.82509999999999994</v>
      </c>
      <c r="CD156" s="176"/>
      <c r="CE156" s="240"/>
      <c r="CF156" s="240"/>
      <c r="CG156"/>
      <c r="CH156" s="16"/>
      <c r="CI156" s="16"/>
      <c r="CJ156" s="16"/>
      <c r="EA156" s="187"/>
      <c r="EB156" s="16"/>
      <c r="EC156" s="16"/>
    </row>
    <row r="157" spans="1:133" x14ac:dyDescent="0.2">
      <c r="K157" s="6"/>
      <c r="M157" s="9"/>
      <c r="X157" s="118"/>
      <c r="AE157" s="96"/>
      <c r="AG157" s="10"/>
      <c r="AJ157" s="8"/>
      <c r="AK157" s="9"/>
      <c r="AL157" s="8"/>
      <c r="AM157" s="178"/>
      <c r="AP157"/>
      <c r="AS157" s="1"/>
      <c r="BE157"/>
      <c r="BF157"/>
      <c r="BG157"/>
      <c r="BH157"/>
      <c r="BI157"/>
      <c r="BK157" s="359">
        <f>BK59</f>
        <v>209.1747335521263</v>
      </c>
      <c r="BL157">
        <f t="shared" si="252"/>
        <v>2.3205092244515111</v>
      </c>
      <c r="BN157"/>
      <c r="BO157" s="358">
        <f>BO59</f>
        <v>0.52500000000000002</v>
      </c>
      <c r="BP157">
        <f t="shared" si="253"/>
        <v>-0.27984069659404309</v>
      </c>
      <c r="BQ157" s="1"/>
      <c r="CD157" s="176"/>
      <c r="CE157" s="240"/>
      <c r="CF157" s="240"/>
      <c r="CG157"/>
      <c r="CH157" s="16"/>
      <c r="CI157" s="16"/>
      <c r="CJ157" s="1"/>
    </row>
    <row r="158" spans="1:133" x14ac:dyDescent="0.2">
      <c r="A158" s="8">
        <v>37</v>
      </c>
      <c r="B158" t="s">
        <v>143</v>
      </c>
      <c r="C158">
        <v>3</v>
      </c>
      <c r="D158" t="s">
        <v>17</v>
      </c>
      <c r="E158" t="s">
        <v>16</v>
      </c>
      <c r="F158" s="9">
        <v>16</v>
      </c>
      <c r="G158" s="26" t="s">
        <v>15</v>
      </c>
      <c r="H158" s="1">
        <v>18</v>
      </c>
      <c r="I158" s="11">
        <v>403</v>
      </c>
      <c r="J158" t="s">
        <v>14</v>
      </c>
      <c r="K158" s="6" t="s">
        <v>153</v>
      </c>
      <c r="L158" s="1"/>
      <c r="M158" s="6"/>
      <c r="N158" s="1">
        <v>165.80749949115744</v>
      </c>
      <c r="O158" s="18">
        <f>VLOOKUP(I158,[1]CompDbase!$B:$K,9,FALSE)</f>
        <v>118.88250367033854</v>
      </c>
      <c r="P158" s="30">
        <v>3.4</v>
      </c>
      <c r="Q158" s="1"/>
      <c r="R158" s="1"/>
      <c r="S158" s="1"/>
      <c r="T158" s="1"/>
      <c r="U158" s="1"/>
      <c r="V158" s="1"/>
      <c r="W158" s="1"/>
      <c r="X158" s="118"/>
      <c r="Y158" s="1"/>
      <c r="Z158" s="1"/>
      <c r="AA158" s="1"/>
      <c r="AB158" s="1"/>
      <c r="AC158" s="1"/>
      <c r="AD158" s="1"/>
      <c r="AE158" s="96"/>
      <c r="AF158" s="98"/>
      <c r="AG158" s="298">
        <v>0.13244444444444442</v>
      </c>
      <c r="AH158" s="154">
        <v>1.2999999999999999E-3</v>
      </c>
      <c r="AI158" s="16"/>
      <c r="AJ158" s="171"/>
      <c r="AK158" s="118"/>
      <c r="AL158" s="8"/>
      <c r="AM158" s="178"/>
      <c r="AN158" s="240"/>
      <c r="AO158" s="240"/>
      <c r="AP158"/>
      <c r="AQ158" s="16"/>
      <c r="AR158" s="16"/>
      <c r="AS158" s="16"/>
      <c r="BE158" s="188"/>
      <c r="BF158" s="188"/>
      <c r="BG158" s="188"/>
      <c r="BH158" s="188"/>
      <c r="BI158" s="98"/>
      <c r="BK158" s="359">
        <f t="shared" ref="BK158:BK167" si="254">BK66</f>
        <v>1412.6660301122608</v>
      </c>
      <c r="BL158">
        <f t="shared" si="252"/>
        <v>3.1500395019598835</v>
      </c>
      <c r="BN158"/>
      <c r="BO158" s="358">
        <f t="shared" ref="BO158:BO167" si="255">BO66</f>
        <v>0.79166666666666663</v>
      </c>
      <c r="BP158">
        <f t="shared" si="253"/>
        <v>-0.10145764075877708</v>
      </c>
      <c r="BQ158" s="16"/>
      <c r="CD158" s="176"/>
      <c r="CG158"/>
      <c r="CJ158" s="16"/>
      <c r="EA158" s="187"/>
      <c r="EB158" s="16"/>
      <c r="EC158" s="16"/>
    </row>
    <row r="159" spans="1:133" x14ac:dyDescent="0.2">
      <c r="A159" s="8">
        <v>33</v>
      </c>
      <c r="B159" t="s">
        <v>143</v>
      </c>
      <c r="C159">
        <v>3</v>
      </c>
      <c r="D159" t="s">
        <v>17</v>
      </c>
      <c r="E159" t="s">
        <v>16</v>
      </c>
      <c r="F159" s="9">
        <v>14</v>
      </c>
      <c r="G159" s="26" t="s">
        <v>15</v>
      </c>
      <c r="H159" s="1">
        <v>18</v>
      </c>
      <c r="I159" s="11">
        <v>403</v>
      </c>
      <c r="J159" t="s">
        <v>14</v>
      </c>
      <c r="K159" s="6" t="s">
        <v>153</v>
      </c>
      <c r="L159" s="1"/>
      <c r="M159" s="6"/>
      <c r="N159" s="1">
        <v>165.80749949115744</v>
      </c>
      <c r="O159" s="18">
        <f>VLOOKUP(I159,[1]CompDbase!$B:$K,9,FALSE)</f>
        <v>118.88250367033854</v>
      </c>
      <c r="P159" s="30">
        <v>3.4</v>
      </c>
      <c r="Q159" s="1"/>
      <c r="R159" s="1"/>
      <c r="S159" s="1"/>
      <c r="T159" s="1"/>
      <c r="U159" s="1"/>
      <c r="V159" s="1"/>
      <c r="W159" s="1"/>
      <c r="X159" s="118"/>
      <c r="Y159" s="1"/>
      <c r="Z159" s="1"/>
      <c r="AA159" s="1"/>
      <c r="AB159" s="1"/>
      <c r="AC159" s="1"/>
      <c r="AD159" s="1"/>
      <c r="AE159" s="96"/>
      <c r="AF159" s="98"/>
      <c r="AG159" s="298">
        <v>4.0933333333333495E-2</v>
      </c>
      <c r="AH159" s="154">
        <v>1.9000000000000001E-4</v>
      </c>
      <c r="AI159" s="16"/>
      <c r="AJ159" s="171"/>
      <c r="AK159" s="118"/>
      <c r="AL159" s="8"/>
      <c r="AM159" s="178"/>
      <c r="AN159" s="240"/>
      <c r="AO159" s="240"/>
      <c r="AP159"/>
      <c r="AQ159" s="16"/>
      <c r="AR159" s="16"/>
      <c r="AS159" s="16"/>
      <c r="BE159" s="188"/>
      <c r="BF159" s="188"/>
      <c r="BG159" s="188"/>
      <c r="BH159" s="188"/>
      <c r="BI159" s="98"/>
      <c r="BK159" s="359">
        <f t="shared" si="254"/>
        <v>1412.6660301122608</v>
      </c>
      <c r="BL159">
        <f t="shared" si="252"/>
        <v>3.1500395019598835</v>
      </c>
      <c r="BN159"/>
      <c r="BO159" s="358">
        <f t="shared" si="255"/>
        <v>0.79166666666666663</v>
      </c>
      <c r="BP159">
        <f t="shared" si="253"/>
        <v>-0.10145764075877708</v>
      </c>
      <c r="BQ159" s="16"/>
      <c r="CD159" s="176"/>
      <c r="CE159" s="240"/>
      <c r="CF159" s="240"/>
      <c r="CG159"/>
      <c r="CH159" s="16"/>
      <c r="CI159" s="16"/>
      <c r="CJ159" s="16"/>
      <c r="EA159" s="187"/>
      <c r="EB159" s="16"/>
      <c r="EC159" s="16"/>
    </row>
    <row r="160" spans="1:133" x14ac:dyDescent="0.2">
      <c r="A160" s="8">
        <v>28</v>
      </c>
      <c r="B160" t="s">
        <v>143</v>
      </c>
      <c r="C160">
        <v>3</v>
      </c>
      <c r="D160" t="s">
        <v>17</v>
      </c>
      <c r="E160" t="s">
        <v>20</v>
      </c>
      <c r="F160" s="9">
        <v>59</v>
      </c>
      <c r="G160" s="26" t="s">
        <v>15</v>
      </c>
      <c r="H160" s="1">
        <v>18</v>
      </c>
      <c r="I160" s="11">
        <v>403</v>
      </c>
      <c r="J160" t="s">
        <v>14</v>
      </c>
      <c r="K160" s="6" t="s">
        <v>153</v>
      </c>
      <c r="L160" s="1"/>
      <c r="M160" s="6"/>
      <c r="N160" s="1">
        <v>165.80749949115744</v>
      </c>
      <c r="O160" s="18">
        <f>VLOOKUP(I160,[1]CompDbase!$B:$K,9,FALSE)</f>
        <v>118.88250367033854</v>
      </c>
      <c r="P160" s="30">
        <v>3.4</v>
      </c>
      <c r="Q160" s="1"/>
      <c r="R160" s="1"/>
      <c r="S160" s="1"/>
      <c r="T160" s="1"/>
      <c r="U160" s="1"/>
      <c r="V160" s="1"/>
      <c r="W160" s="1"/>
      <c r="X160" s="118"/>
      <c r="Y160" s="1"/>
      <c r="Z160" s="1"/>
      <c r="AA160" s="1"/>
      <c r="AB160" s="1"/>
      <c r="AC160" s="1"/>
      <c r="AD160" s="1"/>
      <c r="AE160" s="96"/>
      <c r="AF160" s="98"/>
      <c r="AG160" s="298">
        <v>1.8377777777777774E-2</v>
      </c>
      <c r="AH160" s="154">
        <v>8.9999999999999992E-5</v>
      </c>
      <c r="AI160" s="16"/>
      <c r="AJ160" s="171"/>
      <c r="AK160" s="118"/>
      <c r="AL160" s="8"/>
      <c r="AM160" s="178"/>
      <c r="AN160" s="240"/>
      <c r="AO160" s="240"/>
      <c r="AP160"/>
      <c r="AQ160" s="16"/>
      <c r="AR160" s="16"/>
      <c r="AS160" s="16"/>
      <c r="BE160" s="188"/>
      <c r="BF160" s="188"/>
      <c r="BG160" s="188"/>
      <c r="BH160" s="188"/>
      <c r="BI160" s="98"/>
      <c r="BK160" s="359">
        <f t="shared" si="254"/>
        <v>1412.6660301122608</v>
      </c>
      <c r="BL160">
        <f t="shared" si="252"/>
        <v>3.1500395019598835</v>
      </c>
      <c r="BN160"/>
      <c r="BO160" s="358">
        <f t="shared" si="255"/>
        <v>0.79166666666666663</v>
      </c>
      <c r="BP160">
        <f t="shared" si="253"/>
        <v>-0.10145764075877708</v>
      </c>
      <c r="BQ160" s="16"/>
      <c r="CD160" s="176"/>
      <c r="CE160" s="240"/>
      <c r="CF160" s="240"/>
      <c r="CG160"/>
      <c r="CH160" s="16"/>
      <c r="CI160" s="16"/>
      <c r="CJ160" s="16"/>
      <c r="EA160" s="187"/>
      <c r="EB160" s="16"/>
      <c r="EC160" s="16"/>
    </row>
    <row r="161" spans="1:133" x14ac:dyDescent="0.2">
      <c r="A161" s="8">
        <v>40</v>
      </c>
      <c r="B161" t="s">
        <v>143</v>
      </c>
      <c r="C161">
        <v>3</v>
      </c>
      <c r="D161" t="s">
        <v>17</v>
      </c>
      <c r="E161" t="s">
        <v>16</v>
      </c>
      <c r="F161" s="9">
        <v>17</v>
      </c>
      <c r="G161" s="26" t="s">
        <v>15</v>
      </c>
      <c r="H161" s="1">
        <v>18</v>
      </c>
      <c r="I161" s="11">
        <v>403</v>
      </c>
      <c r="J161" t="s">
        <v>14</v>
      </c>
      <c r="K161" s="6" t="s">
        <v>153</v>
      </c>
      <c r="L161" s="1"/>
      <c r="M161" s="6"/>
      <c r="N161" s="1">
        <v>165.80749949115744</v>
      </c>
      <c r="O161" s="18">
        <f>VLOOKUP(I161,[1]CompDbase!$B:$K,9,FALSE)</f>
        <v>118.88250367033854</v>
      </c>
      <c r="P161" s="30">
        <v>3.4</v>
      </c>
      <c r="Q161" s="1"/>
      <c r="R161" s="1"/>
      <c r="S161" s="1"/>
      <c r="T161" s="1"/>
      <c r="U161" s="1"/>
      <c r="V161" s="1"/>
      <c r="W161" s="1"/>
      <c r="X161" s="118"/>
      <c r="Y161" s="1"/>
      <c r="Z161" s="1"/>
      <c r="AA161" s="1"/>
      <c r="AB161" s="1"/>
      <c r="AC161" s="1"/>
      <c r="AD161" s="1"/>
      <c r="AE161" s="96"/>
      <c r="AF161" s="98"/>
      <c r="AG161" s="298">
        <v>2.9600000000000078E-3</v>
      </c>
      <c r="AH161" s="154">
        <v>8.0000000000000007E-5</v>
      </c>
      <c r="AI161" s="16"/>
      <c r="AJ161" s="171"/>
      <c r="AK161" s="118"/>
      <c r="AL161" s="8"/>
      <c r="AM161" s="178"/>
      <c r="AP161"/>
      <c r="AQ161" s="16"/>
      <c r="AR161" s="16"/>
      <c r="AS161" s="16"/>
      <c r="BE161" s="188"/>
      <c r="BF161" s="188"/>
      <c r="BG161" s="188"/>
      <c r="BH161" s="188"/>
      <c r="BI161" s="98"/>
      <c r="BK161" s="359">
        <f t="shared" si="254"/>
        <v>559.01947212358027</v>
      </c>
      <c r="BL161">
        <f t="shared" si="252"/>
        <v>2.7474269357728933</v>
      </c>
      <c r="BN161"/>
      <c r="BO161" s="358">
        <f t="shared" si="255"/>
        <v>0.68333333333333335</v>
      </c>
      <c r="BP161">
        <f t="shared" si="253"/>
        <v>-0.16536739366390812</v>
      </c>
      <c r="BQ161" s="16"/>
      <c r="CD161" s="176"/>
      <c r="CF161" s="240"/>
      <c r="CG161"/>
      <c r="CH161" s="16"/>
      <c r="CI161" s="16"/>
      <c r="CJ161" s="16"/>
      <c r="EA161" s="187"/>
      <c r="EB161" s="16"/>
      <c r="EC161" s="16"/>
    </row>
    <row r="162" spans="1:133" x14ac:dyDescent="0.2">
      <c r="A162" s="8">
        <v>30</v>
      </c>
      <c r="B162" t="s">
        <v>143</v>
      </c>
      <c r="C162">
        <v>3</v>
      </c>
      <c r="D162" t="s">
        <v>17</v>
      </c>
      <c r="E162" t="s">
        <v>16</v>
      </c>
      <c r="F162" s="9">
        <v>11</v>
      </c>
      <c r="G162" s="26" t="s">
        <v>15</v>
      </c>
      <c r="H162" s="1">
        <v>18</v>
      </c>
      <c r="I162" s="11">
        <v>403</v>
      </c>
      <c r="J162" t="s">
        <v>14</v>
      </c>
      <c r="K162" s="6" t="s">
        <v>153</v>
      </c>
      <c r="L162" s="1"/>
      <c r="M162" s="6"/>
      <c r="N162" s="1">
        <v>165.80749949115744</v>
      </c>
      <c r="O162" s="18">
        <f>VLOOKUP(I162,[1]CompDbase!$B:$K,9,FALSE)</f>
        <v>118.88250367033854</v>
      </c>
      <c r="P162" s="30">
        <v>3.4</v>
      </c>
      <c r="Q162" s="1"/>
      <c r="R162" s="1"/>
      <c r="S162" s="1"/>
      <c r="T162" s="1"/>
      <c r="U162" s="1"/>
      <c r="V162" s="1"/>
      <c r="W162" s="1"/>
      <c r="X162" s="118"/>
      <c r="Y162" s="1"/>
      <c r="Z162" s="1"/>
      <c r="AA162" s="1"/>
      <c r="AB162" s="1"/>
      <c r="AC162" s="1"/>
      <c r="AD162" s="1"/>
      <c r="AE162" s="96"/>
      <c r="AF162" s="98"/>
      <c r="AG162" s="298">
        <v>1.1800000000000005E-4</v>
      </c>
      <c r="AH162" s="154">
        <v>5.0000000000000002E-5</v>
      </c>
      <c r="AI162" s="16"/>
      <c r="AJ162" s="171"/>
      <c r="AK162" s="118"/>
      <c r="AL162" s="8"/>
      <c r="AM162" s="178"/>
      <c r="AP162"/>
      <c r="AS162" s="1"/>
      <c r="BE162" s="188"/>
      <c r="BF162" s="188"/>
      <c r="BG162" s="188"/>
      <c r="BH162" s="188"/>
      <c r="BI162" s="98"/>
      <c r="BK162" s="359">
        <f t="shared" si="254"/>
        <v>559.01947212358027</v>
      </c>
      <c r="BL162">
        <f t="shared" si="252"/>
        <v>2.7474269357728933</v>
      </c>
      <c r="BN162"/>
      <c r="BO162" s="358">
        <f t="shared" si="255"/>
        <v>0.68333333333333335</v>
      </c>
      <c r="BP162">
        <f t="shared" si="253"/>
        <v>-0.16536739366390812</v>
      </c>
      <c r="BQ162" s="1"/>
      <c r="CD162" s="176"/>
      <c r="CG162"/>
      <c r="CH162" s="16"/>
      <c r="CI162" s="16"/>
      <c r="CJ162" s="1"/>
      <c r="EA162" s="187"/>
      <c r="EB162" s="16"/>
      <c r="EC162" s="16"/>
    </row>
    <row r="163" spans="1:133" x14ac:dyDescent="0.2">
      <c r="A163" s="21" t="s">
        <v>18</v>
      </c>
      <c r="B163" t="s">
        <v>143</v>
      </c>
      <c r="C163">
        <v>3</v>
      </c>
      <c r="D163" t="s">
        <v>17</v>
      </c>
      <c r="E163" t="s">
        <v>16</v>
      </c>
      <c r="F163" s="9">
        <v>22</v>
      </c>
      <c r="G163" s="26" t="s">
        <v>15</v>
      </c>
      <c r="H163" s="1">
        <v>18</v>
      </c>
      <c r="I163" s="11">
        <v>403</v>
      </c>
      <c r="J163" t="s">
        <v>14</v>
      </c>
      <c r="K163" s="6" t="s">
        <v>153</v>
      </c>
      <c r="L163" s="1"/>
      <c r="M163" s="6"/>
      <c r="N163" s="1">
        <v>165.80749949115744</v>
      </c>
      <c r="O163" s="18">
        <f>VLOOKUP(I163,[1]CompDbase!$B:$K,9,FALSE)</f>
        <v>118.88250367033854</v>
      </c>
      <c r="P163" s="30">
        <v>3.4</v>
      </c>
      <c r="Q163" s="1"/>
      <c r="R163" s="1"/>
      <c r="S163" s="1"/>
      <c r="T163" s="1"/>
      <c r="U163" s="1"/>
      <c r="V163" s="1"/>
      <c r="W163" s="1"/>
      <c r="X163" s="118"/>
      <c r="Y163" s="1"/>
      <c r="Z163" s="1"/>
      <c r="AA163" s="1"/>
      <c r="AB163" s="1"/>
      <c r="AC163" s="1"/>
      <c r="AD163" s="1"/>
      <c r="AE163" s="96"/>
      <c r="AF163" s="98"/>
      <c r="AG163" s="298">
        <v>1.0000000000000002E-4</v>
      </c>
      <c r="AH163" s="154">
        <v>0</v>
      </c>
      <c r="AI163" s="99">
        <v>5.0000000000000002E-5</v>
      </c>
      <c r="AJ163" s="171"/>
      <c r="AK163" s="118"/>
      <c r="AL163" s="8"/>
      <c r="AM163" s="177"/>
      <c r="AN163" s="240"/>
      <c r="AO163" s="240"/>
      <c r="AP163"/>
      <c r="AQ163" s="16"/>
      <c r="AR163" s="16"/>
      <c r="AS163" s="16"/>
      <c r="BE163" s="188"/>
      <c r="BF163" s="188"/>
      <c r="BG163" s="188"/>
      <c r="BH163" s="188"/>
      <c r="BI163" s="98"/>
      <c r="BK163" s="359">
        <f t="shared" si="254"/>
        <v>559.01947212358027</v>
      </c>
      <c r="BL163">
        <f t="shared" si="252"/>
        <v>2.7474269357728933</v>
      </c>
      <c r="BN163"/>
      <c r="BO163" s="358">
        <f t="shared" si="255"/>
        <v>0.68333333333333335</v>
      </c>
      <c r="BP163">
        <f t="shared" si="253"/>
        <v>-0.16536739366390812</v>
      </c>
      <c r="BQ163" s="16"/>
      <c r="CD163" s="176"/>
      <c r="CG163"/>
      <c r="CJ163" s="16"/>
      <c r="EA163" s="187"/>
      <c r="EB163" s="16"/>
      <c r="EC163" s="16"/>
    </row>
    <row r="164" spans="1:133" x14ac:dyDescent="0.2">
      <c r="A164" s="21" t="s">
        <v>18</v>
      </c>
      <c r="B164" t="s">
        <v>143</v>
      </c>
      <c r="C164">
        <v>3</v>
      </c>
      <c r="D164" t="s">
        <v>17</v>
      </c>
      <c r="E164" t="s">
        <v>16</v>
      </c>
      <c r="F164" s="9">
        <v>23</v>
      </c>
      <c r="G164" s="26" t="s">
        <v>15</v>
      </c>
      <c r="H164" s="1">
        <v>18</v>
      </c>
      <c r="I164" s="11">
        <v>403</v>
      </c>
      <c r="J164" t="s">
        <v>14</v>
      </c>
      <c r="K164" s="6" t="s">
        <v>153</v>
      </c>
      <c r="L164" s="1"/>
      <c r="M164" s="6"/>
      <c r="N164" s="1">
        <v>165.80749949115744</v>
      </c>
      <c r="O164" s="18">
        <f>VLOOKUP(I164,[1]CompDbase!$B:$K,9,FALSE)</f>
        <v>118.88250367033854</v>
      </c>
      <c r="P164" s="30">
        <v>3.4</v>
      </c>
      <c r="Q164" s="1"/>
      <c r="R164" s="1"/>
      <c r="S164" s="1"/>
      <c r="T164" s="1"/>
      <c r="U164" s="1"/>
      <c r="V164" s="1"/>
      <c r="W164" s="1"/>
      <c r="X164" s="118"/>
      <c r="Y164" s="1"/>
      <c r="Z164" s="1"/>
      <c r="AA164" s="1"/>
      <c r="AB164" s="1"/>
      <c r="AC164" s="1"/>
      <c r="AD164" s="1"/>
      <c r="AE164" s="96"/>
      <c r="AF164" s="98"/>
      <c r="AG164" s="298">
        <v>1.0000000000000002E-4</v>
      </c>
      <c r="AH164" s="154">
        <v>0</v>
      </c>
      <c r="AI164" s="99">
        <v>5.0000000000000002E-5</v>
      </c>
      <c r="AJ164" s="171"/>
      <c r="AK164" s="118"/>
      <c r="AL164" s="8"/>
      <c r="AM164" s="177"/>
      <c r="AN164" s="240"/>
      <c r="AO164" s="240"/>
      <c r="AP164"/>
      <c r="AQ164" s="16"/>
      <c r="AR164" s="16"/>
      <c r="AS164" s="16"/>
      <c r="BE164" s="188"/>
      <c r="BF164" s="188"/>
      <c r="BG164" s="188"/>
      <c r="BH164" s="188"/>
      <c r="BI164" s="98"/>
      <c r="BK164" s="359">
        <f t="shared" si="254"/>
        <v>559.01947212358027</v>
      </c>
      <c r="BL164">
        <f t="shared" si="252"/>
        <v>2.7474269357728933</v>
      </c>
      <c r="BN164"/>
      <c r="BO164" s="358">
        <f t="shared" si="255"/>
        <v>0.68333333333333335</v>
      </c>
      <c r="BP164">
        <f t="shared" si="253"/>
        <v>-0.16536739366390812</v>
      </c>
      <c r="BQ164" s="16"/>
      <c r="CD164" s="176"/>
      <c r="CF164" s="240"/>
      <c r="CG164"/>
      <c r="CH164" s="16"/>
      <c r="CI164" s="16"/>
      <c r="CJ164" s="16"/>
      <c r="EA164" s="187"/>
      <c r="EB164" s="16"/>
      <c r="EC164" s="16"/>
    </row>
    <row r="165" spans="1:133" x14ac:dyDescent="0.2">
      <c r="A165" s="21"/>
      <c r="B165" s="13"/>
      <c r="F165" s="9"/>
      <c r="G165" s="26"/>
      <c r="I165" s="11"/>
      <c r="K165" s="6"/>
      <c r="L165" s="1"/>
      <c r="M165" s="6"/>
      <c r="O165" s="18"/>
      <c r="P165" s="1"/>
      <c r="Q165" s="1"/>
      <c r="R165" s="1"/>
      <c r="S165" s="1"/>
      <c r="T165" s="1"/>
      <c r="U165" s="1"/>
      <c r="V165" s="1"/>
      <c r="W165" s="1"/>
      <c r="X165" s="14"/>
      <c r="Y165" s="1"/>
      <c r="Z165" s="1"/>
      <c r="AA165" s="1"/>
      <c r="AB165" s="1"/>
      <c r="AC165" s="1"/>
      <c r="AD165" s="1"/>
      <c r="AE165" s="96"/>
      <c r="AF165" s="16"/>
      <c r="AG165" s="24"/>
      <c r="AH165" s="8"/>
      <c r="AI165" s="16"/>
      <c r="AJ165" s="8"/>
      <c r="AK165" s="9"/>
      <c r="AL165" s="8"/>
      <c r="AM165" s="177"/>
      <c r="AN165" s="240"/>
      <c r="AO165" s="240"/>
      <c r="AP165"/>
      <c r="AQ165" s="16"/>
      <c r="AR165" s="16"/>
      <c r="AS165" s="16"/>
      <c r="BE165"/>
      <c r="BF165"/>
      <c r="BG165"/>
      <c r="BH165"/>
      <c r="BI165"/>
      <c r="BK165" s="359">
        <f t="shared" si="254"/>
        <v>339.13058596909082</v>
      </c>
      <c r="BL165">
        <f t="shared" si="252"/>
        <v>2.5303669602840575</v>
      </c>
      <c r="BN165"/>
      <c r="BO165" s="358">
        <f t="shared" si="255"/>
        <v>0.59166666666666667</v>
      </c>
      <c r="BP165">
        <f t="shared" si="253"/>
        <v>-0.22792289732854953</v>
      </c>
      <c r="BQ165" s="16"/>
      <c r="CD165" s="176"/>
      <c r="CF165" s="240"/>
      <c r="CG165"/>
      <c r="CH165" s="16"/>
      <c r="CI165" s="16"/>
      <c r="CJ165" s="16"/>
      <c r="EA165" s="187"/>
      <c r="EB165" s="16"/>
      <c r="EC165" s="16"/>
    </row>
    <row r="166" spans="1:133" x14ac:dyDescent="0.2">
      <c r="A166" s="8">
        <v>38</v>
      </c>
      <c r="B166" t="s">
        <v>143</v>
      </c>
      <c r="C166">
        <v>3</v>
      </c>
      <c r="D166" t="s">
        <v>17</v>
      </c>
      <c r="E166" t="s">
        <v>16</v>
      </c>
      <c r="F166" s="9">
        <v>16</v>
      </c>
      <c r="G166" s="26" t="s">
        <v>15</v>
      </c>
      <c r="H166" s="1">
        <v>18</v>
      </c>
      <c r="I166" s="11">
        <v>405</v>
      </c>
      <c r="J166" t="s">
        <v>19</v>
      </c>
      <c r="K166" s="6" t="s">
        <v>182</v>
      </c>
      <c r="L166" s="1"/>
      <c r="M166" s="6"/>
      <c r="N166" s="1">
        <v>131.4</v>
      </c>
      <c r="O166" s="18">
        <f>VLOOKUP(I166,[1]CompDbase!$B:$K,9,FALSE)</f>
        <v>1164.8441611748488</v>
      </c>
      <c r="P166" s="30">
        <v>2.61</v>
      </c>
      <c r="Q166" s="1"/>
      <c r="R166" s="1"/>
      <c r="S166" s="1"/>
      <c r="T166" s="1"/>
      <c r="U166" s="1"/>
      <c r="V166" s="1"/>
      <c r="W166" s="1"/>
      <c r="X166" s="118"/>
      <c r="Y166" s="1"/>
      <c r="Z166" s="1"/>
      <c r="AA166" s="1"/>
      <c r="AB166" s="1"/>
      <c r="AC166" s="1"/>
      <c r="AD166" s="1"/>
      <c r="AE166" s="96"/>
      <c r="AF166" s="98"/>
      <c r="AG166" s="298">
        <v>2.7711111111111113E-2</v>
      </c>
      <c r="AH166" s="154">
        <v>6.8000000000000005E-4</v>
      </c>
      <c r="AI166" s="16"/>
      <c r="AJ166" s="171"/>
      <c r="AK166" s="118"/>
      <c r="AL166" s="8"/>
      <c r="AM166" s="178"/>
      <c r="AP166"/>
      <c r="AS166" s="1"/>
      <c r="BE166" s="188"/>
      <c r="BF166" s="188"/>
      <c r="BG166" s="188"/>
      <c r="BH166" s="188"/>
      <c r="BI166" s="98"/>
      <c r="BK166" s="359">
        <f t="shared" si="254"/>
        <v>83.197405761333727</v>
      </c>
      <c r="BL166">
        <f t="shared" si="252"/>
        <v>1.9201097844505439</v>
      </c>
      <c r="BN166"/>
      <c r="BO166" s="358">
        <f t="shared" si="255"/>
        <v>0.375</v>
      </c>
      <c r="BP166">
        <f t="shared" si="253"/>
        <v>-0.42596873227228116</v>
      </c>
      <c r="BQ166" s="1"/>
      <c r="CD166" s="176"/>
      <c r="CF166" s="240"/>
      <c r="CG166"/>
      <c r="CH166" s="16"/>
      <c r="CI166" s="16"/>
      <c r="CJ166" s="1"/>
      <c r="EA166" s="187"/>
      <c r="EB166" s="16"/>
      <c r="EC166" s="16"/>
    </row>
    <row r="167" spans="1:133" x14ac:dyDescent="0.2">
      <c r="A167" s="8">
        <v>31</v>
      </c>
      <c r="B167" t="s">
        <v>143</v>
      </c>
      <c r="C167">
        <v>3</v>
      </c>
      <c r="D167" t="s">
        <v>17</v>
      </c>
      <c r="E167" t="s">
        <v>16</v>
      </c>
      <c r="F167" s="9">
        <v>11</v>
      </c>
      <c r="G167" s="26" t="s">
        <v>15</v>
      </c>
      <c r="H167" s="1">
        <v>18</v>
      </c>
      <c r="I167" s="11">
        <v>405</v>
      </c>
      <c r="J167" t="s">
        <v>19</v>
      </c>
      <c r="K167" s="6" t="s">
        <v>182</v>
      </c>
      <c r="L167" s="1"/>
      <c r="M167" s="6"/>
      <c r="N167" s="1">
        <v>131.4</v>
      </c>
      <c r="O167" s="18">
        <f>VLOOKUP(I167,[1]CompDbase!$B:$K,9,FALSE)</f>
        <v>1164.8441611748488</v>
      </c>
      <c r="P167" s="30">
        <v>2.61</v>
      </c>
      <c r="Q167" s="1"/>
      <c r="R167" s="1"/>
      <c r="S167" s="1"/>
      <c r="T167" s="1"/>
      <c r="U167" s="1"/>
      <c r="V167" s="1"/>
      <c r="W167" s="1"/>
      <c r="X167" s="118"/>
      <c r="Y167" s="1"/>
      <c r="Z167" s="1"/>
      <c r="AA167" s="1"/>
      <c r="AB167" s="1"/>
      <c r="AC167" s="1"/>
      <c r="AD167" s="1"/>
      <c r="AE167" s="96"/>
      <c r="AF167" s="98"/>
      <c r="AG167" s="298">
        <v>1.5266666666666675E-2</v>
      </c>
      <c r="AH167" s="154">
        <v>7.0000000000000007E-5</v>
      </c>
      <c r="AI167" s="16"/>
      <c r="AJ167" s="171"/>
      <c r="AK167" s="118"/>
      <c r="AL167" s="8"/>
      <c r="AM167" s="178"/>
      <c r="AP167"/>
      <c r="AQ167" s="16"/>
      <c r="AR167" s="16"/>
      <c r="AS167" s="16"/>
      <c r="BE167" s="188"/>
      <c r="BF167" s="188"/>
      <c r="BG167" s="188"/>
      <c r="BH167" s="188"/>
      <c r="BI167" s="98"/>
      <c r="BK167" s="359">
        <f t="shared" si="254"/>
        <v>62.436798785324619</v>
      </c>
      <c r="BL167">
        <f t="shared" si="252"/>
        <v>1.7954406281266266</v>
      </c>
      <c r="BN167"/>
      <c r="BO167" s="358">
        <f t="shared" si="255"/>
        <v>0.32500000000000001</v>
      </c>
      <c r="BP167">
        <f t="shared" si="253"/>
        <v>-0.48811663902112562</v>
      </c>
      <c r="BQ167" s="16"/>
      <c r="CD167" s="176"/>
      <c r="CG167"/>
      <c r="CJ167" s="16"/>
      <c r="EA167" s="187"/>
      <c r="EB167" s="16"/>
      <c r="EC167" s="16"/>
    </row>
    <row r="168" spans="1:133" x14ac:dyDescent="0.2">
      <c r="A168" s="8">
        <v>41</v>
      </c>
      <c r="B168" t="s">
        <v>143</v>
      </c>
      <c r="C168">
        <v>3</v>
      </c>
      <c r="D168" t="s">
        <v>17</v>
      </c>
      <c r="E168" t="s">
        <v>16</v>
      </c>
      <c r="F168" s="9">
        <v>17</v>
      </c>
      <c r="G168" s="26" t="s">
        <v>15</v>
      </c>
      <c r="H168" s="1">
        <v>18</v>
      </c>
      <c r="I168" s="11">
        <v>405</v>
      </c>
      <c r="J168" t="s">
        <v>19</v>
      </c>
      <c r="K168" s="6" t="s">
        <v>182</v>
      </c>
      <c r="L168" s="1"/>
      <c r="M168" s="6"/>
      <c r="N168" s="1">
        <v>131.4</v>
      </c>
      <c r="O168" s="18">
        <f>VLOOKUP(I168,[1]CompDbase!$B:$K,9,FALSE)</f>
        <v>1164.8441611748488</v>
      </c>
      <c r="P168" s="30">
        <v>2.61</v>
      </c>
      <c r="Q168" s="1"/>
      <c r="R168" s="1"/>
      <c r="S168" s="1"/>
      <c r="T168" s="1"/>
      <c r="U168" s="1"/>
      <c r="V168" s="1"/>
      <c r="W168" s="1"/>
      <c r="X168" s="118"/>
      <c r="Y168" s="1"/>
      <c r="Z168" s="1"/>
      <c r="AA168" s="1"/>
      <c r="AB168" s="1"/>
      <c r="AC168" s="1"/>
      <c r="AD168" s="1"/>
      <c r="AE168" s="96"/>
      <c r="AF168" s="98"/>
      <c r="AG168" s="298">
        <v>6.2666666666666652E-3</v>
      </c>
      <c r="AH168" s="154">
        <v>5.9999999999999995E-5</v>
      </c>
      <c r="AI168" s="16"/>
      <c r="AJ168" s="171"/>
      <c r="AK168" s="118"/>
      <c r="AL168" s="8"/>
      <c r="AM168" s="178"/>
      <c r="AP168"/>
      <c r="AS168" s="1"/>
      <c r="BE168" s="188"/>
      <c r="BF168" s="188"/>
      <c r="BG168" s="188"/>
      <c r="BH168" s="188"/>
      <c r="BI168" s="98"/>
      <c r="BK168" s="359">
        <f>BK78</f>
        <v>1636.2341283351946</v>
      </c>
      <c r="BL168">
        <f t="shared" si="252"/>
        <v>3.2138454468713409</v>
      </c>
      <c r="BN168"/>
      <c r="BO168" s="358">
        <f>BO78</f>
        <v>0.85833333333333328</v>
      </c>
      <c r="BP168">
        <f t="shared" si="253"/>
        <v>-6.6344021342452653E-2</v>
      </c>
      <c r="BQ168" s="1"/>
      <c r="CD168" s="176"/>
      <c r="CG168"/>
      <c r="CH168" s="16"/>
      <c r="CI168" s="16"/>
      <c r="CJ168" s="1"/>
      <c r="EA168" s="187"/>
      <c r="EB168" s="16"/>
      <c r="EC168" s="16"/>
    </row>
    <row r="169" spans="1:133" x14ac:dyDescent="0.2">
      <c r="A169" s="8">
        <v>29</v>
      </c>
      <c r="B169" t="s">
        <v>143</v>
      </c>
      <c r="C169">
        <v>3</v>
      </c>
      <c r="D169" t="s">
        <v>17</v>
      </c>
      <c r="E169" t="s">
        <v>20</v>
      </c>
      <c r="F169" s="9">
        <v>59</v>
      </c>
      <c r="G169" s="26" t="s">
        <v>15</v>
      </c>
      <c r="H169" s="1">
        <v>18</v>
      </c>
      <c r="I169" s="11">
        <v>405</v>
      </c>
      <c r="J169" t="s">
        <v>19</v>
      </c>
      <c r="K169" s="6" t="s">
        <v>182</v>
      </c>
      <c r="L169" s="1"/>
      <c r="M169" s="6"/>
      <c r="N169" s="1">
        <v>131.4</v>
      </c>
      <c r="O169" s="18">
        <f>VLOOKUP(I169,[1]CompDbase!$B:$K,9,FALSE)</f>
        <v>1164.8441611748488</v>
      </c>
      <c r="P169" s="30">
        <v>2.61</v>
      </c>
      <c r="Q169" s="1"/>
      <c r="R169" s="1"/>
      <c r="S169" s="1"/>
      <c r="T169" s="1"/>
      <c r="U169" s="1"/>
      <c r="V169" s="1"/>
      <c r="W169" s="1"/>
      <c r="X169" s="118"/>
      <c r="Y169" s="1"/>
      <c r="Z169" s="1"/>
      <c r="AA169" s="1"/>
      <c r="AB169" s="1"/>
      <c r="AC169" s="1"/>
      <c r="AD169" s="1"/>
      <c r="AE169" s="96"/>
      <c r="AF169" s="98"/>
      <c r="AG169" s="298">
        <v>3.7000000000000002E-3</v>
      </c>
      <c r="AH169" s="154">
        <v>5.0000000000000002E-5</v>
      </c>
      <c r="AI169" s="16"/>
      <c r="AJ169" s="171"/>
      <c r="AK169" s="118"/>
      <c r="AL169" s="8"/>
      <c r="AM169" s="178"/>
      <c r="AP169"/>
      <c r="AS169" s="1"/>
      <c r="BE169" s="188"/>
      <c r="BF169" s="188"/>
      <c r="BG169" s="188"/>
      <c r="BH169" s="188"/>
      <c r="BI169" s="98"/>
      <c r="BK169" s="359">
        <f>BK79</f>
        <v>25.765449013481081</v>
      </c>
      <c r="BL169">
        <f t="shared" si="252"/>
        <v>1.4110377152961411</v>
      </c>
      <c r="BN169"/>
      <c r="BO169" s="358">
        <f>BO79</f>
        <v>0.27500000000000002</v>
      </c>
      <c r="BP169">
        <f t="shared" si="253"/>
        <v>-0.56066730616973737</v>
      </c>
      <c r="BQ169" s="1"/>
      <c r="CD169" s="176"/>
      <c r="CG169"/>
      <c r="CJ169" s="1"/>
      <c r="EA169" s="187"/>
      <c r="EB169" s="16"/>
      <c r="EC169" s="16"/>
    </row>
    <row r="170" spans="1:133" x14ac:dyDescent="0.2">
      <c r="A170" s="8">
        <v>34</v>
      </c>
      <c r="B170" t="s">
        <v>143</v>
      </c>
      <c r="C170">
        <v>3</v>
      </c>
      <c r="D170" t="s">
        <v>17</v>
      </c>
      <c r="E170" t="s">
        <v>16</v>
      </c>
      <c r="F170" s="9">
        <v>14</v>
      </c>
      <c r="G170" s="26" t="s">
        <v>15</v>
      </c>
      <c r="H170" s="1">
        <v>18</v>
      </c>
      <c r="I170" s="11">
        <v>405</v>
      </c>
      <c r="J170" t="s">
        <v>19</v>
      </c>
      <c r="K170" s="6" t="s">
        <v>182</v>
      </c>
      <c r="L170" s="1"/>
      <c r="M170" s="6"/>
      <c r="N170" s="1">
        <v>131.4</v>
      </c>
      <c r="O170" s="18">
        <f>VLOOKUP(I170,[1]CompDbase!$B:$K,9,FALSE)</f>
        <v>1164.8441611748488</v>
      </c>
      <c r="P170" s="30">
        <v>2.61</v>
      </c>
      <c r="Q170" s="1"/>
      <c r="R170" s="1"/>
      <c r="S170" s="1"/>
      <c r="T170" s="1"/>
      <c r="U170" s="1"/>
      <c r="V170" s="1"/>
      <c r="W170" s="1"/>
      <c r="X170" s="118"/>
      <c r="Y170" s="1"/>
      <c r="Z170" s="1"/>
      <c r="AA170" s="1"/>
      <c r="AB170" s="1"/>
      <c r="AC170" s="1"/>
      <c r="AD170" s="1"/>
      <c r="AE170" s="96"/>
      <c r="AF170" s="98"/>
      <c r="AG170" s="298">
        <v>8.6000000000000085E-4</v>
      </c>
      <c r="AH170" s="154">
        <v>2.5000000000000001E-5</v>
      </c>
      <c r="AI170" s="16"/>
      <c r="AJ170" s="171"/>
      <c r="AK170" s="118"/>
      <c r="AL170" s="8"/>
      <c r="AM170" s="178"/>
      <c r="AP170"/>
      <c r="AS170" s="1"/>
      <c r="BE170" s="188"/>
      <c r="BF170" s="188"/>
      <c r="BG170" s="188"/>
      <c r="BH170" s="188"/>
      <c r="BI170" s="98"/>
      <c r="BK170" s="359">
        <f>BK81</f>
        <v>24.239865804406698</v>
      </c>
      <c r="BL170">
        <f t="shared" si="252"/>
        <v>1.3845302111804287</v>
      </c>
      <c r="BN170"/>
      <c r="BO170" s="358">
        <f>BO81</f>
        <v>0.25833333333333336</v>
      </c>
      <c r="BP170">
        <f t="shared" si="253"/>
        <v>-0.58781955221335214</v>
      </c>
      <c r="BQ170" s="1"/>
      <c r="CD170" s="176"/>
      <c r="CG170"/>
      <c r="CJ170" s="1"/>
      <c r="EA170" s="187"/>
      <c r="EB170" s="16"/>
      <c r="EC170" s="16"/>
    </row>
    <row r="171" spans="1:133" x14ac:dyDescent="0.2">
      <c r="A171" s="21" t="s">
        <v>18</v>
      </c>
      <c r="B171" t="s">
        <v>143</v>
      </c>
      <c r="C171">
        <v>3</v>
      </c>
      <c r="D171" t="s">
        <v>17</v>
      </c>
      <c r="E171" t="s">
        <v>16</v>
      </c>
      <c r="F171" s="9">
        <v>22</v>
      </c>
      <c r="G171" s="26" t="s">
        <v>15</v>
      </c>
      <c r="H171" s="1">
        <v>18</v>
      </c>
      <c r="I171" s="11">
        <v>405</v>
      </c>
      <c r="J171" t="s">
        <v>14</v>
      </c>
      <c r="K171" s="6" t="s">
        <v>182</v>
      </c>
      <c r="L171" s="1"/>
      <c r="M171" s="6"/>
      <c r="N171" s="1">
        <v>131.4</v>
      </c>
      <c r="O171" s="18">
        <f>VLOOKUP(I171,[1]CompDbase!$B:$K,9,FALSE)</f>
        <v>1164.8441611748488</v>
      </c>
      <c r="P171" s="30">
        <v>2.61</v>
      </c>
      <c r="Q171" s="1"/>
      <c r="R171" s="1"/>
      <c r="S171" s="1"/>
      <c r="T171" s="1"/>
      <c r="U171" s="1"/>
      <c r="V171" s="1"/>
      <c r="W171" s="1"/>
      <c r="X171" s="118"/>
      <c r="Y171" s="1"/>
      <c r="Z171" s="1"/>
      <c r="AA171" s="1"/>
      <c r="AB171" s="1"/>
      <c r="AC171" s="1"/>
      <c r="AD171" s="1"/>
      <c r="AE171" s="96"/>
      <c r="AF171" s="98"/>
      <c r="AG171" s="298">
        <v>3.3933333333333336E-4</v>
      </c>
      <c r="AH171" s="154">
        <v>0</v>
      </c>
      <c r="AI171" s="99">
        <v>5.0000000000000002E-5</v>
      </c>
      <c r="AJ171" s="171"/>
      <c r="AK171" s="118"/>
      <c r="AL171" s="8"/>
      <c r="AM171" s="177"/>
      <c r="AN171" s="240"/>
      <c r="AO171" s="240"/>
      <c r="AP171"/>
      <c r="AQ171" s="16"/>
      <c r="AR171" s="16"/>
      <c r="AS171" s="16"/>
      <c r="BE171" s="188"/>
      <c r="BF171" s="188"/>
      <c r="BG171" s="188"/>
      <c r="BH171" s="188"/>
      <c r="BI171" s="98"/>
      <c r="BK171" s="359">
        <f>BK82</f>
        <v>1495.1146811217764</v>
      </c>
      <c r="BL171">
        <f t="shared" si="252"/>
        <v>3.1746745060170931</v>
      </c>
      <c r="BN171"/>
      <c r="BO171" s="358">
        <f>BO82</f>
        <v>0.84166666666666667</v>
      </c>
      <c r="BP171">
        <f t="shared" si="253"/>
        <v>-7.4859872264982252E-2</v>
      </c>
      <c r="BQ171" s="16"/>
      <c r="CD171" s="176"/>
      <c r="CG171"/>
      <c r="CJ171" s="16"/>
      <c r="EA171" s="187"/>
      <c r="EB171" s="16"/>
      <c r="EC171" s="16"/>
    </row>
    <row r="172" spans="1:133" x14ac:dyDescent="0.2">
      <c r="A172" s="21" t="s">
        <v>18</v>
      </c>
      <c r="B172" t="s">
        <v>143</v>
      </c>
      <c r="C172">
        <v>3</v>
      </c>
      <c r="D172" t="s">
        <v>17</v>
      </c>
      <c r="E172" t="s">
        <v>16</v>
      </c>
      <c r="F172" s="9">
        <v>23</v>
      </c>
      <c r="G172" s="26" t="s">
        <v>15</v>
      </c>
      <c r="H172" s="1">
        <v>18</v>
      </c>
      <c r="I172" s="11">
        <v>405</v>
      </c>
      <c r="J172" t="s">
        <v>14</v>
      </c>
      <c r="K172" s="6" t="s">
        <v>182</v>
      </c>
      <c r="L172" s="1"/>
      <c r="M172" s="6"/>
      <c r="N172" s="1">
        <v>131.4</v>
      </c>
      <c r="O172" s="18">
        <f>VLOOKUP(I172,[1]CompDbase!$B:$K,9,FALSE)</f>
        <v>1164.8441611748488</v>
      </c>
      <c r="P172" s="30">
        <v>2.61</v>
      </c>
      <c r="Q172" s="1"/>
      <c r="R172" s="1"/>
      <c r="S172" s="1"/>
      <c r="T172" s="1"/>
      <c r="U172" s="1"/>
      <c r="V172" s="1"/>
      <c r="W172" s="1"/>
      <c r="X172" s="118"/>
      <c r="Y172" s="1"/>
      <c r="Z172" s="1"/>
      <c r="AA172" s="1"/>
      <c r="AB172" s="1"/>
      <c r="AC172" s="1"/>
      <c r="AD172" s="1"/>
      <c r="AE172" s="96"/>
      <c r="AF172" s="98"/>
      <c r="AG172" s="298">
        <v>2.6666666666666668E-4</v>
      </c>
      <c r="AH172" s="154">
        <v>0</v>
      </c>
      <c r="AI172" s="99">
        <v>5.0000000000000002E-5</v>
      </c>
      <c r="AJ172" s="171"/>
      <c r="AK172" s="118"/>
      <c r="AL172" s="8"/>
      <c r="AM172" s="177"/>
      <c r="AN172" s="240"/>
      <c r="AO172" s="240"/>
      <c r="AP172"/>
      <c r="AQ172" s="16"/>
      <c r="AR172" s="16"/>
      <c r="AS172" s="16"/>
      <c r="BE172" s="188"/>
      <c r="BF172" s="188"/>
      <c r="BG172" s="188"/>
      <c r="BH172" s="188"/>
      <c r="BI172" s="98"/>
      <c r="BK172" s="359">
        <f>BK83</f>
        <v>169.98630521133234</v>
      </c>
      <c r="BL172">
        <f t="shared" si="252"/>
        <v>2.2304139342563736</v>
      </c>
      <c r="BN172"/>
      <c r="BO172" s="358">
        <f>BO83</f>
        <v>0.47499999999999998</v>
      </c>
      <c r="BP172">
        <f t="shared" si="253"/>
        <v>-0.32330639037513342</v>
      </c>
      <c r="BQ172" s="16"/>
      <c r="CD172" s="176"/>
      <c r="CF172" s="240"/>
      <c r="CG172"/>
      <c r="CH172" s="16"/>
      <c r="CI172" s="16"/>
      <c r="CJ172" s="16"/>
      <c r="EA172" s="187"/>
      <c r="EB172" s="16"/>
      <c r="EC172" s="16"/>
    </row>
    <row r="173" spans="1:133" x14ac:dyDescent="0.2">
      <c r="A173" s="104" t="s">
        <v>13</v>
      </c>
      <c r="B173" s="105"/>
      <c r="C173" s="46"/>
      <c r="D173" s="46"/>
      <c r="E173" s="46"/>
      <c r="F173" s="51"/>
      <c r="G173" s="46"/>
      <c r="H173" s="52"/>
      <c r="I173" s="55"/>
      <c r="J173" s="46"/>
      <c r="K173" s="54"/>
      <c r="L173" s="46"/>
      <c r="M173" s="51"/>
      <c r="N173" s="52"/>
      <c r="O173" s="52"/>
      <c r="P173" s="46"/>
      <c r="Q173" s="46"/>
      <c r="R173" s="46"/>
      <c r="S173" s="46"/>
      <c r="T173" s="46"/>
      <c r="U173" s="46"/>
      <c r="V173" s="46"/>
      <c r="W173" s="46"/>
      <c r="X173" s="51"/>
      <c r="Y173" s="46"/>
      <c r="Z173" s="46"/>
      <c r="AA173" s="46"/>
      <c r="AB173" s="46"/>
      <c r="AC173" s="46"/>
      <c r="AD173" s="46"/>
      <c r="AE173" s="46"/>
      <c r="AF173" s="46"/>
      <c r="AG173" s="122"/>
      <c r="AH173" s="55"/>
      <c r="AI173" s="46"/>
      <c r="AJ173" s="170"/>
      <c r="AK173" s="54"/>
      <c r="AL173" s="8"/>
      <c r="AM173" s="46"/>
      <c r="AP173"/>
      <c r="AS173" s="1"/>
      <c r="BK173" s="359">
        <f>BK86</f>
        <v>8.9736601690319215</v>
      </c>
      <c r="BL173">
        <f t="shared" si="252"/>
        <v>0.95296961885108677</v>
      </c>
      <c r="BN173"/>
      <c r="BO173" s="358">
        <f>BO86</f>
        <v>0.22500000000000001</v>
      </c>
      <c r="BP173">
        <f t="shared" si="253"/>
        <v>-0.64781748188863753</v>
      </c>
      <c r="BQ173" s="1"/>
      <c r="CD173" s="176"/>
      <c r="CF173" s="240"/>
      <c r="CG173"/>
      <c r="CH173" s="16"/>
      <c r="CI173" s="16"/>
      <c r="CJ173" s="1"/>
    </row>
    <row r="174" spans="1:133" x14ac:dyDescent="0.2">
      <c r="A174" s="8">
        <v>1</v>
      </c>
      <c r="B174" t="s">
        <v>143</v>
      </c>
      <c r="C174">
        <v>1</v>
      </c>
      <c r="D174" s="23" t="s">
        <v>11</v>
      </c>
      <c r="E174" t="s">
        <v>10</v>
      </c>
      <c r="F174" s="6">
        <v>36</v>
      </c>
      <c r="G174" s="1"/>
      <c r="H174" s="99">
        <v>14</v>
      </c>
      <c r="I174" s="11">
        <v>403</v>
      </c>
      <c r="J174" s="13" t="s">
        <v>12</v>
      </c>
      <c r="K174" s="6" t="s">
        <v>153</v>
      </c>
      <c r="L174" s="1"/>
      <c r="M174" s="6"/>
      <c r="N174" s="1">
        <v>165.80749949115744</v>
      </c>
      <c r="O174" s="18">
        <f>VLOOKUP(I174,[1]CompDbase!$B:$K,9,FALSE)</f>
        <v>118.88250367033854</v>
      </c>
      <c r="P174" s="30">
        <v>3.4</v>
      </c>
      <c r="Q174" s="1"/>
      <c r="R174" s="1"/>
      <c r="S174" s="1"/>
      <c r="T174" s="1"/>
      <c r="U174" s="1"/>
      <c r="V174" s="1"/>
      <c r="W174" s="1"/>
      <c r="X174" s="118"/>
      <c r="Y174" s="1"/>
      <c r="Z174" s="1"/>
      <c r="AA174" s="1"/>
      <c r="AB174" s="1"/>
      <c r="AC174" s="1"/>
      <c r="AD174" s="1"/>
      <c r="AE174" s="96"/>
      <c r="AF174" s="98"/>
      <c r="AG174" s="22" t="s">
        <v>328</v>
      </c>
      <c r="AH174" s="21"/>
      <c r="AI174" s="16">
        <v>5.0000000000000002E-5</v>
      </c>
      <c r="AJ174" s="167"/>
      <c r="AK174" s="6"/>
      <c r="AL174" s="8"/>
      <c r="AP174"/>
      <c r="AS174" s="1"/>
      <c r="BE174" s="3"/>
      <c r="BF174" s="3"/>
      <c r="BG174" s="3"/>
      <c r="BH174" s="3"/>
      <c r="BK174" s="279">
        <f>BK88</f>
        <v>22.063811310090323</v>
      </c>
      <c r="BL174">
        <f t="shared" si="252"/>
        <v>1.3436805347574015</v>
      </c>
      <c r="BN174"/>
      <c r="BO174" s="358">
        <f>BO88</f>
        <v>0.24166666666666667</v>
      </c>
      <c r="BP174">
        <f t="shared" si="253"/>
        <v>-0.61678324814866869</v>
      </c>
      <c r="BQ174" s="1"/>
      <c r="CD174" s="176"/>
      <c r="CG174"/>
      <c r="CJ174" s="1"/>
      <c r="EB174" s="16"/>
      <c r="EC174" s="16"/>
    </row>
    <row r="175" spans="1:133" x14ac:dyDescent="0.2">
      <c r="A175" s="8">
        <v>2</v>
      </c>
      <c r="B175" t="s">
        <v>143</v>
      </c>
      <c r="C175">
        <v>1</v>
      </c>
      <c r="D175" s="23" t="s">
        <v>11</v>
      </c>
      <c r="E175" t="s">
        <v>10</v>
      </c>
      <c r="F175" s="6">
        <v>37</v>
      </c>
      <c r="G175" s="1"/>
      <c r="H175" s="99">
        <v>14</v>
      </c>
      <c r="I175" s="11">
        <v>403</v>
      </c>
      <c r="J175" t="s">
        <v>12</v>
      </c>
      <c r="K175" s="6" t="s">
        <v>153</v>
      </c>
      <c r="L175" s="1"/>
      <c r="M175" s="6"/>
      <c r="N175" s="1">
        <v>165.80749949115744</v>
      </c>
      <c r="O175" s="18">
        <f>VLOOKUP(I175,[1]CompDbase!$B:$K,9,FALSE)</f>
        <v>118.88250367033854</v>
      </c>
      <c r="P175" s="30">
        <v>3.4</v>
      </c>
      <c r="Q175" s="1"/>
      <c r="R175" s="1"/>
      <c r="S175" s="1"/>
      <c r="T175" s="1"/>
      <c r="U175" s="1"/>
      <c r="V175" s="1"/>
      <c r="W175" s="1"/>
      <c r="X175" s="118"/>
      <c r="Y175" s="1"/>
      <c r="Z175" s="1"/>
      <c r="AA175" s="1"/>
      <c r="AB175" s="1"/>
      <c r="AC175" s="1"/>
      <c r="AD175" s="1"/>
      <c r="AE175" s="96"/>
      <c r="AF175" s="98"/>
      <c r="AG175" s="22" t="s">
        <v>328</v>
      </c>
      <c r="AH175" s="21"/>
      <c r="AI175" s="16">
        <v>5.0000000000000002E-5</v>
      </c>
      <c r="AJ175" s="167"/>
      <c r="AK175" s="6"/>
      <c r="AL175" s="8"/>
      <c r="AP175"/>
      <c r="AS175" s="1"/>
      <c r="BE175" s="3"/>
      <c r="BF175" s="3"/>
      <c r="BG175" s="3"/>
      <c r="BH175" s="3"/>
      <c r="BK175" s="279">
        <f t="shared" ref="BK175:BK193" si="256">BK91</f>
        <v>3101.2347461357999</v>
      </c>
      <c r="BL175">
        <f t="shared" si="252"/>
        <v>3.4915346411463384</v>
      </c>
      <c r="BN175"/>
      <c r="BO175" s="358">
        <f t="shared" ref="BO175:BO193" si="257">BO91</f>
        <v>0.89166666666666672</v>
      </c>
      <c r="BP175">
        <f t="shared" si="253"/>
        <v>-4.9797468362415165E-2</v>
      </c>
      <c r="BQ175" s="1"/>
      <c r="CD175" s="176"/>
      <c r="CG175"/>
      <c r="CJ175" s="1"/>
      <c r="EB175" s="16"/>
      <c r="EC175" s="16"/>
    </row>
    <row r="176" spans="1:133" x14ac:dyDescent="0.2">
      <c r="A176" s="8">
        <v>10</v>
      </c>
      <c r="B176" t="s">
        <v>143</v>
      </c>
      <c r="C176">
        <v>1</v>
      </c>
      <c r="D176" s="23" t="s">
        <v>11</v>
      </c>
      <c r="E176" t="s">
        <v>10</v>
      </c>
      <c r="F176" s="6" t="s">
        <v>9</v>
      </c>
      <c r="G176" s="1"/>
      <c r="H176" s="99">
        <v>14</v>
      </c>
      <c r="I176" s="11">
        <v>403</v>
      </c>
      <c r="J176" t="s">
        <v>12</v>
      </c>
      <c r="K176" s="6" t="s">
        <v>153</v>
      </c>
      <c r="L176" s="1"/>
      <c r="M176" s="6"/>
      <c r="N176" s="1">
        <v>165.80749949115744</v>
      </c>
      <c r="O176" s="18">
        <f>VLOOKUP(I176,[1]CompDbase!$B:$K,9,FALSE)</f>
        <v>118.88250367033854</v>
      </c>
      <c r="P176" s="30">
        <v>3.4</v>
      </c>
      <c r="Q176" s="1"/>
      <c r="R176" s="1"/>
      <c r="S176" s="1"/>
      <c r="T176" s="1"/>
      <c r="U176" s="1"/>
      <c r="V176" s="1"/>
      <c r="W176" s="1"/>
      <c r="X176" s="118"/>
      <c r="Y176" s="1"/>
      <c r="Z176" s="1"/>
      <c r="AA176" s="1"/>
      <c r="AB176" s="1"/>
      <c r="AC176" s="1"/>
      <c r="AD176" s="1"/>
      <c r="AE176" s="96"/>
      <c r="AF176" s="98"/>
      <c r="AG176" s="22" t="s">
        <v>328</v>
      </c>
      <c r="AH176" s="21"/>
      <c r="AI176" s="16">
        <v>5.0000000000000002E-5</v>
      </c>
      <c r="AJ176" s="167"/>
      <c r="AK176" s="6"/>
      <c r="AL176" s="8"/>
      <c r="AP176"/>
      <c r="AS176" s="1"/>
      <c r="BE176" s="3"/>
      <c r="BF176" s="3"/>
      <c r="BG176" s="3"/>
      <c r="BH176" s="3"/>
      <c r="BK176" s="279">
        <f t="shared" si="256"/>
        <v>296.81147737710774</v>
      </c>
      <c r="BL176">
        <f t="shared" si="252"/>
        <v>2.4724806906271026</v>
      </c>
      <c r="BN176"/>
      <c r="BO176" s="358">
        <f t="shared" si="257"/>
        <v>0.55833333333333335</v>
      </c>
      <c r="BP176">
        <f t="shared" si="253"/>
        <v>-0.25310644334679838</v>
      </c>
      <c r="BQ176" s="1"/>
      <c r="CD176" s="176"/>
      <c r="CG176"/>
      <c r="CJ176" s="1"/>
      <c r="EB176" s="16"/>
      <c r="EC176" s="16"/>
    </row>
    <row r="177" spans="1:133" x14ac:dyDescent="0.2">
      <c r="A177" s="8">
        <v>11</v>
      </c>
      <c r="B177" t="s">
        <v>143</v>
      </c>
      <c r="C177">
        <v>1</v>
      </c>
      <c r="D177" s="23" t="s">
        <v>11</v>
      </c>
      <c r="E177" t="s">
        <v>10</v>
      </c>
      <c r="F177" s="6">
        <v>36</v>
      </c>
      <c r="G177" s="1"/>
      <c r="H177" s="99">
        <v>14</v>
      </c>
      <c r="I177" s="11">
        <v>410</v>
      </c>
      <c r="J177" t="s">
        <v>8</v>
      </c>
      <c r="K177" s="6" t="s">
        <v>181</v>
      </c>
      <c r="L177" s="1"/>
      <c r="M177" s="6"/>
      <c r="N177" s="1">
        <v>96.95</v>
      </c>
      <c r="O177" s="18">
        <f>VLOOKUP(I177,[1]CompDbase!$B:$K,9,FALSE)</f>
        <v>775.6</v>
      </c>
      <c r="P177" s="30">
        <v>1.906666666666667</v>
      </c>
      <c r="Q177" s="1"/>
      <c r="R177" s="1"/>
      <c r="S177" s="1"/>
      <c r="T177" s="1"/>
      <c r="U177" s="1"/>
      <c r="V177" s="1"/>
      <c r="W177" s="1"/>
      <c r="X177" s="118"/>
      <c r="Y177" s="1"/>
      <c r="Z177" s="1"/>
      <c r="AA177" s="1"/>
      <c r="AB177" s="1"/>
      <c r="AC177" s="1"/>
      <c r="AD177" s="1"/>
      <c r="AE177" s="96"/>
      <c r="AF177" s="98"/>
      <c r="AG177" s="22" t="s">
        <v>328</v>
      </c>
      <c r="AH177" s="21"/>
      <c r="AI177" s="16">
        <v>5.0000000000000002E-5</v>
      </c>
      <c r="AJ177" s="167"/>
      <c r="AK177" s="6"/>
      <c r="AL177" s="8"/>
      <c r="AP177"/>
      <c r="AS177" s="1"/>
      <c r="BE177" s="3"/>
      <c r="BF177" s="3"/>
      <c r="BG177" s="3"/>
      <c r="BH177" s="3"/>
      <c r="BK177" s="279">
        <f t="shared" si="256"/>
        <v>126.45739301118191</v>
      </c>
      <c r="BL177">
        <f t="shared" si="252"/>
        <v>2.101944224349503</v>
      </c>
      <c r="BN177"/>
      <c r="BO177" s="358">
        <f t="shared" si="257"/>
        <v>0.44166666666666665</v>
      </c>
      <c r="BP177">
        <f t="shared" si="253"/>
        <v>-0.35490537644683579</v>
      </c>
      <c r="BQ177" s="1"/>
      <c r="CD177" s="176"/>
      <c r="CG177"/>
      <c r="CJ177" s="1"/>
      <c r="EB177" s="16"/>
      <c r="EC177" s="16"/>
    </row>
    <row r="178" spans="1:133" x14ac:dyDescent="0.2">
      <c r="A178" s="8">
        <v>12</v>
      </c>
      <c r="B178" t="s">
        <v>143</v>
      </c>
      <c r="C178">
        <v>1</v>
      </c>
      <c r="D178" s="23" t="s">
        <v>11</v>
      </c>
      <c r="E178" t="s">
        <v>10</v>
      </c>
      <c r="F178" s="6">
        <v>37</v>
      </c>
      <c r="G178" s="1"/>
      <c r="H178" s="99">
        <v>14</v>
      </c>
      <c r="I178" s="11">
        <v>410</v>
      </c>
      <c r="J178" t="s">
        <v>8</v>
      </c>
      <c r="K178" s="6" t="s">
        <v>181</v>
      </c>
      <c r="L178" s="1"/>
      <c r="M178" s="6"/>
      <c r="N178" s="1">
        <v>96.95</v>
      </c>
      <c r="O178" s="18">
        <f>VLOOKUP(I178,[1]CompDbase!$B:$K,9,FALSE)</f>
        <v>775.6</v>
      </c>
      <c r="P178" s="30">
        <v>1.906666666666667</v>
      </c>
      <c r="Q178" s="1"/>
      <c r="R178" s="1"/>
      <c r="S178" s="1"/>
      <c r="T178" s="1"/>
      <c r="U178" s="1"/>
      <c r="V178" s="1"/>
      <c r="W178" s="1"/>
      <c r="X178" s="118"/>
      <c r="Y178" s="1"/>
      <c r="Z178" s="1"/>
      <c r="AA178" s="1"/>
      <c r="AB178" s="1"/>
      <c r="AC178" s="1"/>
      <c r="AD178" s="1"/>
      <c r="AE178" s="96"/>
      <c r="AF178" s="98"/>
      <c r="AG178" s="22" t="s">
        <v>328</v>
      </c>
      <c r="AH178" s="21"/>
      <c r="AI178" s="16">
        <v>5.0000000000000002E-5</v>
      </c>
      <c r="AJ178" s="167"/>
      <c r="AK178" s="6"/>
      <c r="AL178" s="8"/>
      <c r="AP178"/>
      <c r="AS178" s="1"/>
      <c r="BE178" s="3"/>
      <c r="BF178" s="3"/>
      <c r="BG178" s="3"/>
      <c r="BH178" s="3"/>
      <c r="BK178" s="279">
        <f t="shared" si="256"/>
        <v>29470.434514250112</v>
      </c>
      <c r="BL178">
        <f t="shared" si="252"/>
        <v>4.4693865391668561</v>
      </c>
      <c r="BN178"/>
      <c r="BO178" s="358">
        <f t="shared" si="257"/>
        <v>0.9916666666666667</v>
      </c>
      <c r="BP178">
        <f t="shared" si="253"/>
        <v>-3.6342846550940556E-3</v>
      </c>
      <c r="BQ178" s="1"/>
      <c r="CD178" s="176"/>
      <c r="CG178"/>
      <c r="CJ178" s="1"/>
      <c r="EB178" s="16"/>
      <c r="EC178" s="16"/>
    </row>
    <row r="179" spans="1:133" x14ac:dyDescent="0.2">
      <c r="A179" s="8">
        <v>20</v>
      </c>
      <c r="B179" t="s">
        <v>143</v>
      </c>
      <c r="C179">
        <v>1</v>
      </c>
      <c r="D179" s="23" t="s">
        <v>11</v>
      </c>
      <c r="E179" t="s">
        <v>10</v>
      </c>
      <c r="F179" s="6" t="s">
        <v>9</v>
      </c>
      <c r="G179" s="1"/>
      <c r="H179" s="99">
        <v>14</v>
      </c>
      <c r="I179" s="11">
        <v>410</v>
      </c>
      <c r="J179" s="13" t="s">
        <v>8</v>
      </c>
      <c r="K179" s="6" t="s">
        <v>181</v>
      </c>
      <c r="L179" s="1"/>
      <c r="M179" s="6"/>
      <c r="N179" s="1">
        <v>96.95</v>
      </c>
      <c r="O179" s="18">
        <f>VLOOKUP(I179,[1]CompDbase!$B:$K,9,FALSE)</f>
        <v>775.6</v>
      </c>
      <c r="P179" s="30">
        <v>1.906666666666667</v>
      </c>
      <c r="Q179" s="1"/>
      <c r="R179" s="1"/>
      <c r="S179" s="1"/>
      <c r="T179" s="1"/>
      <c r="U179" s="1"/>
      <c r="V179" s="1"/>
      <c r="W179" s="1"/>
      <c r="X179" s="118"/>
      <c r="Y179" s="1"/>
      <c r="Z179" s="1"/>
      <c r="AA179" s="1"/>
      <c r="AB179" s="1"/>
      <c r="AC179" s="1"/>
      <c r="AD179" s="1"/>
      <c r="AE179" s="96"/>
      <c r="AF179" s="98"/>
      <c r="AG179" s="22" t="s">
        <v>328</v>
      </c>
      <c r="AH179" s="21"/>
      <c r="AI179" s="16">
        <v>5.0000000000000002E-5</v>
      </c>
      <c r="AJ179" s="167"/>
      <c r="AK179" s="6"/>
      <c r="AL179" s="8"/>
      <c r="AP179"/>
      <c r="AS179" s="1"/>
      <c r="BE179" s="3"/>
      <c r="BF179" s="3"/>
      <c r="BG179" s="3"/>
      <c r="BH179" s="3"/>
      <c r="BK179" s="279">
        <f t="shared" si="256"/>
        <v>19002.426061737111</v>
      </c>
      <c r="BL179">
        <f t="shared" si="252"/>
        <v>4.2788090513719625</v>
      </c>
      <c r="BN179"/>
      <c r="BO179" s="358">
        <f t="shared" si="257"/>
        <v>0.97499999999999998</v>
      </c>
      <c r="BP179">
        <f t="shared" si="253"/>
        <v>-1.0995384301463193E-2</v>
      </c>
      <c r="BQ179" s="1"/>
      <c r="CD179" s="176"/>
      <c r="CG179"/>
      <c r="CJ179" s="1"/>
      <c r="EB179" s="16"/>
      <c r="EC179" s="16"/>
    </row>
    <row r="180" spans="1:133" x14ac:dyDescent="0.2">
      <c r="A180" s="8">
        <v>66</v>
      </c>
      <c r="B180" t="s">
        <v>143</v>
      </c>
      <c r="C180">
        <v>6</v>
      </c>
      <c r="D180" t="s">
        <v>6</v>
      </c>
      <c r="E180" t="s">
        <v>5</v>
      </c>
      <c r="F180" s="9">
        <v>2</v>
      </c>
      <c r="H180" s="99">
        <v>14</v>
      </c>
      <c r="I180" s="11">
        <v>-400</v>
      </c>
      <c r="J180" s="13" t="s">
        <v>4</v>
      </c>
      <c r="K180" s="6"/>
      <c r="L180" s="1"/>
      <c r="M180" s="6"/>
      <c r="N180" s="1">
        <v>64.515000000000001</v>
      </c>
      <c r="O180" s="18">
        <f>VLOOKUP(I180,[1]CompDbase!$B:$K,9,FALSE)</f>
        <v>6710</v>
      </c>
      <c r="P180" s="30">
        <v>1.4849999999999999</v>
      </c>
      <c r="Q180" s="1"/>
      <c r="R180" s="1"/>
      <c r="S180" s="1"/>
      <c r="T180" s="1"/>
      <c r="U180" s="1"/>
      <c r="V180" s="1"/>
      <c r="W180" s="1"/>
      <c r="X180" s="118"/>
      <c r="Y180" s="1"/>
      <c r="Z180" s="1"/>
      <c r="AA180" s="1"/>
      <c r="AB180" s="1"/>
      <c r="AC180" s="1"/>
      <c r="AD180" s="1"/>
      <c r="AE180" s="96"/>
      <c r="AF180" s="98"/>
      <c r="AG180" s="22" t="s">
        <v>328</v>
      </c>
      <c r="AH180" s="299">
        <v>4.2999999999999999E-4</v>
      </c>
      <c r="AI180" s="99">
        <v>5.0000000000000002E-5</v>
      </c>
      <c r="AJ180" s="171"/>
      <c r="AK180" s="6"/>
      <c r="AL180" s="8"/>
      <c r="AM180" s="178"/>
      <c r="AN180" s="241"/>
      <c r="AO180" s="241"/>
      <c r="AP180"/>
      <c r="AQ180" s="16"/>
      <c r="AR180" s="16"/>
      <c r="AS180" s="16"/>
      <c r="AT180" s="13"/>
      <c r="BE180" s="188"/>
      <c r="BF180" s="188"/>
      <c r="BG180" s="188"/>
      <c r="BH180" s="188"/>
      <c r="BK180" s="279">
        <f t="shared" si="256"/>
        <v>10581.370297161582</v>
      </c>
      <c r="BL180">
        <f t="shared" si="252"/>
        <v>4.024541912875006</v>
      </c>
      <c r="BN180"/>
      <c r="BO180" s="358">
        <f t="shared" si="257"/>
        <v>0.94166666666666665</v>
      </c>
      <c r="BP180">
        <f t="shared" si="253"/>
        <v>-2.6102802564205111E-2</v>
      </c>
      <c r="BQ180" s="16"/>
      <c r="BR180" s="13"/>
      <c r="CD180" s="176"/>
      <c r="CG180"/>
      <c r="CJ180" s="16"/>
      <c r="CK180" s="13"/>
      <c r="CL180" s="13"/>
      <c r="EB180" s="16"/>
      <c r="EC180" s="16"/>
    </row>
    <row r="181" spans="1:133" x14ac:dyDescent="0.2">
      <c r="A181" s="104" t="s">
        <v>3</v>
      </c>
      <c r="B181" s="105"/>
      <c r="C181" s="46"/>
      <c r="D181" s="46"/>
      <c r="E181" s="46"/>
      <c r="F181" s="51"/>
      <c r="G181" s="46"/>
      <c r="H181" s="52"/>
      <c r="I181" s="55"/>
      <c r="J181" s="46"/>
      <c r="K181" s="54"/>
      <c r="L181" s="46"/>
      <c r="M181" s="51"/>
      <c r="N181" s="52"/>
      <c r="O181" s="52"/>
      <c r="P181" s="46"/>
      <c r="Q181" s="46"/>
      <c r="R181" s="46"/>
      <c r="S181" s="46"/>
      <c r="T181" s="46"/>
      <c r="U181" s="46"/>
      <c r="V181" s="46"/>
      <c r="W181" s="46"/>
      <c r="X181" s="51"/>
      <c r="Y181" s="46"/>
      <c r="Z181" s="46"/>
      <c r="AA181" s="46"/>
      <c r="AB181" s="46"/>
      <c r="AC181" s="46"/>
      <c r="AD181" s="46"/>
      <c r="AE181" s="46"/>
      <c r="AF181" s="46"/>
      <c r="AG181" s="122"/>
      <c r="AH181" s="55"/>
      <c r="AI181" s="46"/>
      <c r="AJ181" s="170"/>
      <c r="AK181" s="54"/>
      <c r="AL181" s="8"/>
      <c r="AP181"/>
      <c r="AS181" s="1"/>
      <c r="BK181" s="359">
        <f t="shared" si="256"/>
        <v>3130.2552673481377</v>
      </c>
      <c r="BL181">
        <f t="shared" si="252"/>
        <v>3.4955797550161947</v>
      </c>
      <c r="BN181"/>
      <c r="BO181" s="358">
        <f t="shared" si="257"/>
        <v>0.90833333333333333</v>
      </c>
      <c r="BP181">
        <f t="shared" si="253"/>
        <v>-4.1754748107001194E-2</v>
      </c>
      <c r="BQ181" s="1"/>
      <c r="CD181" s="176"/>
      <c r="CF181" s="241"/>
      <c r="CG181"/>
      <c r="CH181" s="16"/>
      <c r="CI181" s="16"/>
      <c r="CJ181" s="1"/>
    </row>
    <row r="182" spans="1:133" x14ac:dyDescent="0.2">
      <c r="A182" s="8">
        <v>21</v>
      </c>
      <c r="B182" t="s">
        <v>143</v>
      </c>
      <c r="C182">
        <v>2</v>
      </c>
      <c r="D182" t="s">
        <v>2</v>
      </c>
      <c r="E182" t="s">
        <v>1</v>
      </c>
      <c r="F182" s="6">
        <v>59</v>
      </c>
      <c r="G182" s="1"/>
      <c r="H182" s="1">
        <v>18</v>
      </c>
      <c r="I182" s="100">
        <v>-1200</v>
      </c>
      <c r="J182" s="13" t="s">
        <v>0</v>
      </c>
      <c r="K182" s="6">
        <v>0</v>
      </c>
      <c r="L182" s="1"/>
      <c r="M182" s="6"/>
      <c r="N182" s="1">
        <v>150</v>
      </c>
      <c r="O182" s="29"/>
      <c r="P182" s="1">
        <v>0</v>
      </c>
      <c r="Q182" s="1"/>
      <c r="R182" s="1"/>
      <c r="S182" s="1"/>
      <c r="T182" s="1"/>
      <c r="U182" s="1"/>
      <c r="V182" s="1"/>
      <c r="W182" s="1"/>
      <c r="X182" s="118"/>
      <c r="Y182" s="1"/>
      <c r="Z182" s="1"/>
      <c r="AA182" s="1"/>
      <c r="AB182" s="1"/>
      <c r="AC182" s="1"/>
      <c r="AD182" s="1"/>
      <c r="AE182" s="96"/>
      <c r="AF182" s="98"/>
      <c r="AG182" s="22">
        <v>0.753</v>
      </c>
      <c r="AH182" s="300">
        <v>0.28299999999999997</v>
      </c>
      <c r="AI182" s="16"/>
      <c r="AJ182" s="171"/>
      <c r="AK182" s="118"/>
      <c r="AL182" s="8"/>
      <c r="AP182"/>
      <c r="AS182" s="1"/>
      <c r="BE182" s="188"/>
      <c r="BF182" s="188"/>
      <c r="BG182" s="188"/>
      <c r="BH182" s="188"/>
      <c r="BI182" s="98"/>
      <c r="BK182" s="279">
        <f t="shared" si="256"/>
        <v>1430.3535286455151</v>
      </c>
      <c r="BL182">
        <f t="shared" si="252"/>
        <v>3.1554433917058478</v>
      </c>
      <c r="BN182"/>
      <c r="BO182" s="358">
        <f t="shared" si="257"/>
        <v>0.82499999999999996</v>
      </c>
      <c r="BP182">
        <f t="shared" si="253"/>
        <v>-8.3546051450074932E-2</v>
      </c>
      <c r="BQ182" s="1"/>
      <c r="CD182" s="176"/>
      <c r="CG182"/>
      <c r="CJ182" s="1"/>
      <c r="EB182" s="16"/>
      <c r="EC182" s="16"/>
    </row>
    <row r="183" spans="1:133" x14ac:dyDescent="0.2">
      <c r="A183" s="104" t="s">
        <v>142</v>
      </c>
      <c r="B183" s="46"/>
      <c r="C183" s="46"/>
      <c r="D183" s="46"/>
      <c r="E183" s="46"/>
      <c r="F183" s="54"/>
      <c r="G183" s="52"/>
      <c r="H183" s="52"/>
      <c r="I183" s="48"/>
      <c r="J183" s="47"/>
      <c r="K183" s="54"/>
      <c r="L183" s="52"/>
      <c r="M183" s="54"/>
      <c r="N183" s="52"/>
      <c r="O183" s="108"/>
      <c r="P183" s="52"/>
      <c r="Q183" s="52"/>
      <c r="R183" s="52"/>
      <c r="S183" s="52"/>
      <c r="T183" s="52"/>
      <c r="U183" s="52"/>
      <c r="V183" s="52"/>
      <c r="W183" s="52"/>
      <c r="X183" s="45"/>
      <c r="Y183" s="52"/>
      <c r="Z183" s="52"/>
      <c r="AA183" s="52"/>
      <c r="AB183" s="52"/>
      <c r="AC183" s="52"/>
      <c r="AD183" s="52"/>
      <c r="AE183" s="52"/>
      <c r="AF183" s="49"/>
      <c r="AG183" s="122"/>
      <c r="AH183" s="109"/>
      <c r="AI183" s="49"/>
      <c r="AJ183" s="172"/>
      <c r="AK183" s="54"/>
      <c r="AL183" s="8"/>
      <c r="AP183"/>
      <c r="AS183" s="1"/>
      <c r="BE183" s="3"/>
      <c r="BF183" s="3"/>
      <c r="BG183" s="3"/>
      <c r="BH183" s="3"/>
      <c r="BK183" s="279">
        <f t="shared" si="256"/>
        <v>427.3808848594411</v>
      </c>
      <c r="BL183">
        <f t="shared" si="252"/>
        <v>2.6308150939026587</v>
      </c>
      <c r="BN183"/>
      <c r="BO183" s="358">
        <f t="shared" si="257"/>
        <v>0.625</v>
      </c>
      <c r="BP183">
        <f t="shared" si="253"/>
        <v>-0.20411998265592479</v>
      </c>
      <c r="BQ183" s="1"/>
      <c r="CD183" s="176"/>
      <c r="CG183"/>
      <c r="CJ183" s="1"/>
      <c r="EB183" s="16"/>
      <c r="EC183" s="16"/>
    </row>
    <row r="184" spans="1:133" x14ac:dyDescent="0.2">
      <c r="A184" s="8">
        <v>85</v>
      </c>
      <c r="B184" t="s">
        <v>143</v>
      </c>
      <c r="C184">
        <v>8</v>
      </c>
      <c r="D184" s="16" t="s">
        <v>28</v>
      </c>
      <c r="E184" t="s">
        <v>27</v>
      </c>
      <c r="F184" s="14" t="s">
        <v>26</v>
      </c>
      <c r="G184" s="26" t="s">
        <v>25</v>
      </c>
      <c r="H184" s="16">
        <v>18</v>
      </c>
      <c r="I184" s="17">
        <v>-1201</v>
      </c>
      <c r="J184" t="s">
        <v>37</v>
      </c>
      <c r="K184" s="6"/>
      <c r="L184" s="1"/>
      <c r="M184" s="6"/>
      <c r="N184" s="1">
        <v>132</v>
      </c>
      <c r="O184" s="29"/>
      <c r="P184" s="30">
        <v>5</v>
      </c>
      <c r="Q184" s="30"/>
      <c r="R184" s="30"/>
      <c r="S184" s="30"/>
      <c r="T184" s="30"/>
      <c r="U184" s="30"/>
      <c r="V184" s="30"/>
      <c r="W184" s="30"/>
      <c r="X184" s="118"/>
      <c r="Y184" s="30"/>
      <c r="Z184" s="30"/>
      <c r="AA184" s="30"/>
      <c r="AB184" s="30"/>
      <c r="AC184" s="30"/>
      <c r="AD184" s="30"/>
      <c r="AE184" s="96"/>
      <c r="AF184" s="98"/>
      <c r="AG184" s="22">
        <v>0.21</v>
      </c>
      <c r="AH184" s="21"/>
      <c r="AI184" s="99">
        <v>2.5000000000000001E-2</v>
      </c>
      <c r="AJ184" s="171"/>
      <c r="AK184" s="118"/>
      <c r="AL184" s="8"/>
      <c r="AM184" s="177"/>
      <c r="AN184" s="242"/>
      <c r="AO184" s="242"/>
      <c r="AP184"/>
      <c r="AQ184" s="16"/>
      <c r="AR184" s="16"/>
      <c r="AS184" s="16"/>
      <c r="AZ184" s="83"/>
      <c r="BA184" s="83"/>
      <c r="BB184" s="83"/>
      <c r="BC184" s="83"/>
      <c r="BD184" s="83"/>
      <c r="BE184" s="188"/>
      <c r="BF184" s="188"/>
      <c r="BG184" s="188"/>
      <c r="BH184" s="188"/>
      <c r="BI184" s="98"/>
      <c r="BK184" s="279">
        <f t="shared" si="256"/>
        <v>217.97515507562136</v>
      </c>
      <c r="BL184">
        <f t="shared" si="252"/>
        <v>2.3384069953089015</v>
      </c>
      <c r="BN184"/>
      <c r="BO184" s="358">
        <f t="shared" si="257"/>
        <v>0.54166666666666663</v>
      </c>
      <c r="BP184">
        <f t="shared" si="253"/>
        <v>-0.26626788940476931</v>
      </c>
      <c r="BQ184" s="16"/>
      <c r="CD184" s="176"/>
      <c r="CG184"/>
      <c r="CJ184" s="16"/>
      <c r="EB184" s="16"/>
      <c r="EC184" s="16"/>
    </row>
    <row r="185" spans="1:133" x14ac:dyDescent="0.2">
      <c r="A185" s="8">
        <v>86</v>
      </c>
      <c r="B185" t="s">
        <v>143</v>
      </c>
      <c r="C185">
        <v>8</v>
      </c>
      <c r="D185" s="16" t="s">
        <v>28</v>
      </c>
      <c r="E185" t="s">
        <v>27</v>
      </c>
      <c r="F185" s="14" t="s">
        <v>26</v>
      </c>
      <c r="G185" s="26" t="s">
        <v>25</v>
      </c>
      <c r="H185" s="16">
        <v>18</v>
      </c>
      <c r="I185" s="17">
        <v>-1202</v>
      </c>
      <c r="J185" t="s">
        <v>36</v>
      </c>
      <c r="K185" s="6"/>
      <c r="L185" s="1"/>
      <c r="M185" s="6"/>
      <c r="N185" s="1">
        <v>168</v>
      </c>
      <c r="O185" s="29"/>
      <c r="P185" s="1">
        <v>6.7299999999999995</v>
      </c>
      <c r="Q185" s="1"/>
      <c r="R185" s="1"/>
      <c r="S185" s="1"/>
      <c r="T185" s="1"/>
      <c r="U185" s="1"/>
      <c r="V185" s="1"/>
      <c r="W185" s="1"/>
      <c r="X185" s="118"/>
      <c r="Y185" s="1"/>
      <c r="Z185" s="1"/>
      <c r="AA185" s="1"/>
      <c r="AB185" s="1"/>
      <c r="AC185" s="1"/>
      <c r="AD185" s="1"/>
      <c r="AE185" s="96"/>
      <c r="AF185" s="98"/>
      <c r="AG185" s="22">
        <v>0.15</v>
      </c>
      <c r="AH185" s="21"/>
      <c r="AI185" s="99">
        <v>2.5000000000000001E-2</v>
      </c>
      <c r="AJ185" s="171"/>
      <c r="AK185" s="118"/>
      <c r="AL185" s="8"/>
      <c r="AM185" s="177"/>
      <c r="AN185" s="242"/>
      <c r="AO185" s="242"/>
      <c r="AP185"/>
      <c r="AQ185" s="16"/>
      <c r="AR185" s="16"/>
      <c r="AS185" s="16"/>
      <c r="AZ185" s="83"/>
      <c r="BA185" s="83"/>
      <c r="BB185" s="83"/>
      <c r="BC185" s="83"/>
      <c r="BD185" s="83"/>
      <c r="BE185" s="188"/>
      <c r="BF185" s="188"/>
      <c r="BG185" s="188"/>
      <c r="BH185" s="188"/>
      <c r="BI185" s="98"/>
      <c r="BK185" s="359">
        <f t="shared" si="256"/>
        <v>206.42460221688694</v>
      </c>
      <c r="BL185">
        <f t="shared" si="252"/>
        <v>2.3147614563771786</v>
      </c>
      <c r="BN185"/>
      <c r="BO185" s="358">
        <f t="shared" si="257"/>
        <v>0.5083333333333333</v>
      </c>
      <c r="BP185">
        <f t="shared" si="253"/>
        <v>-0.2938514110368578</v>
      </c>
      <c r="BQ185" s="16"/>
      <c r="CD185" s="176"/>
      <c r="CF185" s="242"/>
      <c r="CG185"/>
      <c r="CH185" s="16"/>
      <c r="CI185" s="16"/>
      <c r="CJ185" s="16"/>
      <c r="EB185" s="16"/>
      <c r="EC185" s="16"/>
    </row>
    <row r="186" spans="1:133" x14ac:dyDescent="0.2">
      <c r="A186" s="105" t="s">
        <v>118</v>
      </c>
      <c r="B186" s="46"/>
      <c r="C186" s="46"/>
      <c r="D186" s="46"/>
      <c r="E186" s="46"/>
      <c r="F186" s="46"/>
      <c r="G186" s="46"/>
      <c r="H186" s="52"/>
      <c r="I186" s="46"/>
      <c r="J186" s="46"/>
      <c r="K186" s="54"/>
      <c r="L186" s="46"/>
      <c r="M186" s="51"/>
      <c r="N186" s="52"/>
      <c r="O186" s="52"/>
      <c r="P186" s="46"/>
      <c r="Q186" s="46"/>
      <c r="R186" s="46"/>
      <c r="S186" s="46"/>
      <c r="T186" s="46"/>
      <c r="U186" s="46"/>
      <c r="V186" s="46"/>
      <c r="W186" s="46"/>
      <c r="X186" s="51"/>
      <c r="Y186" s="46"/>
      <c r="Z186" s="46"/>
      <c r="AA186" s="46"/>
      <c r="AB186" s="46"/>
      <c r="AC186" s="46"/>
      <c r="AD186" s="46"/>
      <c r="AE186" s="46"/>
      <c r="AF186" s="46"/>
      <c r="AG186" s="122"/>
      <c r="AH186" s="46"/>
      <c r="AI186" s="46"/>
      <c r="AJ186" s="170"/>
      <c r="AK186" s="54"/>
      <c r="AL186" s="8"/>
      <c r="BK186" s="359">
        <f t="shared" si="256"/>
        <v>106.30195336079628</v>
      </c>
      <c r="BL186">
        <f t="shared" si="252"/>
        <v>2.0265412450126723</v>
      </c>
      <c r="BN186"/>
      <c r="BO186" s="358">
        <f t="shared" si="257"/>
        <v>0.42499999999999999</v>
      </c>
      <c r="BP186">
        <f t="shared" si="253"/>
        <v>-0.37161106994968846</v>
      </c>
      <c r="CD186" s="176"/>
      <c r="CF186" s="242"/>
      <c r="CG186"/>
      <c r="CH186" s="16"/>
      <c r="CI186" s="16"/>
    </row>
    <row r="187" spans="1:133" x14ac:dyDescent="0.2">
      <c r="B187" t="s">
        <v>149</v>
      </c>
      <c r="D187" t="s">
        <v>117</v>
      </c>
      <c r="F187" s="9"/>
      <c r="I187" s="8"/>
      <c r="K187" s="9"/>
      <c r="M187" s="9"/>
      <c r="N187"/>
      <c r="O187"/>
      <c r="X187" s="9"/>
      <c r="AG187" s="22" t="s">
        <v>116</v>
      </c>
      <c r="AH187" s="120" t="s">
        <v>331</v>
      </c>
      <c r="AJ187" s="8"/>
      <c r="AK187" s="9"/>
      <c r="AL187" s="8"/>
      <c r="AP187" s="16"/>
      <c r="AQ187" s="16"/>
      <c r="AR187" s="16"/>
      <c r="BE187"/>
      <c r="BF187"/>
      <c r="BG187"/>
      <c r="BH187"/>
      <c r="BI187"/>
      <c r="BK187" s="279">
        <f t="shared" si="256"/>
        <v>95.981953269789543</v>
      </c>
      <c r="BL187">
        <f t="shared" si="252"/>
        <v>1.9821895837466386</v>
      </c>
      <c r="BO187" s="358">
        <f t="shared" si="257"/>
        <v>0.40833333333333333</v>
      </c>
      <c r="BP187">
        <f t="shared" si="253"/>
        <v>-0.38898516601911115</v>
      </c>
      <c r="CD187" s="176"/>
    </row>
    <row r="188" spans="1:133" x14ac:dyDescent="0.2">
      <c r="A188" s="8"/>
      <c r="B188" t="s">
        <v>149</v>
      </c>
      <c r="D188" t="s">
        <v>114</v>
      </c>
      <c r="F188" s="9"/>
      <c r="I188" s="8"/>
      <c r="K188" s="9"/>
      <c r="M188" s="9"/>
      <c r="N188"/>
      <c r="O188"/>
      <c r="X188" s="9"/>
      <c r="AG188" s="22" t="s">
        <v>329</v>
      </c>
      <c r="AH188" s="90" t="s">
        <v>109</v>
      </c>
      <c r="AJ188" s="8"/>
      <c r="AK188" s="9"/>
      <c r="AL188" s="8"/>
      <c r="AP188" s="16"/>
      <c r="AQ188" s="16"/>
      <c r="AR188" s="16"/>
      <c r="BE188"/>
      <c r="BF188"/>
      <c r="BG188"/>
      <c r="BH188"/>
      <c r="BI188"/>
      <c r="BK188" s="279">
        <f t="shared" si="256"/>
        <v>84.523519861897469</v>
      </c>
      <c r="BL188">
        <f t="shared" si="252"/>
        <v>1.9269775743335333</v>
      </c>
      <c r="BN188" s="16"/>
      <c r="BO188" s="358">
        <f t="shared" si="257"/>
        <v>0.39166666666666666</v>
      </c>
      <c r="BP188">
        <f t="shared" si="253"/>
        <v>-0.40708338811190736</v>
      </c>
      <c r="CD188" s="176"/>
      <c r="CG188" s="16"/>
      <c r="CH188" s="16"/>
      <c r="CI188" s="16"/>
    </row>
    <row r="189" spans="1:133" x14ac:dyDescent="0.2">
      <c r="A189" s="8"/>
      <c r="B189" t="s">
        <v>149</v>
      </c>
      <c r="D189" t="s">
        <v>112</v>
      </c>
      <c r="F189" s="9"/>
      <c r="I189" s="8"/>
      <c r="K189" s="9"/>
      <c r="M189" s="9"/>
      <c r="N189"/>
      <c r="O189"/>
      <c r="X189" s="9"/>
      <c r="AG189" s="22" t="s">
        <v>330</v>
      </c>
      <c r="AH189" s="90" t="s">
        <v>109</v>
      </c>
      <c r="AJ189" s="8"/>
      <c r="AK189" s="9"/>
      <c r="AL189" s="8"/>
      <c r="AP189" s="16"/>
      <c r="AQ189" s="16"/>
      <c r="AR189" s="16"/>
      <c r="BE189"/>
      <c r="BF189"/>
      <c r="BG189"/>
      <c r="BH189"/>
      <c r="BI189"/>
      <c r="BK189" s="279">
        <f t="shared" si="256"/>
        <v>79.942572117301509</v>
      </c>
      <c r="BL189">
        <f t="shared" si="252"/>
        <v>1.9027781173839342</v>
      </c>
      <c r="BN189" s="16"/>
      <c r="BO189" s="358">
        <f t="shared" si="257"/>
        <v>0.35833333333333334</v>
      </c>
      <c r="BP189">
        <f t="shared" si="253"/>
        <v>-0.4457127904680383</v>
      </c>
      <c r="CD189" s="176"/>
      <c r="CG189" s="16"/>
      <c r="CH189" s="16"/>
      <c r="CI189" s="16"/>
    </row>
    <row r="190" spans="1:133" x14ac:dyDescent="0.2">
      <c r="BK190" s="279">
        <f t="shared" si="256"/>
        <v>45.629608173205099</v>
      </c>
      <c r="BL190">
        <f t="shared" si="252"/>
        <v>1.6592467394510411</v>
      </c>
      <c r="BN190" s="16"/>
      <c r="BO190" s="358">
        <f t="shared" si="257"/>
        <v>0.29166666666666669</v>
      </c>
      <c r="BP190">
        <f t="shared" si="253"/>
        <v>-0.53511320169734922</v>
      </c>
      <c r="CD190" s="176"/>
      <c r="CG190" s="16"/>
      <c r="CH190" s="16"/>
      <c r="CI190" s="16"/>
    </row>
    <row r="191" spans="1:133" x14ac:dyDescent="0.2">
      <c r="BK191" s="279">
        <f t="shared" si="256"/>
        <v>551.75125731362323</v>
      </c>
      <c r="BL191">
        <f t="shared" si="252"/>
        <v>2.7417433314915929</v>
      </c>
      <c r="BO191" s="358">
        <f t="shared" si="257"/>
        <v>0.64166666666666672</v>
      </c>
      <c r="BP191">
        <f t="shared" si="253"/>
        <v>-0.19269052087514293</v>
      </c>
      <c r="CD191" s="176"/>
    </row>
    <row r="192" spans="1:133" x14ac:dyDescent="0.2">
      <c r="BK192" s="279">
        <f t="shared" si="256"/>
        <v>154.89083006114487</v>
      </c>
      <c r="BL192">
        <f t="shared" si="252"/>
        <v>2.1900257071605771</v>
      </c>
      <c r="BO192" s="358">
        <f t="shared" si="257"/>
        <v>0.45833333333333331</v>
      </c>
      <c r="BP192">
        <f t="shared" si="253"/>
        <v>-0.338818556553381</v>
      </c>
      <c r="CD192" s="176"/>
    </row>
    <row r="193" spans="63:82" x14ac:dyDescent="0.2">
      <c r="BK193" s="279">
        <f t="shared" si="256"/>
        <v>190.05029403782405</v>
      </c>
      <c r="BL193">
        <f t="shared" si="252"/>
        <v>2.2788685458618043</v>
      </c>
      <c r="BO193" s="358">
        <f t="shared" si="257"/>
        <v>0.49166666666666664</v>
      </c>
      <c r="BP193">
        <f t="shared" si="253"/>
        <v>-0.30832923440548066</v>
      </c>
      <c r="CD193" s="176"/>
    </row>
    <row r="194" spans="63:82" x14ac:dyDescent="0.2">
      <c r="BK194" s="279">
        <f t="shared" ref="BK194:BK200" si="258">BK111</f>
        <v>16149.035148441206</v>
      </c>
      <c r="BL194">
        <f t="shared" si="252"/>
        <v>4.2081465797800996</v>
      </c>
      <c r="BO194" s="358">
        <f t="shared" ref="BO194:BO200" si="259">BO111</f>
        <v>0.95833333333333337</v>
      </c>
      <c r="BP194">
        <f t="shared" si="253"/>
        <v>-1.8483405694013126E-2</v>
      </c>
      <c r="CD194" s="176"/>
    </row>
    <row r="195" spans="63:82" x14ac:dyDescent="0.2">
      <c r="BK195" s="279">
        <f t="shared" si="258"/>
        <v>6719.8513948595237</v>
      </c>
      <c r="BL195">
        <f t="shared" si="252"/>
        <v>3.8273596690201797</v>
      </c>
      <c r="BO195" s="358">
        <f t="shared" si="259"/>
        <v>0.92500000000000004</v>
      </c>
      <c r="BP195">
        <f t="shared" si="253"/>
        <v>-3.385826726096737E-2</v>
      </c>
      <c r="CD195" s="176"/>
    </row>
    <row r="196" spans="63:82" x14ac:dyDescent="0.2">
      <c r="BK196" s="279">
        <f t="shared" si="258"/>
        <v>2461.8333695508459</v>
      </c>
      <c r="BL196">
        <f t="shared" si="252"/>
        <v>3.3912586541462244</v>
      </c>
      <c r="BO196" s="358">
        <f t="shared" si="259"/>
        <v>0.875</v>
      </c>
      <c r="BP196">
        <f t="shared" si="253"/>
        <v>-5.7991946977686754E-2</v>
      </c>
      <c r="CD196" s="176"/>
    </row>
    <row r="197" spans="63:82" x14ac:dyDescent="0.2">
      <c r="BK197" s="279">
        <f t="shared" si="258"/>
        <v>1056.1166889954436</v>
      </c>
      <c r="BL197">
        <f t="shared" si="252"/>
        <v>3.0237119054961616</v>
      </c>
      <c r="BO197" s="358">
        <f t="shared" si="259"/>
        <v>0.7583333333333333</v>
      </c>
      <c r="BP197">
        <f t="shared" si="253"/>
        <v>-0.12013985372653124</v>
      </c>
      <c r="CD197" s="176"/>
    </row>
    <row r="198" spans="63:82" x14ac:dyDescent="0.2">
      <c r="BK198" s="279">
        <f t="shared" si="258"/>
        <v>902.5364122345394</v>
      </c>
      <c r="BL198">
        <f t="shared" si="252"/>
        <v>2.9554647322547423</v>
      </c>
      <c r="BO198" s="358">
        <f t="shared" si="259"/>
        <v>0.7416666666666667</v>
      </c>
      <c r="BP198">
        <f t="shared" si="253"/>
        <v>-0.12979123940271203</v>
      </c>
      <c r="CD198" s="176"/>
    </row>
    <row r="199" spans="63:82" x14ac:dyDescent="0.2">
      <c r="BK199" s="279">
        <f t="shared" si="258"/>
        <v>871.84153953376801</v>
      </c>
      <c r="BL199">
        <f t="shared" si="252"/>
        <v>2.9404375574558284</v>
      </c>
      <c r="BO199" s="358">
        <f t="shared" si="259"/>
        <v>0.72499999999999998</v>
      </c>
      <c r="BP199">
        <f t="shared" si="253"/>
        <v>-0.13966199342900631</v>
      </c>
      <c r="CD199" s="176"/>
    </row>
    <row r="200" spans="63:82" x14ac:dyDescent="0.2">
      <c r="BK200" s="279">
        <f t="shared" si="258"/>
        <v>335.8227031550465</v>
      </c>
      <c r="BL200">
        <f t="shared" si="252"/>
        <v>2.5261100530934693</v>
      </c>
      <c r="BO200" s="358">
        <f t="shared" si="259"/>
        <v>0.57499999999999996</v>
      </c>
      <c r="BP200">
        <f t="shared" si="253"/>
        <v>-0.24033215531036956</v>
      </c>
      <c r="CD200" s="176"/>
    </row>
    <row r="201" spans="63:82" x14ac:dyDescent="0.2">
      <c r="CD201" s="176"/>
    </row>
    <row r="202" spans="63:82" x14ac:dyDescent="0.2">
      <c r="CD202" s="176"/>
    </row>
    <row r="203" spans="63:82" x14ac:dyDescent="0.2">
      <c r="CD203" s="176"/>
    </row>
    <row r="204" spans="63:82" x14ac:dyDescent="0.2">
      <c r="CD204" s="176"/>
    </row>
    <row r="205" spans="63:82" x14ac:dyDescent="0.2">
      <c r="CD205" s="176"/>
    </row>
    <row r="206" spans="63:82" x14ac:dyDescent="0.2">
      <c r="CD206" s="176"/>
    </row>
    <row r="207" spans="63:82" x14ac:dyDescent="0.2">
      <c r="CD207" s="176"/>
    </row>
    <row r="208" spans="63:82" x14ac:dyDescent="0.2">
      <c r="CD208" s="176"/>
    </row>
    <row r="209" spans="82:82" x14ac:dyDescent="0.2">
      <c r="CD209" s="176"/>
    </row>
    <row r="210" spans="82:82" x14ac:dyDescent="0.2">
      <c r="CD210" s="176"/>
    </row>
    <row r="211" spans="82:82" x14ac:dyDescent="0.2">
      <c r="CD211" s="176"/>
    </row>
    <row r="212" spans="82:82" x14ac:dyDescent="0.2">
      <c r="CD212" s="176"/>
    </row>
    <row r="213" spans="82:82" x14ac:dyDescent="0.2">
      <c r="CD213" s="176"/>
    </row>
    <row r="214" spans="82:82" x14ac:dyDescent="0.2">
      <c r="CD214" s="176"/>
    </row>
    <row r="215" spans="82:82" x14ac:dyDescent="0.2">
      <c r="CD215" s="176"/>
    </row>
    <row r="216" spans="82:82" x14ac:dyDescent="0.2">
      <c r="CD216" s="176"/>
    </row>
    <row r="217" spans="82:82" x14ac:dyDescent="0.2">
      <c r="CD217" s="176"/>
    </row>
    <row r="218" spans="82:82" x14ac:dyDescent="0.2">
      <c r="CD218" s="176"/>
    </row>
    <row r="219" spans="82:82" x14ac:dyDescent="0.2">
      <c r="CD219" s="176"/>
    </row>
    <row r="220" spans="82:82" x14ac:dyDescent="0.2">
      <c r="CD220" s="176"/>
    </row>
    <row r="221" spans="82:82" x14ac:dyDescent="0.2">
      <c r="CD221" s="176"/>
    </row>
    <row r="222" spans="82:82" x14ac:dyDescent="0.2">
      <c r="CD222" s="176"/>
    </row>
    <row r="223" spans="82:82" x14ac:dyDescent="0.2">
      <c r="CD223" s="176"/>
    </row>
    <row r="224" spans="82:82" x14ac:dyDescent="0.2">
      <c r="CD224" s="176"/>
    </row>
    <row r="225" spans="82:82" x14ac:dyDescent="0.2">
      <c r="CD225" s="176"/>
    </row>
    <row r="226" spans="82:82" x14ac:dyDescent="0.2">
      <c r="CD226" s="176"/>
    </row>
    <row r="227" spans="82:82" x14ac:dyDescent="0.2">
      <c r="CD227" s="176"/>
    </row>
    <row r="228" spans="82:82" x14ac:dyDescent="0.2">
      <c r="CD228" s="176"/>
    </row>
    <row r="229" spans="82:82" x14ac:dyDescent="0.2">
      <c r="CD229" s="176"/>
    </row>
    <row r="230" spans="82:82" x14ac:dyDescent="0.2">
      <c r="CD230" s="176"/>
    </row>
    <row r="231" spans="82:82" x14ac:dyDescent="0.2">
      <c r="CD231" s="176"/>
    </row>
    <row r="232" spans="82:82" x14ac:dyDescent="0.2">
      <c r="CD232" s="176"/>
    </row>
    <row r="233" spans="82:82" x14ac:dyDescent="0.2">
      <c r="CD233" s="176"/>
    </row>
    <row r="234" spans="82:82" x14ac:dyDescent="0.2">
      <c r="CD234" s="176"/>
    </row>
    <row r="235" spans="82:82" x14ac:dyDescent="0.2">
      <c r="CD235" s="176"/>
    </row>
    <row r="236" spans="82:82" x14ac:dyDescent="0.2">
      <c r="CD236" s="176"/>
    </row>
    <row r="237" spans="82:82" x14ac:dyDescent="0.2">
      <c r="CD237" s="176"/>
    </row>
    <row r="238" spans="82:82" x14ac:dyDescent="0.2">
      <c r="CD238" s="176"/>
    </row>
    <row r="239" spans="82:82" x14ac:dyDescent="0.2">
      <c r="CD239" s="176"/>
    </row>
    <row r="240" spans="82:82" x14ac:dyDescent="0.2">
      <c r="CD240" s="176"/>
    </row>
    <row r="241" spans="82:82" x14ac:dyDescent="0.2">
      <c r="CD241" s="176"/>
    </row>
    <row r="242" spans="82:82" x14ac:dyDescent="0.2">
      <c r="CD242" s="176"/>
    </row>
    <row r="243" spans="82:82" x14ac:dyDescent="0.2">
      <c r="CD243" s="176"/>
    </row>
    <row r="244" spans="82:82" x14ac:dyDescent="0.2">
      <c r="CD244" s="176"/>
    </row>
    <row r="245" spans="82:82" x14ac:dyDescent="0.2">
      <c r="CD245" s="176"/>
    </row>
    <row r="246" spans="82:82" x14ac:dyDescent="0.2">
      <c r="CD246" s="176"/>
    </row>
    <row r="247" spans="82:82" x14ac:dyDescent="0.2">
      <c r="CD247" s="176"/>
    </row>
    <row r="248" spans="82:82" x14ac:dyDescent="0.2">
      <c r="CD248" s="176"/>
    </row>
    <row r="249" spans="82:82" x14ac:dyDescent="0.2">
      <c r="CD249" s="176"/>
    </row>
    <row r="250" spans="82:82" x14ac:dyDescent="0.2">
      <c r="CD250" s="176"/>
    </row>
    <row r="251" spans="82:82" x14ac:dyDescent="0.2">
      <c r="CD251" s="176"/>
    </row>
    <row r="252" spans="82:82" x14ac:dyDescent="0.2">
      <c r="CD252" s="176"/>
    </row>
    <row r="253" spans="82:82" x14ac:dyDescent="0.2">
      <c r="CD253" s="176"/>
    </row>
    <row r="254" spans="82:82" x14ac:dyDescent="0.2">
      <c r="CD254" s="176"/>
    </row>
    <row r="255" spans="82:82" x14ac:dyDescent="0.2">
      <c r="CD255" s="176"/>
    </row>
    <row r="256" spans="82:82" x14ac:dyDescent="0.2">
      <c r="CD256" s="176"/>
    </row>
    <row r="257" spans="82:82" x14ac:dyDescent="0.2">
      <c r="CD257" s="176"/>
    </row>
    <row r="258" spans="82:82" x14ac:dyDescent="0.2">
      <c r="CD258" s="176"/>
    </row>
    <row r="259" spans="82:82" x14ac:dyDescent="0.2">
      <c r="CD259" s="176"/>
    </row>
    <row r="260" spans="82:82" x14ac:dyDescent="0.2">
      <c r="CD260" s="176"/>
    </row>
    <row r="261" spans="82:82" x14ac:dyDescent="0.2">
      <c r="CD261" s="176"/>
    </row>
    <row r="262" spans="82:82" x14ac:dyDescent="0.2">
      <c r="CD262" s="176"/>
    </row>
    <row r="263" spans="82:82" x14ac:dyDescent="0.2">
      <c r="CD263" s="176"/>
    </row>
    <row r="264" spans="82:82" x14ac:dyDescent="0.2">
      <c r="CD264" s="176"/>
    </row>
    <row r="265" spans="82:82" x14ac:dyDescent="0.2">
      <c r="CD265" s="176"/>
    </row>
    <row r="266" spans="82:82" x14ac:dyDescent="0.2">
      <c r="CD266" s="176"/>
    </row>
    <row r="267" spans="82:82" x14ac:dyDescent="0.2">
      <c r="CD267" s="176"/>
    </row>
    <row r="268" spans="82:82" x14ac:dyDescent="0.2">
      <c r="CD268" s="176"/>
    </row>
    <row r="269" spans="82:82" x14ac:dyDescent="0.2">
      <c r="CD269" s="176"/>
    </row>
    <row r="270" spans="82:82" x14ac:dyDescent="0.2">
      <c r="CD270" s="176"/>
    </row>
    <row r="271" spans="82:82" x14ac:dyDescent="0.2">
      <c r="CD271" s="176"/>
    </row>
    <row r="272" spans="82:82" x14ac:dyDescent="0.2">
      <c r="CD272" s="176"/>
    </row>
    <row r="273" spans="82:82" x14ac:dyDescent="0.2">
      <c r="CD273" s="176"/>
    </row>
    <row r="274" spans="82:82" x14ac:dyDescent="0.2">
      <c r="CD274" s="176"/>
    </row>
    <row r="275" spans="82:82" x14ac:dyDescent="0.2">
      <c r="CD275" s="176"/>
    </row>
    <row r="276" spans="82:82" x14ac:dyDescent="0.2">
      <c r="CD276" s="176"/>
    </row>
    <row r="277" spans="82:82" x14ac:dyDescent="0.2">
      <c r="CD277" s="176"/>
    </row>
    <row r="278" spans="82:82" x14ac:dyDescent="0.2">
      <c r="CD278" s="176"/>
    </row>
    <row r="279" spans="82:82" x14ac:dyDescent="0.2">
      <c r="CD279" s="176"/>
    </row>
    <row r="280" spans="82:82" x14ac:dyDescent="0.2">
      <c r="CD280" s="176"/>
    </row>
    <row r="281" spans="82:82" x14ac:dyDescent="0.2">
      <c r="CD281" s="176"/>
    </row>
    <row r="282" spans="82:82" x14ac:dyDescent="0.2">
      <c r="CD282" s="176"/>
    </row>
    <row r="283" spans="82:82" x14ac:dyDescent="0.2">
      <c r="CD283" s="176"/>
    </row>
    <row r="284" spans="82:82" x14ac:dyDescent="0.2">
      <c r="CD284" s="176"/>
    </row>
    <row r="285" spans="82:82" x14ac:dyDescent="0.2">
      <c r="CD285" s="176"/>
    </row>
    <row r="286" spans="82:82" x14ac:dyDescent="0.2">
      <c r="CD286" s="176"/>
    </row>
    <row r="287" spans="82:82" x14ac:dyDescent="0.2">
      <c r="CD287" s="176"/>
    </row>
    <row r="288" spans="82:82" x14ac:dyDescent="0.2">
      <c r="CD288" s="176"/>
    </row>
    <row r="289" spans="82:82" x14ac:dyDescent="0.2">
      <c r="CD289" s="176"/>
    </row>
    <row r="290" spans="82:82" x14ac:dyDescent="0.2">
      <c r="CD290" s="176"/>
    </row>
    <row r="291" spans="82:82" x14ac:dyDescent="0.2">
      <c r="CD291" s="176"/>
    </row>
    <row r="292" spans="82:82" x14ac:dyDescent="0.2">
      <c r="CD292" s="176"/>
    </row>
    <row r="293" spans="82:82" x14ac:dyDescent="0.2">
      <c r="CD293" s="176"/>
    </row>
    <row r="294" spans="82:82" x14ac:dyDescent="0.2">
      <c r="CD294" s="176"/>
    </row>
    <row r="295" spans="82:82" x14ac:dyDescent="0.2">
      <c r="CD295" s="176"/>
    </row>
    <row r="296" spans="82:82" x14ac:dyDescent="0.2">
      <c r="CD296" s="176"/>
    </row>
    <row r="297" spans="82:82" x14ac:dyDescent="0.2">
      <c r="CD297" s="176"/>
    </row>
    <row r="298" spans="82:82" x14ac:dyDescent="0.2">
      <c r="CD298" s="176"/>
    </row>
    <row r="299" spans="82:82" x14ac:dyDescent="0.2">
      <c r="CD299" s="176"/>
    </row>
    <row r="300" spans="82:82" x14ac:dyDescent="0.2">
      <c r="CD300" s="176"/>
    </row>
    <row r="301" spans="82:82" x14ac:dyDescent="0.2">
      <c r="CD301" s="176"/>
    </row>
    <row r="302" spans="82:82" x14ac:dyDescent="0.2">
      <c r="CD302" s="176"/>
    </row>
    <row r="303" spans="82:82" x14ac:dyDescent="0.2">
      <c r="CD303" s="176"/>
    </row>
    <row r="304" spans="82:82" x14ac:dyDescent="0.2">
      <c r="CD304" s="176"/>
    </row>
    <row r="305" spans="82:82" x14ac:dyDescent="0.2">
      <c r="CD305" s="176"/>
    </row>
    <row r="306" spans="82:82" x14ac:dyDescent="0.2">
      <c r="CD306" s="176"/>
    </row>
    <row r="307" spans="82:82" x14ac:dyDescent="0.2">
      <c r="CD307" s="176"/>
    </row>
    <row r="308" spans="82:82" x14ac:dyDescent="0.2">
      <c r="CD308" s="176"/>
    </row>
    <row r="309" spans="82:82" x14ac:dyDescent="0.2">
      <c r="CD309" s="176"/>
    </row>
    <row r="310" spans="82:82" x14ac:dyDescent="0.2">
      <c r="CD310" s="176"/>
    </row>
    <row r="311" spans="82:82" x14ac:dyDescent="0.2">
      <c r="CD311" s="176"/>
    </row>
    <row r="312" spans="82:82" x14ac:dyDescent="0.2">
      <c r="CD312" s="176"/>
    </row>
  </sheetData>
  <sortState xmlns:xlrd2="http://schemas.microsoft.com/office/spreadsheetml/2017/richdata2" ref="BX162:CC210">
    <sortCondition ref="BZ161:BZ209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zoomScale="85" zoomScaleNormal="85" workbookViewId="0">
      <selection activeCell="K78" sqref="A1:K78"/>
    </sheetView>
  </sheetViews>
  <sheetFormatPr defaultRowHeight="12.75" x14ac:dyDescent="0.2"/>
  <cols>
    <col min="1" max="1" width="19" customWidth="1"/>
    <col min="2" max="2" width="22.28515625" customWidth="1"/>
    <col min="3" max="3" width="12.42578125" customWidth="1"/>
    <col min="4" max="4" width="11.140625" style="1" customWidth="1"/>
    <col min="5" max="5" width="10.42578125" customWidth="1"/>
    <col min="8" max="8" width="4" customWidth="1"/>
    <col min="9" max="9" width="11.140625" customWidth="1"/>
    <col min="10" max="10" width="10" customWidth="1"/>
    <col min="11" max="11" width="10.7109375" customWidth="1"/>
  </cols>
  <sheetData>
    <row r="1" spans="1:11" x14ac:dyDescent="0.2">
      <c r="A1" s="223" t="s">
        <v>84</v>
      </c>
      <c r="B1" s="224" t="s">
        <v>82</v>
      </c>
      <c r="C1" s="311" t="s">
        <v>74</v>
      </c>
      <c r="D1" s="316" t="s">
        <v>73</v>
      </c>
      <c r="E1" s="304" t="s">
        <v>332</v>
      </c>
      <c r="F1" s="305"/>
      <c r="G1" s="305"/>
      <c r="H1" s="305"/>
      <c r="I1" s="306"/>
      <c r="J1" s="317" t="s">
        <v>337</v>
      </c>
      <c r="K1" s="318"/>
    </row>
    <row r="2" spans="1:11" x14ac:dyDescent="0.2">
      <c r="A2" s="225"/>
      <c r="B2" s="226"/>
      <c r="C2" s="313" t="s">
        <v>338</v>
      </c>
      <c r="D2" s="313" t="s">
        <v>340</v>
      </c>
      <c r="E2" s="307" t="s">
        <v>333</v>
      </c>
      <c r="F2" s="308" t="s">
        <v>334</v>
      </c>
      <c r="G2" s="308"/>
      <c r="H2" s="226"/>
      <c r="I2" s="225" t="s">
        <v>335</v>
      </c>
      <c r="J2" s="312" t="s">
        <v>334</v>
      </c>
      <c r="K2" s="313" t="s">
        <v>345</v>
      </c>
    </row>
    <row r="3" spans="1:11" x14ac:dyDescent="0.2">
      <c r="A3" s="225"/>
      <c r="B3" s="226"/>
      <c r="C3" s="313" t="s">
        <v>339</v>
      </c>
      <c r="D3" s="313"/>
      <c r="E3" s="307"/>
      <c r="F3" s="308"/>
      <c r="G3" s="308"/>
      <c r="H3" s="226"/>
      <c r="I3" s="225" t="s">
        <v>336</v>
      </c>
      <c r="J3" s="312"/>
      <c r="K3" s="313" t="s">
        <v>263</v>
      </c>
    </row>
    <row r="4" spans="1:11" x14ac:dyDescent="0.2">
      <c r="A4" s="225"/>
      <c r="B4" s="226"/>
      <c r="C4" s="227"/>
      <c r="D4" s="313" t="s">
        <v>341</v>
      </c>
      <c r="E4" s="307" t="s">
        <v>57</v>
      </c>
      <c r="F4" s="308" t="s">
        <v>261</v>
      </c>
      <c r="G4" s="308" t="s">
        <v>262</v>
      </c>
      <c r="H4" s="226"/>
      <c r="I4" s="225" t="s">
        <v>208</v>
      </c>
      <c r="J4" s="312" t="s">
        <v>261</v>
      </c>
      <c r="K4" s="313" t="s">
        <v>349</v>
      </c>
    </row>
    <row r="5" spans="1:11" x14ac:dyDescent="0.2">
      <c r="A5" s="228"/>
      <c r="B5" s="229"/>
      <c r="C5" s="230"/>
      <c r="D5" s="315" t="s">
        <v>342</v>
      </c>
      <c r="E5" s="309" t="s">
        <v>46</v>
      </c>
      <c r="F5" s="310" t="s">
        <v>46</v>
      </c>
      <c r="G5" s="310" t="s">
        <v>46</v>
      </c>
      <c r="H5" s="229"/>
      <c r="I5" s="314" t="s">
        <v>260</v>
      </c>
      <c r="J5" s="314" t="s">
        <v>46</v>
      </c>
      <c r="K5" s="315" t="s">
        <v>260</v>
      </c>
    </row>
    <row r="6" spans="1:11" x14ac:dyDescent="0.2">
      <c r="A6" s="319"/>
      <c r="B6" s="319"/>
      <c r="C6" s="319"/>
      <c r="D6" s="320"/>
      <c r="E6" s="319"/>
      <c r="F6" s="321"/>
      <c r="G6" s="253"/>
      <c r="H6" s="254"/>
      <c r="I6" s="322"/>
      <c r="J6" s="321"/>
      <c r="K6" s="254"/>
    </row>
    <row r="7" spans="1:11" x14ac:dyDescent="0.2">
      <c r="A7" s="323" t="str">
        <f>'Regressie &amp; praktijk'!D51</f>
        <v>Oss</v>
      </c>
      <c r="B7" s="319" t="str">
        <f>'Regressie &amp; praktijk'!J51</f>
        <v>cis-1,2-Dichlooretheen</v>
      </c>
      <c r="C7" s="319" t="str">
        <f>'Regressie &amp; praktijk'!G51</f>
        <v>aug 2010</v>
      </c>
      <c r="D7" s="320">
        <f>'Regressie &amp; praktijk'!H51</f>
        <v>14</v>
      </c>
      <c r="E7" s="324">
        <f>'Regressie &amp; praktijk'!AG51*1000</f>
        <v>302</v>
      </c>
      <c r="F7" s="325">
        <f>'Regressie &amp; praktijk'!AH51*1000</f>
        <v>0.87857142857142856</v>
      </c>
      <c r="G7" s="232"/>
      <c r="H7" s="326" t="s">
        <v>346</v>
      </c>
      <c r="I7" s="328">
        <f>'Regressie &amp; praktijk'!CD51</f>
        <v>343.73983739837399</v>
      </c>
      <c r="J7" s="325">
        <f>'Regressie &amp; praktijk'!BE51*1000</f>
        <v>4.1032425763587659</v>
      </c>
      <c r="K7" s="327">
        <f>'Regressie &amp; praktijk'!BK51</f>
        <v>4.6703574039855882</v>
      </c>
    </row>
    <row r="8" spans="1:11" x14ac:dyDescent="0.2">
      <c r="A8" s="323" t="str">
        <f>'Regressie &amp; praktijk'!D52</f>
        <v>Oss</v>
      </c>
      <c r="B8" s="319" t="str">
        <f>'Regressie &amp; praktijk'!J52</f>
        <v>Tetrachlooretheen</v>
      </c>
      <c r="C8" s="319" t="str">
        <f>'Regressie &amp; praktijk'!G52</f>
        <v>aug 2010</v>
      </c>
      <c r="D8" s="320">
        <f>'Regressie &amp; praktijk'!H52</f>
        <v>14</v>
      </c>
      <c r="E8" s="324">
        <f>'Regressie &amp; praktijk'!AG52*1000</f>
        <v>132</v>
      </c>
      <c r="F8" s="325">
        <f>'Regressie &amp; praktijk'!AH52*1000</f>
        <v>0.2442857142857143</v>
      </c>
      <c r="G8" s="232"/>
      <c r="H8" s="326" t="s">
        <v>346</v>
      </c>
      <c r="I8" s="328">
        <f>'Regressie &amp; praktijk'!CD52</f>
        <v>540.35087719298247</v>
      </c>
      <c r="J8" s="325">
        <f>'Regressie &amp; praktijk'!BE52*1000</f>
        <v>1.749688828627298</v>
      </c>
      <c r="K8" s="327">
        <f>'Regressie &amp; praktijk'!BK52</f>
        <v>7.1624688891175934</v>
      </c>
    </row>
    <row r="9" spans="1:11" x14ac:dyDescent="0.2">
      <c r="A9" s="323" t="str">
        <f>'Regressie &amp; praktijk'!D53</f>
        <v>Den Bosch</v>
      </c>
      <c r="B9" s="319" t="str">
        <f>'Regressie &amp; praktijk'!J53</f>
        <v xml:space="preserve">tetrachlooretheen </v>
      </c>
      <c r="C9" s="319" t="str">
        <f>'Regressie &amp; praktijk'!G53</f>
        <v>feb 2014</v>
      </c>
      <c r="D9" s="320">
        <f>'Regressie &amp; praktijk'!H53</f>
        <v>10</v>
      </c>
      <c r="E9" s="324">
        <f>'Regressie &amp; praktijk'!AG53*1000</f>
        <v>570.00000000000011</v>
      </c>
      <c r="F9" s="325">
        <f>'Regressie &amp; praktijk'!AH53*1000</f>
        <v>1.5</v>
      </c>
      <c r="G9" s="232"/>
      <c r="H9" s="326"/>
      <c r="I9" s="328">
        <f>'Regressie &amp; praktijk'!CD53</f>
        <v>380.00000000000006</v>
      </c>
      <c r="J9" s="325">
        <f>'Regressie &amp; praktijk'!BE53*1000</f>
        <v>6.1064780835482191</v>
      </c>
      <c r="K9" s="327">
        <f>'Regressie &amp; praktijk'!BK53</f>
        <v>4.0709853890321455</v>
      </c>
    </row>
    <row r="10" spans="1:11" x14ac:dyDescent="0.2">
      <c r="A10" s="323" t="str">
        <f>'Regressie &amp; praktijk'!D54</f>
        <v>s-Hertogenbosch</v>
      </c>
      <c r="B10" s="319" t="str">
        <f>'Regressie &amp; praktijk'!J54</f>
        <v>Tetrachlooretheen (per)</v>
      </c>
      <c r="C10" s="319" t="str">
        <f>'Regressie &amp; praktijk'!G54</f>
        <v>feb 2007</v>
      </c>
      <c r="D10" s="320">
        <f>'Regressie &amp; praktijk'!H54</f>
        <v>10</v>
      </c>
      <c r="E10" s="324">
        <f>'Regressie &amp; praktijk'!AG54*1000</f>
        <v>7144.6285714285714</v>
      </c>
      <c r="F10" s="325">
        <f>'Regressie &amp; praktijk'!AH54*1000</f>
        <v>1.07</v>
      </c>
      <c r="G10" s="232"/>
      <c r="H10" s="326"/>
      <c r="I10" s="328">
        <f>'Regressie &amp; praktijk'!CD54</f>
        <v>6677.2229639519355</v>
      </c>
      <c r="J10" s="325">
        <f>'Regressie &amp; praktijk'!BE54*1000</f>
        <v>81.811706416759733</v>
      </c>
      <c r="K10" s="327">
        <f>'Regressie &amp; praktijk'!BK54</f>
        <v>76.459538707252094</v>
      </c>
    </row>
    <row r="11" spans="1:11" x14ac:dyDescent="0.2">
      <c r="A11" s="323" t="str">
        <f>'Regressie &amp; praktijk'!D55</f>
        <v>s-Hertogenbosch</v>
      </c>
      <c r="B11" s="319" t="str">
        <f>'Regressie &amp; praktijk'!J55</f>
        <v>Tetrachlooretheen (per)</v>
      </c>
      <c r="C11" s="319" t="str">
        <f>'Regressie &amp; praktijk'!G55</f>
        <v>feb 2007</v>
      </c>
      <c r="D11" s="320">
        <f>'Regressie &amp; praktijk'!H55</f>
        <v>10</v>
      </c>
      <c r="E11" s="324">
        <f>'Regressie &amp; praktijk'!AG55*1000</f>
        <v>7144.6285714285714</v>
      </c>
      <c r="F11" s="325">
        <f>'Regressie &amp; praktijk'!AH55*1000</f>
        <v>0.2</v>
      </c>
      <c r="G11" s="232"/>
      <c r="H11" s="326"/>
      <c r="I11" s="328">
        <f>'Regressie &amp; praktijk'!CD55</f>
        <v>35723.142857142855</v>
      </c>
      <c r="J11" s="325">
        <f>'Regressie &amp; praktijk'!BE55*1000</f>
        <v>81.811706416759733</v>
      </c>
      <c r="K11" s="327">
        <f>'Regressie &amp; praktijk'!BK55</f>
        <v>409.05853208379864</v>
      </c>
    </row>
    <row r="12" spans="1:11" x14ac:dyDescent="0.2">
      <c r="A12" s="323" t="str">
        <f>'Regressie &amp; praktijk'!D56</f>
        <v>s-Hertogenbosch</v>
      </c>
      <c r="B12" s="319" t="str">
        <f>'Regressie &amp; praktijk'!J56</f>
        <v>Tetrachlooretheen (per)</v>
      </c>
      <c r="C12" s="319" t="str">
        <f>'Regressie &amp; praktijk'!G56</f>
        <v>feb 2007</v>
      </c>
      <c r="D12" s="320">
        <f>'Regressie &amp; praktijk'!H56</f>
        <v>10</v>
      </c>
      <c r="E12" s="324">
        <f>'Regressie &amp; praktijk'!AG56*1000</f>
        <v>2861.5714285714284</v>
      </c>
      <c r="F12" s="325">
        <f>'Regressie &amp; praktijk'!AH56*1000</f>
        <v>13.683333333333332</v>
      </c>
      <c r="G12" s="232"/>
      <c r="H12" s="326"/>
      <c r="I12" s="328">
        <f>'Regressie &amp; praktijk'!CD56</f>
        <v>209.12824082129811</v>
      </c>
      <c r="J12" s="325">
        <f>'Regressie &amp; praktijk'!BE56*1000</f>
        <v>31.376210032818943</v>
      </c>
      <c r="K12" s="327">
        <f>'Regressie &amp; praktijk'!BK56</f>
        <v>2.2930238757236747</v>
      </c>
    </row>
    <row r="13" spans="1:11" x14ac:dyDescent="0.2">
      <c r="A13" s="323" t="str">
        <f>'Regressie &amp; praktijk'!D57</f>
        <v>s-Hertogenbosch</v>
      </c>
      <c r="B13" s="319" t="str">
        <f>'Regressie &amp; praktijk'!J57</f>
        <v>Tetrachlooretheen (per)</v>
      </c>
      <c r="C13" s="319" t="str">
        <f>'Regressie &amp; praktijk'!G57</f>
        <v>feb 2007</v>
      </c>
      <c r="D13" s="320">
        <f>'Regressie &amp; praktijk'!H57</f>
        <v>10</v>
      </c>
      <c r="E13" s="324">
        <f>'Regressie &amp; praktijk'!AG57*1000</f>
        <v>2861.5714285714284</v>
      </c>
      <c r="F13" s="325">
        <f>'Regressie &amp; praktijk'!AH57*1000</f>
        <v>7.7866666666666662</v>
      </c>
      <c r="G13" s="232"/>
      <c r="H13" s="326"/>
      <c r="I13" s="328">
        <f>'Regressie &amp; praktijk'!CD57</f>
        <v>367.49633072407045</v>
      </c>
      <c r="J13" s="325">
        <f>'Regressie &amp; praktijk'!BE57*1000</f>
        <v>31.376210032818943</v>
      </c>
      <c r="K13" s="327">
        <f>'Regressie &amp; praktijk'!BK57</f>
        <v>4.0294790281873647</v>
      </c>
    </row>
    <row r="14" spans="1:11" x14ac:dyDescent="0.2">
      <c r="A14" s="323" t="str">
        <f>'Regressie &amp; praktijk'!D58</f>
        <v>s-Hertogenbosch</v>
      </c>
      <c r="B14" s="319" t="str">
        <f>'Regressie &amp; praktijk'!J58</f>
        <v>Tetrachlooretheen (per)</v>
      </c>
      <c r="C14" s="319" t="str">
        <f>'Regressie &amp; praktijk'!G58</f>
        <v>feb 2007</v>
      </c>
      <c r="D14" s="320">
        <f>'Regressie &amp; praktijk'!H58</f>
        <v>10</v>
      </c>
      <c r="E14" s="324">
        <f>'Regressie &amp; praktijk'!AG58*1000</f>
        <v>2861.5714285714284</v>
      </c>
      <c r="F14" s="325">
        <f>'Regressie &amp; praktijk'!AH58*1000</f>
        <v>0.51249999999999996</v>
      </c>
      <c r="G14" s="232"/>
      <c r="H14" s="326"/>
      <c r="I14" s="328">
        <f>'Regressie &amp; praktijk'!CD58</f>
        <v>5583.5540069686422</v>
      </c>
      <c r="J14" s="325">
        <f>'Regressie &amp; praktijk'!BE58*1000</f>
        <v>31.376210032818943</v>
      </c>
      <c r="K14" s="327">
        <f>'Regressie &amp; praktijk'!BK58</f>
        <v>61.22187323476868</v>
      </c>
    </row>
    <row r="15" spans="1:11" x14ac:dyDescent="0.2">
      <c r="A15" s="323" t="str">
        <f>'Regressie &amp; praktijk'!D59</f>
        <v>s-Hertogenbosch</v>
      </c>
      <c r="B15" s="319" t="str">
        <f>'Regressie &amp; praktijk'!J59</f>
        <v>Tetrachlooretheen (per)</v>
      </c>
      <c r="C15" s="319" t="str">
        <f>'Regressie &amp; praktijk'!G59</f>
        <v>feb 2007</v>
      </c>
      <c r="D15" s="320">
        <f>'Regressie &amp; praktijk'!H59</f>
        <v>10</v>
      </c>
      <c r="E15" s="324">
        <f>'Regressie &amp; praktijk'!AG59*1000</f>
        <v>2861.5714285714284</v>
      </c>
      <c r="F15" s="325">
        <f>'Regressie &amp; praktijk'!AH59*1000</f>
        <v>0.15</v>
      </c>
      <c r="G15" s="232"/>
      <c r="H15" s="326"/>
      <c r="I15" s="328">
        <f>'Regressie &amp; praktijk'!CD59</f>
        <v>19077.142857142859</v>
      </c>
      <c r="J15" s="325">
        <f>'Regressie &amp; praktijk'!BE59*1000</f>
        <v>31.376210032818943</v>
      </c>
      <c r="K15" s="327">
        <f>'Regressie &amp; praktijk'!BK59</f>
        <v>209.1747335521263</v>
      </c>
    </row>
    <row r="16" spans="1:11" x14ac:dyDescent="0.2">
      <c r="A16" s="323" t="str">
        <f>'Regressie &amp; praktijk'!D60</f>
        <v>Oss</v>
      </c>
      <c r="B16" s="319" t="str">
        <f>'Regressie &amp; praktijk'!J60</f>
        <v>Trichlooretheen</v>
      </c>
      <c r="C16" s="319" t="str">
        <f>'Regressie &amp; praktijk'!G60</f>
        <v>aug 2010</v>
      </c>
      <c r="D16" s="320">
        <f>'Regressie &amp; praktijk'!H60</f>
        <v>14</v>
      </c>
      <c r="E16" s="324">
        <f>'Regressie &amp; praktijk'!AG60*1000</f>
        <v>28</v>
      </c>
      <c r="F16" s="325">
        <f>'Regressie &amp; praktijk'!AH60*1000</f>
        <v>0.12642857142857142</v>
      </c>
      <c r="G16" s="232"/>
      <c r="H16" s="326" t="s">
        <v>346</v>
      </c>
      <c r="I16" s="328">
        <f>'Regressie &amp; praktijk'!CD60</f>
        <v>221.46892655367233</v>
      </c>
      <c r="J16" s="325">
        <f>'Regressie &amp; praktijk'!BE60*1000</f>
        <v>0.39555923196566878</v>
      </c>
      <c r="K16" s="327">
        <f>'Regressie &amp; praktijk'!BK60</f>
        <v>3.1287170889939904</v>
      </c>
    </row>
    <row r="17" spans="1:11" x14ac:dyDescent="0.2">
      <c r="A17" s="285"/>
      <c r="B17" s="319"/>
      <c r="C17" s="319"/>
      <c r="D17" s="320"/>
      <c r="E17" s="319"/>
      <c r="F17" s="285"/>
      <c r="G17" s="232"/>
      <c r="H17" s="326"/>
      <c r="I17" s="328"/>
      <c r="J17" s="285"/>
      <c r="K17" s="326"/>
    </row>
    <row r="18" spans="1:11" x14ac:dyDescent="0.2">
      <c r="A18" s="323"/>
      <c r="B18" s="319"/>
      <c r="C18" s="319"/>
      <c r="D18" s="320"/>
      <c r="E18" s="319"/>
      <c r="F18" s="285"/>
      <c r="G18" s="232"/>
      <c r="H18" s="326"/>
      <c r="I18" s="328"/>
      <c r="J18" s="285"/>
      <c r="K18" s="326"/>
    </row>
    <row r="19" spans="1:11" x14ac:dyDescent="0.2">
      <c r="A19" s="323"/>
      <c r="B19" s="319"/>
      <c r="C19" s="319"/>
      <c r="D19" s="320"/>
      <c r="E19" s="319"/>
      <c r="F19" s="285"/>
      <c r="G19" s="232"/>
      <c r="H19" s="326"/>
      <c r="I19" s="328"/>
      <c r="J19" s="285"/>
      <c r="K19" s="326"/>
    </row>
    <row r="20" spans="1:11" x14ac:dyDescent="0.2">
      <c r="A20" s="323" t="str">
        <f>'Regressie &amp; praktijk'!D64</f>
        <v>Gemert</v>
      </c>
      <c r="B20" s="319" t="str">
        <f>'Regressie &amp; praktijk'!J64</f>
        <v>Benzeen</v>
      </c>
      <c r="C20" s="319" t="str">
        <f>'Regressie &amp; praktijk'!G64</f>
        <v>jan 2009</v>
      </c>
      <c r="D20" s="320">
        <f>'Regressie &amp; praktijk'!H64</f>
        <v>10</v>
      </c>
      <c r="E20" s="324">
        <f>'Regressie &amp; praktijk'!AG64*1000</f>
        <v>8.745000000000001</v>
      </c>
      <c r="F20" s="325"/>
      <c r="G20" s="232">
        <f>'Regressie &amp; praktijk'!AI64*1000</f>
        <v>0.05</v>
      </c>
      <c r="H20" s="326"/>
      <c r="I20" s="328">
        <f>'Regressie &amp; praktijk'!CD64</f>
        <v>174.9</v>
      </c>
      <c r="J20" s="325">
        <f>'Regressie &amp; praktijk'!BE64*1000</f>
        <v>0.20854243276754714</v>
      </c>
      <c r="K20" s="327">
        <f>'Regressie &amp; praktijk'!BK64</f>
        <v>4.1708486553509427</v>
      </c>
    </row>
    <row r="21" spans="1:11" x14ac:dyDescent="0.2">
      <c r="A21" s="323" t="str">
        <f>'Regressie &amp; praktijk'!D65</f>
        <v>Uden</v>
      </c>
      <c r="B21" s="319" t="str">
        <f>'Regressie &amp; praktijk'!J65</f>
        <v>Benzeen</v>
      </c>
      <c r="C21" s="319">
        <f>'Regressie &amp; praktijk'!G65</f>
        <v>0</v>
      </c>
      <c r="D21" s="320">
        <f>'Regressie &amp; praktijk'!H65</f>
        <v>14</v>
      </c>
      <c r="E21" s="324">
        <f>'Regressie &amp; praktijk'!AG65*1000</f>
        <v>1.75</v>
      </c>
      <c r="F21" s="325"/>
      <c r="G21" s="232">
        <f>'Regressie &amp; praktijk'!AI65*1000</f>
        <v>0.05</v>
      </c>
      <c r="H21" s="326"/>
      <c r="I21" s="328">
        <f>'Regressie &amp; praktijk'!CD65</f>
        <v>35</v>
      </c>
      <c r="J21" s="325">
        <f>'Regressie &amp; praktijk'!BE65*1000</f>
        <v>4.8817218625669963E-2</v>
      </c>
      <c r="K21" s="327">
        <f>'Regressie &amp; praktijk'!BK65</f>
        <v>0.97634437251339912</v>
      </c>
    </row>
    <row r="22" spans="1:11" x14ac:dyDescent="0.2">
      <c r="A22" s="323" t="str">
        <f>'Regressie &amp; praktijk'!D66</f>
        <v>s-Hertogenbosch</v>
      </c>
      <c r="B22" s="319" t="str">
        <f>'Regressie &amp; praktijk'!J66</f>
        <v>cis 1,2-dichlooretheen</v>
      </c>
      <c r="C22" s="319" t="str">
        <f>'Regressie &amp; praktijk'!G66</f>
        <v>feb 2007</v>
      </c>
      <c r="D22" s="320">
        <f>'Regressie &amp; praktijk'!H66</f>
        <v>10</v>
      </c>
      <c r="E22" s="324">
        <f>'Regressie &amp; praktijk'!AG66*1000</f>
        <v>6857.2571428571437</v>
      </c>
      <c r="F22" s="325"/>
      <c r="G22" s="232">
        <f>'Regressie &amp; praktijk'!AI66*1000</f>
        <v>0.05</v>
      </c>
      <c r="H22" s="326"/>
      <c r="I22" s="328">
        <f>'Regressie &amp; praktijk'!CD66</f>
        <v>137145.14285714287</v>
      </c>
      <c r="J22" s="325">
        <f>'Regressie &amp; praktijk'!BE66*1000</f>
        <v>70.633301505613048</v>
      </c>
      <c r="K22" s="327">
        <f>'Regressie &amp; praktijk'!BK66</f>
        <v>1412.6660301122608</v>
      </c>
    </row>
    <row r="23" spans="1:11" x14ac:dyDescent="0.2">
      <c r="A23" s="323" t="str">
        <f>'Regressie &amp; praktijk'!D67</f>
        <v>s-Hertogenbosch</v>
      </c>
      <c r="B23" s="319" t="str">
        <f>'Regressie &amp; praktijk'!J67</f>
        <v>cis 1,2-dichlooretheen</v>
      </c>
      <c r="C23" s="319" t="str">
        <f>'Regressie &amp; praktijk'!G67</f>
        <v>feb 2007</v>
      </c>
      <c r="D23" s="320">
        <f>'Regressie &amp; praktijk'!H67</f>
        <v>10</v>
      </c>
      <c r="E23" s="324">
        <f>'Regressie &amp; praktijk'!AG67*1000</f>
        <v>6857.2571428571437</v>
      </c>
      <c r="F23" s="325"/>
      <c r="G23" s="232">
        <f>'Regressie &amp; praktijk'!AI67*1000</f>
        <v>0.05</v>
      </c>
      <c r="H23" s="326"/>
      <c r="I23" s="328">
        <f>'Regressie &amp; praktijk'!CD67</f>
        <v>137145.14285714287</v>
      </c>
      <c r="J23" s="325">
        <f>'Regressie &amp; praktijk'!BE67*1000</f>
        <v>70.633301505613048</v>
      </c>
      <c r="K23" s="327">
        <f>'Regressie &amp; praktijk'!BK67</f>
        <v>1412.6660301122608</v>
      </c>
    </row>
    <row r="24" spans="1:11" x14ac:dyDescent="0.2">
      <c r="A24" s="323" t="str">
        <f>'Regressie &amp; praktijk'!D68</f>
        <v>s-Hertogenbosch</v>
      </c>
      <c r="B24" s="319" t="str">
        <f>'Regressie &amp; praktijk'!J68</f>
        <v>cis 1,2-dichlooretheen</v>
      </c>
      <c r="C24" s="319" t="str">
        <f>'Regressie &amp; praktijk'!G68</f>
        <v>feb 2007</v>
      </c>
      <c r="D24" s="320">
        <f>'Regressie &amp; praktijk'!H68</f>
        <v>10</v>
      </c>
      <c r="E24" s="324">
        <f>'Regressie &amp; praktijk'!AG68*1000</f>
        <v>6857.2571428571437</v>
      </c>
      <c r="F24" s="325"/>
      <c r="G24" s="232">
        <f>'Regressie &amp; praktijk'!AI68*1000</f>
        <v>0.05</v>
      </c>
      <c r="H24" s="326"/>
      <c r="I24" s="328">
        <f>'Regressie &amp; praktijk'!CD68</f>
        <v>137145.14285714287</v>
      </c>
      <c r="J24" s="325">
        <f>'Regressie &amp; praktijk'!BE68*1000</f>
        <v>70.633301505613048</v>
      </c>
      <c r="K24" s="327">
        <f>'Regressie &amp; praktijk'!BK68</f>
        <v>1412.6660301122608</v>
      </c>
    </row>
    <row r="25" spans="1:11" x14ac:dyDescent="0.2">
      <c r="A25" s="323" t="str">
        <f>'Regressie &amp; praktijk'!D69</f>
        <v>s-Hertogenbosch</v>
      </c>
      <c r="B25" s="319" t="str">
        <f>'Regressie &amp; praktijk'!J69</f>
        <v>cis 1,2-dichlooretheen</v>
      </c>
      <c r="C25" s="319" t="str">
        <f>'Regressie &amp; praktijk'!G69</f>
        <v>feb 2007</v>
      </c>
      <c r="D25" s="320">
        <f>'Regressie &amp; praktijk'!H69</f>
        <v>10</v>
      </c>
      <c r="E25" s="324">
        <f>'Regressie &amp; praktijk'!AG69*1000</f>
        <v>2743.1428571428573</v>
      </c>
      <c r="F25" s="325"/>
      <c r="G25" s="232">
        <f>'Regressie &amp; praktijk'!AI69*1000</f>
        <v>0.05</v>
      </c>
      <c r="H25" s="326"/>
      <c r="I25" s="328">
        <f>'Regressie &amp; praktijk'!CD69</f>
        <v>54862.857142857145</v>
      </c>
      <c r="J25" s="325">
        <f>'Regressie &amp; praktijk'!BE69*1000</f>
        <v>27.950973606179012</v>
      </c>
      <c r="K25" s="327">
        <f>'Regressie &amp; praktijk'!BK69</f>
        <v>559.01947212358027</v>
      </c>
    </row>
    <row r="26" spans="1:11" x14ac:dyDescent="0.2">
      <c r="A26" s="323" t="str">
        <f>'Regressie &amp; praktijk'!D70</f>
        <v>s-Hertogenbosch</v>
      </c>
      <c r="B26" s="319" t="str">
        <f>'Regressie &amp; praktijk'!J70</f>
        <v>cis 1,2-dichlooretheen</v>
      </c>
      <c r="C26" s="319" t="str">
        <f>'Regressie &amp; praktijk'!G70</f>
        <v>feb 2007</v>
      </c>
      <c r="D26" s="320">
        <f>'Regressie &amp; praktijk'!H70</f>
        <v>10</v>
      </c>
      <c r="E26" s="324">
        <f>'Regressie &amp; praktijk'!AG70*1000</f>
        <v>2743.1428571428573</v>
      </c>
      <c r="F26" s="325"/>
      <c r="G26" s="232">
        <f>'Regressie &amp; praktijk'!AI70*1000</f>
        <v>0.05</v>
      </c>
      <c r="H26" s="326"/>
      <c r="I26" s="328">
        <f>'Regressie &amp; praktijk'!CD70</f>
        <v>54862.857142857145</v>
      </c>
      <c r="J26" s="325">
        <f>'Regressie &amp; praktijk'!BE70*1000</f>
        <v>27.950973606179012</v>
      </c>
      <c r="K26" s="327">
        <f>'Regressie &amp; praktijk'!BK70</f>
        <v>559.01947212358027</v>
      </c>
    </row>
    <row r="27" spans="1:11" x14ac:dyDescent="0.2">
      <c r="A27" s="323" t="str">
        <f>'Regressie &amp; praktijk'!D71</f>
        <v>s-Hertogenbosch</v>
      </c>
      <c r="B27" s="319" t="str">
        <f>'Regressie &amp; praktijk'!J71</f>
        <v>cis 1,2-dichlooretheen</v>
      </c>
      <c r="C27" s="319" t="str">
        <f>'Regressie &amp; praktijk'!G71</f>
        <v>feb 2007</v>
      </c>
      <c r="D27" s="320">
        <f>'Regressie &amp; praktijk'!H71</f>
        <v>10</v>
      </c>
      <c r="E27" s="324">
        <f>'Regressie &amp; praktijk'!AG71*1000</f>
        <v>2743.1428571428573</v>
      </c>
      <c r="F27" s="325"/>
      <c r="G27" s="232">
        <f>'Regressie &amp; praktijk'!AI71*1000</f>
        <v>0.05</v>
      </c>
      <c r="H27" s="326"/>
      <c r="I27" s="328">
        <f>'Regressie &amp; praktijk'!CD71</f>
        <v>54862.857142857145</v>
      </c>
      <c r="J27" s="325">
        <f>'Regressie &amp; praktijk'!BE71*1000</f>
        <v>27.950973606179012</v>
      </c>
      <c r="K27" s="327">
        <f>'Regressie &amp; praktijk'!BK71</f>
        <v>559.01947212358027</v>
      </c>
    </row>
    <row r="28" spans="1:11" x14ac:dyDescent="0.2">
      <c r="A28" s="323" t="str">
        <f>'Regressie &amp; praktijk'!D72</f>
        <v>s-Hertogenbosch</v>
      </c>
      <c r="B28" s="319" t="str">
        <f>'Regressie &amp; praktijk'!J72</f>
        <v>cis 1,2-dichlooretheen</v>
      </c>
      <c r="C28" s="319" t="str">
        <f>'Regressie &amp; praktijk'!G72</f>
        <v>feb 2007</v>
      </c>
      <c r="D28" s="320">
        <f>'Regressie &amp; praktijk'!H72</f>
        <v>10</v>
      </c>
      <c r="E28" s="324">
        <f>'Regressie &amp; praktijk'!AG72*1000</f>
        <v>2743.1428571428573</v>
      </c>
      <c r="F28" s="325"/>
      <c r="G28" s="232">
        <f>'Regressie &amp; praktijk'!AI72*1000</f>
        <v>0.05</v>
      </c>
      <c r="H28" s="326"/>
      <c r="I28" s="328">
        <f>'Regressie &amp; praktijk'!CD72</f>
        <v>54862.857142857145</v>
      </c>
      <c r="J28" s="325">
        <f>'Regressie &amp; praktijk'!BE72*1000</f>
        <v>27.950973606179012</v>
      </c>
      <c r="K28" s="327">
        <f>'Regressie &amp; praktijk'!BK72</f>
        <v>559.01947212358027</v>
      </c>
    </row>
    <row r="29" spans="1:11" x14ac:dyDescent="0.2">
      <c r="A29" s="323" t="str">
        <f>'Regressie &amp; praktijk'!D73</f>
        <v>Gemert</v>
      </c>
      <c r="B29" s="319" t="str">
        <f>'Regressie &amp; praktijk'!J73</f>
        <v>Ethylbenzeen</v>
      </c>
      <c r="C29" s="319" t="str">
        <f>'Regressie &amp; praktijk'!G73</f>
        <v>jan 2009</v>
      </c>
      <c r="D29" s="320">
        <f>'Regressie &amp; praktijk'!H73</f>
        <v>10</v>
      </c>
      <c r="E29" s="324">
        <f>'Regressie &amp; praktijk'!AG73*1000</f>
        <v>604.25000000000011</v>
      </c>
      <c r="F29" s="325"/>
      <c r="G29" s="232">
        <f>'Regressie &amp; praktijk'!AI73*1000</f>
        <v>0.05</v>
      </c>
      <c r="H29" s="326"/>
      <c r="I29" s="328">
        <f>'Regressie &amp; praktijk'!CD73</f>
        <v>12085</v>
      </c>
      <c r="J29" s="325">
        <f>'Regressie &amp; praktijk'!BE73*1000</f>
        <v>16.956529298454541</v>
      </c>
      <c r="K29" s="327">
        <f>'Regressie &amp; praktijk'!BK73</f>
        <v>339.13058596909082</v>
      </c>
    </row>
    <row r="30" spans="1:11" x14ac:dyDescent="0.2">
      <c r="A30" s="323" t="str">
        <f>'Regressie &amp; praktijk'!D74</f>
        <v>Uden</v>
      </c>
      <c r="B30" s="319" t="str">
        <f>'Regressie &amp; praktijk'!J74</f>
        <v>Ethyl-benzeen</v>
      </c>
      <c r="C30" s="319" t="str">
        <f>'Regressie &amp; praktijk'!G74</f>
        <v>juli 2013</v>
      </c>
      <c r="D30" s="320">
        <f>'Regressie &amp; praktijk'!H74</f>
        <v>14</v>
      </c>
      <c r="E30" s="324">
        <f>'Regressie &amp; praktijk'!AG74*1000</f>
        <v>125</v>
      </c>
      <c r="F30" s="325"/>
      <c r="G30" s="232">
        <f>'Regressie &amp; praktijk'!AI74*1000</f>
        <v>0.05</v>
      </c>
      <c r="H30" s="326"/>
      <c r="I30" s="328">
        <f>'Regressie &amp; praktijk'!CD74</f>
        <v>2500</v>
      </c>
      <c r="J30" s="325">
        <f>'Regressie &amp; praktijk'!BE74*1000</f>
        <v>4.1598702880666867</v>
      </c>
      <c r="K30" s="327">
        <f>'Regressie &amp; praktijk'!BK74</f>
        <v>83.197405761333727</v>
      </c>
    </row>
    <row r="31" spans="1:11" x14ac:dyDescent="0.2">
      <c r="A31" s="323" t="str">
        <f>'Regressie &amp; praktijk'!D75</f>
        <v>Gemert</v>
      </c>
      <c r="B31" s="319" t="str">
        <f>'Regressie &amp; praktijk'!J75</f>
        <v>Naftaleen</v>
      </c>
      <c r="C31" s="319" t="str">
        <f>'Regressie &amp; praktijk'!G75</f>
        <v>jan 2009</v>
      </c>
      <c r="D31" s="320">
        <f>'Regressie &amp; praktijk'!H75</f>
        <v>10</v>
      </c>
      <c r="E31" s="324">
        <f>'Regressie &amp; praktijk'!AG75*1000</f>
        <v>149.52500000000001</v>
      </c>
      <c r="F31" s="325"/>
      <c r="G31" s="232">
        <f>'Regressie &amp; praktijk'!AI75*1000</f>
        <v>0.05</v>
      </c>
      <c r="H31" s="326"/>
      <c r="I31" s="328">
        <f>'Regressie &amp; praktijk'!CD75</f>
        <v>2990.5000000000005</v>
      </c>
      <c r="J31" s="325">
        <f>'Regressie &amp; praktijk'!BE75*1000</f>
        <v>3.121839939266231</v>
      </c>
      <c r="K31" s="327">
        <f>'Regressie &amp; praktijk'!BK75</f>
        <v>62.436798785324619</v>
      </c>
    </row>
    <row r="32" spans="1:11" x14ac:dyDescent="0.2">
      <c r="A32" s="323" t="str">
        <f>'Regressie &amp; praktijk'!D76</f>
        <v>Uden</v>
      </c>
      <c r="B32" s="319" t="str">
        <f>'Regressie &amp; praktijk'!J76</f>
        <v>Naftaleen</v>
      </c>
      <c r="C32" s="319" t="str">
        <f>'Regressie &amp; praktijk'!G76</f>
        <v>juli 2013</v>
      </c>
      <c r="D32" s="320">
        <f>'Regressie &amp; praktijk'!H76</f>
        <v>14</v>
      </c>
      <c r="E32" s="324">
        <f>'Regressie &amp; praktijk'!AG76*1000</f>
        <v>13.000000000000002</v>
      </c>
      <c r="F32" s="325"/>
      <c r="G32" s="232">
        <f>'Regressie &amp; praktijk'!AI76*1000</f>
        <v>0.05</v>
      </c>
      <c r="H32" s="326"/>
      <c r="I32" s="328">
        <f>'Regressie &amp; praktijk'!CD76</f>
        <v>260</v>
      </c>
      <c r="J32" s="325">
        <f>'Regressie &amp; praktijk'!BE76*1000</f>
        <v>0.32469464049039021</v>
      </c>
      <c r="K32" s="327">
        <f>'Regressie &amp; praktijk'!BK76</f>
        <v>6.4938928098078037</v>
      </c>
    </row>
    <row r="33" spans="1:11" x14ac:dyDescent="0.2">
      <c r="A33" s="323" t="str">
        <f>'Regressie &amp; praktijk'!D77</f>
        <v>Den Bosch</v>
      </c>
      <c r="B33" s="319" t="str">
        <f>'Regressie &amp; praktijk'!J77</f>
        <v>som cis en trans</v>
      </c>
      <c r="C33" s="319" t="str">
        <f>'Regressie &amp; praktijk'!G77</f>
        <v>feb 2014</v>
      </c>
      <c r="D33" s="320">
        <f>'Regressie &amp; praktijk'!H77</f>
        <v>10</v>
      </c>
      <c r="E33" s="324">
        <f>'Regressie &amp; praktijk'!AG77*1000</f>
        <v>74</v>
      </c>
      <c r="F33" s="325"/>
      <c r="G33" s="232">
        <f>'Regressie &amp; praktijk'!AI77*1000</f>
        <v>0.05</v>
      </c>
      <c r="H33" s="326"/>
      <c r="I33" s="328">
        <f>'Regressie &amp; praktijk'!CD77</f>
        <v>1479.9999999999998</v>
      </c>
      <c r="J33" s="325">
        <f>'Regressie &amp; praktijk'!BE77*1000</f>
        <v>0.26835233130165165</v>
      </c>
      <c r="K33" s="327">
        <f>'Regressie &amp; praktijk'!BK77</f>
        <v>5.3670466260330327</v>
      </c>
    </row>
    <row r="34" spans="1:11" x14ac:dyDescent="0.2">
      <c r="A34" s="323" t="str">
        <f>'Regressie &amp; praktijk'!D78</f>
        <v>s-Hertogenbosch</v>
      </c>
      <c r="B34" s="319" t="str">
        <f>'Regressie &amp; praktijk'!J78</f>
        <v>Tetrachlooretheen (per)</v>
      </c>
      <c r="C34" s="319" t="str">
        <f>'Regressie &amp; praktijk'!G78</f>
        <v>feb 2007</v>
      </c>
      <c r="D34" s="320">
        <f>'Regressie &amp; praktijk'!H78</f>
        <v>10</v>
      </c>
      <c r="E34" s="324">
        <f>'Regressie &amp; praktijk'!AG78*1000</f>
        <v>7144.6285714285714</v>
      </c>
      <c r="F34" s="325"/>
      <c r="G34" s="232">
        <f>'Regressie &amp; praktijk'!AI78*1000</f>
        <v>0.05</v>
      </c>
      <c r="H34" s="326"/>
      <c r="I34" s="328">
        <f>'Regressie &amp; praktijk'!CD78</f>
        <v>142892.57142857142</v>
      </c>
      <c r="J34" s="325">
        <f>'Regressie &amp; praktijk'!BE78*1000</f>
        <v>81.811706416759733</v>
      </c>
      <c r="K34" s="327">
        <f>'Regressie &amp; praktijk'!BK78</f>
        <v>1636.2341283351946</v>
      </c>
    </row>
    <row r="35" spans="1:11" x14ac:dyDescent="0.2">
      <c r="A35" s="323" t="str">
        <f>'Regressie &amp; praktijk'!D79</f>
        <v>Gemert</v>
      </c>
      <c r="B35" s="319" t="str">
        <f>'Regressie &amp; praktijk'!J79</f>
        <v>Tolueen</v>
      </c>
      <c r="C35" s="319" t="str">
        <f>'Regressie &amp; praktijk'!G79</f>
        <v>jan 2009</v>
      </c>
      <c r="D35" s="320">
        <f>'Regressie &amp; praktijk'!H79</f>
        <v>10</v>
      </c>
      <c r="E35" s="324">
        <f>'Regressie &amp; praktijk'!AG79*1000</f>
        <v>47.274999999999999</v>
      </c>
      <c r="F35" s="325"/>
      <c r="G35" s="232">
        <f>'Regressie &amp; praktijk'!AI79*1000</f>
        <v>0.05</v>
      </c>
      <c r="H35" s="326"/>
      <c r="I35" s="328">
        <f>'Regressie &amp; praktijk'!CD79</f>
        <v>945.49999999999989</v>
      </c>
      <c r="J35" s="325">
        <f>'Regressie &amp; praktijk'!BE79*1000</f>
        <v>1.2882724506740542</v>
      </c>
      <c r="K35" s="327">
        <f>'Regressie &amp; praktijk'!BK79</f>
        <v>25.765449013481081</v>
      </c>
    </row>
    <row r="36" spans="1:11" x14ac:dyDescent="0.2">
      <c r="A36" s="323" t="str">
        <f>'Regressie &amp; praktijk'!D80</f>
        <v>Uden</v>
      </c>
      <c r="B36" s="319" t="str">
        <f>'Regressie &amp; praktijk'!J80</f>
        <v>Tolueen</v>
      </c>
      <c r="C36" s="319" t="str">
        <f>'Regressie &amp; praktijk'!G80</f>
        <v>juli 2013</v>
      </c>
      <c r="D36" s="320">
        <f>'Regressie &amp; praktijk'!H80</f>
        <v>14</v>
      </c>
      <c r="E36" s="324">
        <f>'Regressie &amp; praktijk'!AG80*1000</f>
        <v>1.1000000000000001</v>
      </c>
      <c r="F36" s="325"/>
      <c r="G36" s="232">
        <f>'Regressie &amp; praktijk'!AI80*1000</f>
        <v>0.05</v>
      </c>
      <c r="H36" s="326"/>
      <c r="I36" s="328">
        <f>'Regressie &amp; praktijk'!CD80</f>
        <v>22</v>
      </c>
      <c r="J36" s="325">
        <f>'Regressie &amp; praktijk'!BE80*1000</f>
        <v>3.5423454388135323E-2</v>
      </c>
      <c r="K36" s="327">
        <f>'Regressie &amp; praktijk'!BK80</f>
        <v>0.70846908776270645</v>
      </c>
    </row>
    <row r="37" spans="1:11" x14ac:dyDescent="0.2">
      <c r="A37" s="323" t="str">
        <f>'Regressie &amp; praktijk'!D81</f>
        <v>Den Bosch</v>
      </c>
      <c r="B37" s="319" t="str">
        <f>'Regressie &amp; praktijk'!J81</f>
        <v>vinylchloride (monchlooretheen)</v>
      </c>
      <c r="C37" s="319" t="str">
        <f>'Regressie &amp; praktijk'!G81</f>
        <v>feb 2014</v>
      </c>
      <c r="D37" s="320">
        <f>'Regressie &amp; praktijk'!H81</f>
        <v>10</v>
      </c>
      <c r="E37" s="324">
        <f>'Regressie &amp; praktijk'!AG81*1000</f>
        <v>97</v>
      </c>
      <c r="F37" s="325"/>
      <c r="G37" s="232">
        <f>'Regressie &amp; praktijk'!AI81*1000</f>
        <v>0.05</v>
      </c>
      <c r="H37" s="326"/>
      <c r="I37" s="328">
        <f>'Regressie &amp; praktijk'!CD81</f>
        <v>1940</v>
      </c>
      <c r="J37" s="325">
        <f>'Regressie &amp; praktijk'!BE81*1000</f>
        <v>1.211993290220335</v>
      </c>
      <c r="K37" s="327">
        <f>'Regressie &amp; praktijk'!BK81</f>
        <v>24.239865804406698</v>
      </c>
    </row>
    <row r="38" spans="1:11" x14ac:dyDescent="0.2">
      <c r="A38" s="323" t="str">
        <f>'Regressie &amp; praktijk'!D82</f>
        <v>Gemert</v>
      </c>
      <c r="B38" s="319" t="str">
        <f>'Regressie &amp; praktijk'!J82</f>
        <v>Xyleen</v>
      </c>
      <c r="C38" s="319" t="str">
        <f>'Regressie &amp; praktijk'!G82</f>
        <v>jan 2009</v>
      </c>
      <c r="D38" s="320">
        <f>'Regressie &amp; praktijk'!H82</f>
        <v>10</v>
      </c>
      <c r="E38" s="324">
        <f>'Regressie &amp; praktijk'!AG82*1000</f>
        <v>2638</v>
      </c>
      <c r="F38" s="325"/>
      <c r="G38" s="232">
        <f>'Regressie &amp; praktijk'!AI82*1000</f>
        <v>0.05</v>
      </c>
      <c r="H38" s="326"/>
      <c r="I38" s="328">
        <f>'Regressie &amp; praktijk'!CD82</f>
        <v>52759.999999999993</v>
      </c>
      <c r="J38" s="325">
        <f>'Regressie &amp; praktijk'!BE82*1000</f>
        <v>74.755734056088812</v>
      </c>
      <c r="K38" s="327">
        <f>'Regressie &amp; praktijk'!BK82</f>
        <v>1495.1146811217764</v>
      </c>
    </row>
    <row r="39" spans="1:11" x14ac:dyDescent="0.2">
      <c r="A39" s="323" t="str">
        <f>'Regressie &amp; praktijk'!D83</f>
        <v>Uden</v>
      </c>
      <c r="B39" s="319" t="str">
        <f>'Regressie &amp; praktijk'!J83</f>
        <v>Xyleen</v>
      </c>
      <c r="C39" s="319" t="str">
        <f>'Regressie &amp; praktijk'!G83</f>
        <v>juli 2013</v>
      </c>
      <c r="D39" s="320">
        <f>'Regressie &amp; praktijk'!H83</f>
        <v>14</v>
      </c>
      <c r="E39" s="324">
        <f>'Regressie &amp; praktijk'!AG83*1000</f>
        <v>255.10499999999996</v>
      </c>
      <c r="F39" s="325"/>
      <c r="G39" s="232">
        <f>'Regressie &amp; praktijk'!AI83*1000</f>
        <v>0.05</v>
      </c>
      <c r="H39" s="326"/>
      <c r="I39" s="328">
        <f>'Regressie &amp; praktijk'!CD83</f>
        <v>5102.0999999999995</v>
      </c>
      <c r="J39" s="325">
        <f>'Regressie &amp; praktijk'!BE83*1000</f>
        <v>8.4993152605666165</v>
      </c>
      <c r="K39" s="327">
        <f>'Regressie &amp; praktijk'!BK83</f>
        <v>169.98630521133234</v>
      </c>
    </row>
    <row r="40" spans="1:11" x14ac:dyDescent="0.2">
      <c r="A40" s="323"/>
      <c r="B40" s="319"/>
      <c r="C40" s="319"/>
      <c r="D40" s="320"/>
      <c r="E40" s="324"/>
      <c r="F40" s="325"/>
      <c r="G40" s="232"/>
      <c r="H40" s="326"/>
      <c r="I40" s="328"/>
      <c r="J40" s="285"/>
      <c r="K40" s="326"/>
    </row>
    <row r="41" spans="1:11" x14ac:dyDescent="0.2">
      <c r="A41" s="323"/>
      <c r="B41" s="319"/>
      <c r="C41" s="319"/>
      <c r="D41" s="320"/>
      <c r="E41" s="324"/>
      <c r="F41" s="325"/>
      <c r="G41" s="232"/>
      <c r="H41" s="326"/>
      <c r="I41" s="328"/>
      <c r="J41" s="285"/>
      <c r="K41" s="326"/>
    </row>
    <row r="42" spans="1:11" x14ac:dyDescent="0.2">
      <c r="A42" s="323" t="s">
        <v>138</v>
      </c>
      <c r="B42" s="319" t="s">
        <v>14</v>
      </c>
      <c r="C42" s="319"/>
      <c r="D42" s="320"/>
      <c r="E42" s="324">
        <v>27000</v>
      </c>
      <c r="F42" s="325">
        <v>47</v>
      </c>
      <c r="G42" s="232"/>
      <c r="H42" s="326"/>
      <c r="I42" s="328">
        <f>'Regressie &amp; praktijk'!CD86</f>
        <v>574.468085106383</v>
      </c>
      <c r="J42" s="325">
        <f>'Regressie &amp; praktijk'!BE86*1000</f>
        <v>421.76202794450029</v>
      </c>
      <c r="K42" s="327">
        <f>'Regressie &amp; praktijk'!BK86</f>
        <v>8.9736601690319215</v>
      </c>
    </row>
    <row r="43" spans="1:11" x14ac:dyDescent="0.2">
      <c r="A43" s="323" t="s">
        <v>137</v>
      </c>
      <c r="B43" s="319" t="s">
        <v>41</v>
      </c>
      <c r="C43" s="319"/>
      <c r="D43" s="320"/>
      <c r="E43" s="324">
        <v>14</v>
      </c>
      <c r="F43" s="325">
        <v>0.4</v>
      </c>
      <c r="G43" s="232"/>
      <c r="H43" s="326"/>
      <c r="I43" s="328">
        <f>'Regressie &amp; praktijk'!CD87</f>
        <v>35</v>
      </c>
      <c r="J43" s="325">
        <f>'Regressie &amp; praktijk'!BE87*1000</f>
        <v>0.45487934249589407</v>
      </c>
      <c r="K43" s="327">
        <f>'Regressie &amp; praktijk'!BK87</f>
        <v>1.137198356239735</v>
      </c>
    </row>
    <row r="44" spans="1:11" x14ac:dyDescent="0.2">
      <c r="A44" s="323" t="s">
        <v>126</v>
      </c>
      <c r="B44" s="319" t="s">
        <v>135</v>
      </c>
      <c r="C44" s="319"/>
      <c r="D44" s="320"/>
      <c r="E44" s="324">
        <v>1700</v>
      </c>
      <c r="F44" s="325">
        <v>18</v>
      </c>
      <c r="G44" s="232"/>
      <c r="H44" s="326"/>
      <c r="I44" s="328">
        <f>'Regressie &amp; praktijk'!CD88</f>
        <v>94.444444444444443</v>
      </c>
      <c r="J44" s="325">
        <f>'Regressie &amp; praktijk'!BE88*1000</f>
        <v>397.14860358162576</v>
      </c>
      <c r="K44" s="327">
        <f>'Regressie &amp; praktijk'!BK88</f>
        <v>22.063811310090323</v>
      </c>
    </row>
    <row r="45" spans="1:11" x14ac:dyDescent="0.2">
      <c r="A45" s="323"/>
      <c r="B45" s="319"/>
      <c r="C45" s="319"/>
      <c r="D45" s="320"/>
      <c r="E45" s="324"/>
      <c r="F45" s="325"/>
      <c r="G45" s="232"/>
      <c r="H45" s="326"/>
      <c r="I45" s="328"/>
      <c r="J45" s="285"/>
      <c r="K45" s="326"/>
    </row>
    <row r="46" spans="1:11" x14ac:dyDescent="0.2">
      <c r="A46" s="323"/>
      <c r="B46" s="319"/>
      <c r="C46" s="319"/>
      <c r="D46" s="320"/>
      <c r="E46" s="324"/>
      <c r="F46" s="325"/>
      <c r="G46" s="232"/>
      <c r="H46" s="326"/>
      <c r="I46" s="328"/>
      <c r="J46" s="285"/>
      <c r="K46" s="326"/>
    </row>
    <row r="47" spans="1:11" x14ac:dyDescent="0.2">
      <c r="A47" s="323" t="str">
        <f>'Regressie &amp; praktijk'!D91</f>
        <v>Wervershoof</v>
      </c>
      <c r="B47" s="319" t="str">
        <f>'Regressie &amp; praktijk'!J91</f>
        <v>Benzeen</v>
      </c>
      <c r="C47" s="319" t="str">
        <f>'Regressie &amp; praktijk'!G91</f>
        <v>onbekend</v>
      </c>
      <c r="D47" s="320">
        <f>'Regressie &amp; praktijk'!H91</f>
        <v>12</v>
      </c>
      <c r="E47" s="324">
        <f>'Regressie &amp; praktijk'!AG91*1000</f>
        <v>2400</v>
      </c>
      <c r="F47" s="325"/>
      <c r="G47" s="232">
        <f>'Regressie &amp; praktijk'!AI91*1000</f>
        <v>0.02</v>
      </c>
      <c r="H47" s="326"/>
      <c r="I47" s="328">
        <f>'Regressie &amp; praktijk'!CD91</f>
        <v>119999.99999999999</v>
      </c>
      <c r="J47" s="325">
        <f>'Regressie &amp; praktijk'!BE91*1000</f>
        <v>62.024694922716002</v>
      </c>
      <c r="K47" s="327">
        <f>'Regressie &amp; praktijk'!BK91</f>
        <v>3101.2347461357999</v>
      </c>
    </row>
    <row r="48" spans="1:11" x14ac:dyDescent="0.2">
      <c r="A48" s="323" t="str">
        <f>'Regressie &amp; praktijk'!D92</f>
        <v>Medemblik</v>
      </c>
      <c r="B48" s="319" t="str">
        <f>'Regressie &amp; praktijk'!J92</f>
        <v>Benzeen</v>
      </c>
      <c r="C48" s="319" t="str">
        <f>'Regressie &amp; praktijk'!G92</f>
        <v>onbekend</v>
      </c>
      <c r="D48" s="320">
        <f>'Regressie &amp; praktijk'!H92</f>
        <v>12</v>
      </c>
      <c r="E48" s="324">
        <f>'Regressie &amp; praktijk'!AG92*1000</f>
        <v>230</v>
      </c>
      <c r="F48" s="325"/>
      <c r="G48" s="232">
        <f>'Regressie &amp; praktijk'!AI92*1000</f>
        <v>0.02</v>
      </c>
      <c r="H48" s="326"/>
      <c r="I48" s="328">
        <f>'Regressie &amp; praktijk'!CD92</f>
        <v>11500</v>
      </c>
      <c r="J48" s="325">
        <f>'Regressie &amp; praktijk'!BE92*1000</f>
        <v>5.9362295475421556</v>
      </c>
      <c r="K48" s="327">
        <f>'Regressie &amp; praktijk'!BK92</f>
        <v>296.81147737710774</v>
      </c>
    </row>
    <row r="49" spans="1:11" x14ac:dyDescent="0.2">
      <c r="A49" s="323" t="str">
        <f>'Regressie &amp; praktijk'!D93</f>
        <v>Zaandam</v>
      </c>
      <c r="B49" s="319" t="str">
        <f>'Regressie &amp; praktijk'!J93</f>
        <v>Benzeen</v>
      </c>
      <c r="C49" s="319" t="str">
        <f>'Regressie &amp; praktijk'!G93</f>
        <v>onbekend</v>
      </c>
      <c r="D49" s="320">
        <f>'Regressie &amp; praktijk'!H93</f>
        <v>12</v>
      </c>
      <c r="E49" s="324">
        <f>'Regressie &amp; praktijk'!AG93*1000</f>
        <v>98</v>
      </c>
      <c r="F49" s="325"/>
      <c r="G49" s="232">
        <f>'Regressie &amp; praktijk'!AI93*1000</f>
        <v>0.02</v>
      </c>
      <c r="H49" s="326"/>
      <c r="I49" s="328">
        <f>'Regressie &amp; praktijk'!CD93</f>
        <v>4900</v>
      </c>
      <c r="J49" s="325">
        <f>'Regressie &amp; praktijk'!BE93*1000</f>
        <v>2.5291478602236381</v>
      </c>
      <c r="K49" s="327">
        <f>'Regressie &amp; praktijk'!BK93</f>
        <v>126.45739301118191</v>
      </c>
    </row>
    <row r="50" spans="1:11" x14ac:dyDescent="0.2">
      <c r="A50" s="323" t="str">
        <f>'Regressie &amp; praktijk'!D94</f>
        <v>Zaandam</v>
      </c>
      <c r="B50" s="319" t="str">
        <f>'Regressie &amp; praktijk'!J94</f>
        <v>Ethylbenzeen</v>
      </c>
      <c r="C50" s="319" t="str">
        <f>'Regressie &amp; praktijk'!G94</f>
        <v>onbekend</v>
      </c>
      <c r="D50" s="320">
        <f>'Regressie &amp; praktijk'!H94</f>
        <v>12</v>
      </c>
      <c r="E50" s="324">
        <f>'Regressie &amp; praktijk'!AG94*1000</f>
        <v>17000</v>
      </c>
      <c r="F50" s="325"/>
      <c r="G50" s="232">
        <f>'Regressie &amp; praktijk'!AI94*1000</f>
        <v>0.02</v>
      </c>
      <c r="H50" s="326"/>
      <c r="I50" s="328">
        <f>'Regressie &amp; praktijk'!CD94</f>
        <v>849999.99999999988</v>
      </c>
      <c r="J50" s="325">
        <f>'Regressie &amp; praktijk'!BE94*1000</f>
        <v>589.40869028500231</v>
      </c>
      <c r="K50" s="327">
        <f>'Regressie &amp; praktijk'!BK94</f>
        <v>29470.434514250112</v>
      </c>
    </row>
    <row r="51" spans="1:11" x14ac:dyDescent="0.2">
      <c r="A51" s="323" t="str">
        <f>'Regressie &amp; praktijk'!D95</f>
        <v>Zaandam</v>
      </c>
      <c r="B51" s="319" t="str">
        <f>'Regressie &amp; praktijk'!J95</f>
        <v>Naftaleen</v>
      </c>
      <c r="C51" s="319" t="str">
        <f>'Regressie &amp; praktijk'!G95</f>
        <v>onbekend</v>
      </c>
      <c r="D51" s="320">
        <f>'Regressie &amp; praktijk'!H95</f>
        <v>12</v>
      </c>
      <c r="E51" s="324">
        <f>'Regressie &amp; praktijk'!AG95*1000</f>
        <v>11000</v>
      </c>
      <c r="F51" s="325"/>
      <c r="G51" s="232">
        <f>'Regressie &amp; praktijk'!AI95*1000</f>
        <v>0.02</v>
      </c>
      <c r="H51" s="326"/>
      <c r="I51" s="328">
        <f>'Regressie &amp; praktijk'!CD95</f>
        <v>550000</v>
      </c>
      <c r="J51" s="325">
        <f>'Regressie &amp; praktijk'!BE95*1000</f>
        <v>380.04852123474228</v>
      </c>
      <c r="K51" s="327">
        <f>'Regressie &amp; praktijk'!BK95</f>
        <v>19002.426061737111</v>
      </c>
    </row>
    <row r="52" spans="1:11" x14ac:dyDescent="0.2">
      <c r="A52" s="323" t="str">
        <f>'Regressie &amp; praktijk'!D96</f>
        <v>Weesp</v>
      </c>
      <c r="B52" s="319" t="str">
        <f>'Regressie &amp; praktijk'!J96</f>
        <v>Naftaleen</v>
      </c>
      <c r="C52" s="319" t="str">
        <f>'Regressie &amp; praktijk'!G96</f>
        <v>onbekend</v>
      </c>
      <c r="D52" s="320">
        <f>'Regressie &amp; praktijk'!H96</f>
        <v>12</v>
      </c>
      <c r="E52" s="324">
        <f>'Regressie &amp; praktijk'!AG96*1000</f>
        <v>7100.0000000000009</v>
      </c>
      <c r="F52" s="325"/>
      <c r="G52" s="232">
        <f>'Regressie &amp; praktijk'!AI96*1000</f>
        <v>0.02</v>
      </c>
      <c r="H52" s="326"/>
      <c r="I52" s="328">
        <f>'Regressie &amp; praktijk'!CD96</f>
        <v>355000</v>
      </c>
      <c r="J52" s="325">
        <f>'Regressie &amp; praktijk'!BE96*1000</f>
        <v>211.62740594323168</v>
      </c>
      <c r="K52" s="327">
        <f>'Regressie &amp; praktijk'!BK96</f>
        <v>10581.370297161582</v>
      </c>
    </row>
    <row r="53" spans="1:11" x14ac:dyDescent="0.2">
      <c r="A53" s="323" t="str">
        <f>'Regressie &amp; praktijk'!D97</f>
        <v>Krommenie</v>
      </c>
      <c r="B53" s="319" t="str">
        <f>'Regressie &amp; praktijk'!J97</f>
        <v>Naftaleen</v>
      </c>
      <c r="C53" s="319" t="str">
        <f>'Regressie &amp; praktijk'!G97</f>
        <v>onbekend</v>
      </c>
      <c r="D53" s="320">
        <f>'Regressie &amp; praktijk'!H97</f>
        <v>12</v>
      </c>
      <c r="E53" s="324">
        <f>'Regressie &amp; praktijk'!AG97*1000</f>
        <v>2500</v>
      </c>
      <c r="F53" s="325"/>
      <c r="G53" s="232">
        <f>'Regressie &amp; praktijk'!AI97*1000</f>
        <v>0.02</v>
      </c>
      <c r="H53" s="326"/>
      <c r="I53" s="328">
        <f>'Regressie &amp; praktijk'!CD97</f>
        <v>124999.99999999999</v>
      </c>
      <c r="J53" s="325">
        <f>'Regressie &amp; praktijk'!BE97*1000</f>
        <v>62.605105346962759</v>
      </c>
      <c r="K53" s="327">
        <f>'Regressie &amp; praktijk'!BK97</f>
        <v>3130.2552673481377</v>
      </c>
    </row>
    <row r="54" spans="1:11" x14ac:dyDescent="0.2">
      <c r="A54" s="323" t="str">
        <f>'Regressie &amp; praktijk'!D98</f>
        <v>Zaandam</v>
      </c>
      <c r="B54" s="319" t="str">
        <f>'Regressie &amp; praktijk'!J98</f>
        <v>Naftaleen</v>
      </c>
      <c r="C54" s="319" t="str">
        <f>'Regressie &amp; praktijk'!G98</f>
        <v>onbekend</v>
      </c>
      <c r="D54" s="320">
        <f>'Regressie &amp; praktijk'!H98</f>
        <v>12</v>
      </c>
      <c r="E54" s="324">
        <f>'Regressie &amp; praktijk'!AG98*1000</f>
        <v>1200</v>
      </c>
      <c r="F54" s="325"/>
      <c r="G54" s="232">
        <f>'Regressie &amp; praktijk'!AI98*1000</f>
        <v>0.02</v>
      </c>
      <c r="H54" s="326"/>
      <c r="I54" s="328">
        <f>'Regressie &amp; praktijk'!CD98</f>
        <v>59999.999999999993</v>
      </c>
      <c r="J54" s="325">
        <f>'Regressie &amp; praktijk'!BE98*1000</f>
        <v>28.607070572910306</v>
      </c>
      <c r="K54" s="327">
        <f>'Regressie &amp; praktijk'!BK98</f>
        <v>1430.3535286455151</v>
      </c>
    </row>
    <row r="55" spans="1:11" x14ac:dyDescent="0.2">
      <c r="A55" s="323" t="str">
        <f>'Regressie &amp; praktijk'!D99</f>
        <v>Nieuwe Niedorp</v>
      </c>
      <c r="B55" s="319" t="str">
        <f>'Regressie &amp; praktijk'!J99</f>
        <v>Naftaleen</v>
      </c>
      <c r="C55" s="319" t="str">
        <f>'Regressie &amp; praktijk'!G99</f>
        <v>onbekend</v>
      </c>
      <c r="D55" s="320">
        <f>'Regressie &amp; praktijk'!H99</f>
        <v>12</v>
      </c>
      <c r="E55" s="324">
        <f>'Regressie &amp; praktijk'!AG99*1000</f>
        <v>370</v>
      </c>
      <c r="F55" s="325"/>
      <c r="G55" s="232">
        <f>'Regressie &amp; praktijk'!AI99*1000</f>
        <v>0.02</v>
      </c>
      <c r="H55" s="326"/>
      <c r="I55" s="328">
        <f>'Regressie &amp; praktijk'!CD99</f>
        <v>18500</v>
      </c>
      <c r="J55" s="325">
        <f>'Regressie &amp; praktijk'!BE99*1000</f>
        <v>8.5476176971888229</v>
      </c>
      <c r="K55" s="327">
        <f>'Regressie &amp; praktijk'!BK99</f>
        <v>427.3808848594411</v>
      </c>
    </row>
    <row r="56" spans="1:11" x14ac:dyDescent="0.2">
      <c r="A56" s="323" t="str">
        <f>'Regressie &amp; praktijk'!D100</f>
        <v>Zaandam</v>
      </c>
      <c r="B56" s="319" t="str">
        <f>'Regressie &amp; praktijk'!J100</f>
        <v>Naftaleen</v>
      </c>
      <c r="C56" s="319" t="str">
        <f>'Regressie &amp; praktijk'!G100</f>
        <v>onbekend</v>
      </c>
      <c r="D56" s="320">
        <f>'Regressie &amp; praktijk'!H100</f>
        <v>12</v>
      </c>
      <c r="E56" s="324">
        <f>'Regressie &amp; praktijk'!AG100*1000</f>
        <v>190</v>
      </c>
      <c r="F56" s="325"/>
      <c r="G56" s="232">
        <f>'Regressie &amp; praktijk'!AI100*1000</f>
        <v>0.02</v>
      </c>
      <c r="H56" s="326"/>
      <c r="I56" s="328">
        <f>'Regressie &amp; praktijk'!CD100</f>
        <v>9500</v>
      </c>
      <c r="J56" s="325">
        <f>'Regressie &amp; praktijk'!BE100*1000</f>
        <v>4.3595031015124279</v>
      </c>
      <c r="K56" s="327">
        <f>'Regressie &amp; praktijk'!BK100</f>
        <v>217.97515507562136</v>
      </c>
    </row>
    <row r="57" spans="1:11" x14ac:dyDescent="0.2">
      <c r="A57" s="323" t="str">
        <f>'Regressie &amp; praktijk'!D101</f>
        <v>Zaandam</v>
      </c>
      <c r="B57" s="319" t="str">
        <f>'Regressie &amp; praktijk'!J101</f>
        <v>Naftaleen</v>
      </c>
      <c r="C57" s="319" t="str">
        <f>'Regressie &amp; praktijk'!G101</f>
        <v>onbekend</v>
      </c>
      <c r="D57" s="320">
        <f>'Regressie &amp; praktijk'!H101</f>
        <v>12</v>
      </c>
      <c r="E57" s="324">
        <f>'Regressie &amp; praktijk'!AG101*1000</f>
        <v>180</v>
      </c>
      <c r="F57" s="325"/>
      <c r="G57" s="232">
        <f>'Regressie &amp; praktijk'!AI101*1000</f>
        <v>0.02</v>
      </c>
      <c r="H57" s="326"/>
      <c r="I57" s="328">
        <f>'Regressie &amp; praktijk'!CD101</f>
        <v>8999.9999999999982</v>
      </c>
      <c r="J57" s="325">
        <f>'Regressie &amp; praktijk'!BE101*1000</f>
        <v>4.1284920443377393</v>
      </c>
      <c r="K57" s="327">
        <f>'Regressie &amp; praktijk'!BK101</f>
        <v>206.42460221688694</v>
      </c>
    </row>
    <row r="58" spans="1:11" x14ac:dyDescent="0.2">
      <c r="A58" s="323" t="str">
        <f>'Regressie &amp; praktijk'!D102</f>
        <v>Koog ad Zaan</v>
      </c>
      <c r="B58" s="319" t="str">
        <f>'Regressie &amp; praktijk'!J102</f>
        <v>Naftaleen</v>
      </c>
      <c r="C58" s="319" t="str">
        <f>'Regressie &amp; praktijk'!G102</f>
        <v>onbekend</v>
      </c>
      <c r="D58" s="320">
        <f>'Regressie &amp; praktijk'!H102</f>
        <v>12</v>
      </c>
      <c r="E58" s="324">
        <f>'Regressie &amp; praktijk'!AG102*1000</f>
        <v>93</v>
      </c>
      <c r="F58" s="325"/>
      <c r="G58" s="232">
        <f>'Regressie &amp; praktijk'!AI102*1000</f>
        <v>0.02</v>
      </c>
      <c r="H58" s="326"/>
      <c r="I58" s="328">
        <f>'Regressie &amp; praktijk'!CD102</f>
        <v>4650</v>
      </c>
      <c r="J58" s="325">
        <f>'Regressie &amp; praktijk'!BE102*1000</f>
        <v>2.1260390672159257</v>
      </c>
      <c r="K58" s="327">
        <f>'Regressie &amp; praktijk'!BK102</f>
        <v>106.30195336079628</v>
      </c>
    </row>
    <row r="59" spans="1:11" x14ac:dyDescent="0.2">
      <c r="A59" s="323" t="str">
        <f>'Regressie &amp; praktijk'!D103</f>
        <v>Wormerveer</v>
      </c>
      <c r="B59" s="319" t="str">
        <f>'Regressie &amp; praktijk'!J103</f>
        <v>Naftaleen</v>
      </c>
      <c r="C59" s="319" t="str">
        <f>'Regressie &amp; praktijk'!G103</f>
        <v>onbekend</v>
      </c>
      <c r="D59" s="320">
        <f>'Regressie &amp; praktijk'!H103</f>
        <v>12</v>
      </c>
      <c r="E59" s="324">
        <f>'Regressie &amp; praktijk'!AG103*1000</f>
        <v>84</v>
      </c>
      <c r="F59" s="325"/>
      <c r="G59" s="232">
        <f>'Regressie &amp; praktijk'!AI103*1000</f>
        <v>0.02</v>
      </c>
      <c r="H59" s="326"/>
      <c r="I59" s="328">
        <f>'Regressie &amp; praktijk'!CD103</f>
        <v>4200</v>
      </c>
      <c r="J59" s="325">
        <f>'Regressie &amp; praktijk'!BE103*1000</f>
        <v>1.9196390653957909</v>
      </c>
      <c r="K59" s="327">
        <f>'Regressie &amp; praktijk'!BK103</f>
        <v>95.981953269789543</v>
      </c>
    </row>
    <row r="60" spans="1:11" x14ac:dyDescent="0.2">
      <c r="A60" s="323" t="str">
        <f>'Regressie &amp; praktijk'!D104</f>
        <v>Oosterleek</v>
      </c>
      <c r="B60" s="319" t="str">
        <f>'Regressie &amp; praktijk'!J104</f>
        <v>Naftaleen</v>
      </c>
      <c r="C60" s="319" t="str">
        <f>'Regressie &amp; praktijk'!G104</f>
        <v>onbekend</v>
      </c>
      <c r="D60" s="320">
        <f>'Regressie &amp; praktijk'!H104</f>
        <v>12</v>
      </c>
      <c r="E60" s="324">
        <f>'Regressie &amp; praktijk'!AG104*1000</f>
        <v>74</v>
      </c>
      <c r="F60" s="325"/>
      <c r="G60" s="232">
        <f>'Regressie &amp; praktijk'!AI104*1000</f>
        <v>0.02</v>
      </c>
      <c r="H60" s="326"/>
      <c r="I60" s="328">
        <f>'Regressie &amp; praktijk'!CD104</f>
        <v>3699.9999999999995</v>
      </c>
      <c r="J60" s="325">
        <f>'Regressie &amp; praktijk'!BE104*1000</f>
        <v>1.6904703972379496</v>
      </c>
      <c r="K60" s="327">
        <f>'Regressie &amp; praktijk'!BK104</f>
        <v>84.523519861897469</v>
      </c>
    </row>
    <row r="61" spans="1:11" x14ac:dyDescent="0.2">
      <c r="A61" s="323" t="str">
        <f>'Regressie &amp; praktijk'!D105</f>
        <v>Schagerbrug</v>
      </c>
      <c r="B61" s="319" t="str">
        <f>'Regressie &amp; praktijk'!J105</f>
        <v>Naftaleen</v>
      </c>
      <c r="C61" s="319" t="str">
        <f>'Regressie &amp; praktijk'!G105</f>
        <v>onbekend</v>
      </c>
      <c r="D61" s="320">
        <f>'Regressie &amp; praktijk'!H105</f>
        <v>12</v>
      </c>
      <c r="E61" s="324">
        <f>'Regressie &amp; praktijk'!AG105*1000</f>
        <v>70</v>
      </c>
      <c r="F61" s="325"/>
      <c r="G61" s="232">
        <f>'Regressie &amp; praktijk'!AI105*1000</f>
        <v>0.02</v>
      </c>
      <c r="H61" s="326"/>
      <c r="I61" s="328">
        <f>'Regressie &amp; praktijk'!CD105</f>
        <v>3500</v>
      </c>
      <c r="J61" s="325">
        <f>'Regressie &amp; praktijk'!BE105*1000</f>
        <v>1.5988514423460303</v>
      </c>
      <c r="K61" s="327">
        <f>'Regressie &amp; praktijk'!BK105</f>
        <v>79.942572117301509</v>
      </c>
    </row>
    <row r="62" spans="1:11" x14ac:dyDescent="0.2">
      <c r="A62" s="323" t="str">
        <f>'Regressie &amp; praktijk'!D106</f>
        <v>Marken</v>
      </c>
      <c r="B62" s="319" t="str">
        <f>'Regressie &amp; praktijk'!J106</f>
        <v>Naftaleen</v>
      </c>
      <c r="C62" s="319" t="str">
        <f>'Regressie &amp; praktijk'!G106</f>
        <v>onbekend</v>
      </c>
      <c r="D62" s="320">
        <f>'Regressie &amp; praktijk'!H106</f>
        <v>12</v>
      </c>
      <c r="E62" s="324">
        <f>'Regressie &amp; praktijk'!AG106*1000</f>
        <v>40</v>
      </c>
      <c r="F62" s="325"/>
      <c r="G62" s="232">
        <f>'Regressie &amp; praktijk'!AI106*1000</f>
        <v>0.02</v>
      </c>
      <c r="H62" s="326"/>
      <c r="I62" s="328">
        <f>'Regressie &amp; praktijk'!CD106</f>
        <v>1999.9999999999998</v>
      </c>
      <c r="J62" s="325">
        <f>'Regressie &amp; praktijk'!BE106*1000</f>
        <v>0.91259216346410199</v>
      </c>
      <c r="K62" s="327">
        <f>'Regressie &amp; praktijk'!BK106</f>
        <v>45.629608173205099</v>
      </c>
    </row>
    <row r="63" spans="1:11" x14ac:dyDescent="0.2">
      <c r="A63" s="323" t="str">
        <f>'Regressie &amp; praktijk'!D107</f>
        <v>Alkmaar</v>
      </c>
      <c r="B63" s="319" t="str">
        <f>'Regressie &amp; praktijk'!J107</f>
        <v>Tetrachlooretheen</v>
      </c>
      <c r="C63" s="319" t="str">
        <f>'Regressie &amp; praktijk'!G107</f>
        <v>onbekend</v>
      </c>
      <c r="D63" s="320">
        <f>'Regressie &amp; praktijk'!H107</f>
        <v>12</v>
      </c>
      <c r="E63" s="324">
        <f>'Regressie &amp; praktijk'!AG107*1000</f>
        <v>920</v>
      </c>
      <c r="F63" s="325"/>
      <c r="G63" s="232">
        <f>'Regressie &amp; praktijk'!AI107*1000</f>
        <v>0.02</v>
      </c>
      <c r="H63" s="326"/>
      <c r="I63" s="328">
        <f>'Regressie &amp; praktijk'!CD107</f>
        <v>46000</v>
      </c>
      <c r="J63" s="325">
        <f>'Regressie &amp; praktijk'!BE107*1000</f>
        <v>11.035025146272465</v>
      </c>
      <c r="K63" s="327">
        <f>'Regressie &amp; praktijk'!BK107</f>
        <v>551.75125731362323</v>
      </c>
    </row>
    <row r="64" spans="1:11" x14ac:dyDescent="0.2">
      <c r="A64" s="323" t="str">
        <f>'Regressie &amp; praktijk'!D108</f>
        <v>Haarlem</v>
      </c>
      <c r="B64" s="319" t="str">
        <f>'Regressie &amp; praktijk'!J108</f>
        <v>Tetrachlooretheen</v>
      </c>
      <c r="C64" s="319" t="str">
        <f>'Regressie &amp; praktijk'!G108</f>
        <v>onbekend</v>
      </c>
      <c r="D64" s="320">
        <f>'Regressie &amp; praktijk'!H108</f>
        <v>12</v>
      </c>
      <c r="E64" s="324">
        <f>'Regressie &amp; praktijk'!AG108*1000</f>
        <v>260</v>
      </c>
      <c r="F64" s="325"/>
      <c r="G64" s="232">
        <f>'Regressie &amp; praktijk'!AI108*1000</f>
        <v>0.02</v>
      </c>
      <c r="H64" s="326"/>
      <c r="I64" s="328">
        <f>'Regressie &amp; praktijk'!CD108</f>
        <v>13000</v>
      </c>
      <c r="J64" s="325">
        <f>'Regressie &amp; praktijk'!BE108*1000</f>
        <v>3.0978166012228976</v>
      </c>
      <c r="K64" s="327">
        <f>'Regressie &amp; praktijk'!BK108</f>
        <v>154.89083006114487</v>
      </c>
    </row>
    <row r="65" spans="1:11" x14ac:dyDescent="0.2">
      <c r="A65" s="323" t="str">
        <f>'Regressie &amp; praktijk'!D109</f>
        <v>Alkmaar</v>
      </c>
      <c r="B65" s="319" t="str">
        <f>'Regressie &amp; praktijk'!J109</f>
        <v>Vinylchloride</v>
      </c>
      <c r="C65" s="319" t="str">
        <f>'Regressie &amp; praktijk'!G109</f>
        <v>onbekend</v>
      </c>
      <c r="D65" s="320">
        <f>'Regressie &amp; praktijk'!H109</f>
        <v>12</v>
      </c>
      <c r="E65" s="324">
        <f>'Regressie &amp; praktijk'!AG109*1000</f>
        <v>2700</v>
      </c>
      <c r="F65" s="325"/>
      <c r="G65" s="232">
        <f>'Regressie &amp; praktijk'!AI109*1000</f>
        <v>0.2</v>
      </c>
      <c r="H65" s="326"/>
      <c r="I65" s="328">
        <f>'Regressie &amp; praktijk'!CD109</f>
        <v>13500</v>
      </c>
      <c r="J65" s="325">
        <f>'Regressie &amp; praktijk'!BE109*1000</f>
        <v>38.01005880756481</v>
      </c>
      <c r="K65" s="327">
        <f>'Regressie &amp; praktijk'!BK109</f>
        <v>190.05029403782405</v>
      </c>
    </row>
    <row r="66" spans="1:11" x14ac:dyDescent="0.2">
      <c r="A66" s="323" t="str">
        <f>'Regressie &amp; praktijk'!D110</f>
        <v>Wormerveer</v>
      </c>
      <c r="B66" s="319" t="str">
        <f>'Regressie &amp; praktijk'!J110</f>
        <v>Vinylchloride</v>
      </c>
      <c r="C66" s="319" t="str">
        <f>'Regressie &amp; praktijk'!G110</f>
        <v>onbekend</v>
      </c>
      <c r="D66" s="320">
        <f>'Regressie &amp; praktijk'!H110</f>
        <v>12</v>
      </c>
      <c r="E66" s="324">
        <f>'Regressie &amp; praktijk'!AG110*1000</f>
        <v>11</v>
      </c>
      <c r="F66" s="325"/>
      <c r="G66" s="232">
        <f>'Regressie &amp; praktijk'!AI110*1000</f>
        <v>0.2</v>
      </c>
      <c r="H66" s="326"/>
      <c r="I66" s="328">
        <f>'Regressie &amp; praktijk'!CD110</f>
        <v>54.999999999999993</v>
      </c>
      <c r="J66" s="325">
        <f>'Regressie &amp; praktijk'!BE110*1000</f>
        <v>0.15287911165846771</v>
      </c>
      <c r="K66" s="327">
        <f>'Regressie &amp; praktijk'!BK110</f>
        <v>0.76439555829233852</v>
      </c>
    </row>
    <row r="67" spans="1:11" x14ac:dyDescent="0.2">
      <c r="A67" s="323" t="str">
        <f>'Regressie &amp; praktijk'!D111</f>
        <v>Alkmaar</v>
      </c>
      <c r="B67" s="319" t="str">
        <f>'Regressie &amp; praktijk'!J111</f>
        <v>Xyleen</v>
      </c>
      <c r="C67" s="319" t="str">
        <f>'Regressie &amp; praktijk'!G111</f>
        <v>onbekend</v>
      </c>
      <c r="D67" s="320">
        <f>'Regressie &amp; praktijk'!H111</f>
        <v>12</v>
      </c>
      <c r="E67" s="324">
        <f>'Regressie &amp; praktijk'!AG111*1000</f>
        <v>10000</v>
      </c>
      <c r="F67" s="325"/>
      <c r="G67" s="232">
        <f>'Regressie &amp; praktijk'!AI111*1000</f>
        <v>0.02</v>
      </c>
      <c r="H67" s="326"/>
      <c r="I67" s="328">
        <f>'Regressie &amp; praktijk'!CD111</f>
        <v>499999.99999999994</v>
      </c>
      <c r="J67" s="325">
        <f>'Regressie &amp; praktijk'!BE111*1000</f>
        <v>322.98070296882412</v>
      </c>
      <c r="K67" s="327">
        <f>'Regressie &amp; praktijk'!BK111</f>
        <v>16149.035148441206</v>
      </c>
    </row>
    <row r="68" spans="1:11" x14ac:dyDescent="0.2">
      <c r="A68" s="323" t="str">
        <f>'Regressie &amp; praktijk'!D112</f>
        <v>Medemblik</v>
      </c>
      <c r="B68" s="319" t="str">
        <f>'Regressie &amp; praktijk'!J112</f>
        <v>Xyleen</v>
      </c>
      <c r="C68" s="319" t="str">
        <f>'Regressie &amp; praktijk'!G112</f>
        <v>onbekend</v>
      </c>
      <c r="D68" s="320">
        <f>'Regressie &amp; praktijk'!H112</f>
        <v>12</v>
      </c>
      <c r="E68" s="324">
        <f>'Regressie &amp; praktijk'!AG112*1000</f>
        <v>4300</v>
      </c>
      <c r="F68" s="325"/>
      <c r="G68" s="232">
        <f>'Regressie &amp; praktijk'!AI112*1000</f>
        <v>0.02</v>
      </c>
      <c r="H68" s="326"/>
      <c r="I68" s="328">
        <f>'Regressie &amp; praktijk'!CD112</f>
        <v>214999.99999999997</v>
      </c>
      <c r="J68" s="325">
        <f>'Regressie &amp; praktijk'!BE112*1000</f>
        <v>134.3970278971905</v>
      </c>
      <c r="K68" s="327">
        <f>'Regressie &amp; praktijk'!BK112</f>
        <v>6719.8513948595237</v>
      </c>
    </row>
    <row r="69" spans="1:11" x14ac:dyDescent="0.2">
      <c r="A69" s="323" t="str">
        <f>'Regressie &amp; praktijk'!D113</f>
        <v>tZand</v>
      </c>
      <c r="B69" s="319" t="str">
        <f>'Regressie &amp; praktijk'!J113</f>
        <v>Xyleen</v>
      </c>
      <c r="C69" s="319" t="str">
        <f>'Regressie &amp; praktijk'!G113</f>
        <v>onbekend</v>
      </c>
      <c r="D69" s="320">
        <f>'Regressie &amp; praktijk'!H113</f>
        <v>12</v>
      </c>
      <c r="E69" s="324">
        <f>'Regressie &amp; praktijk'!AG113*1000</f>
        <v>1600</v>
      </c>
      <c r="F69" s="325"/>
      <c r="G69" s="232">
        <f>'Regressie &amp; praktijk'!AI113*1000</f>
        <v>0.02</v>
      </c>
      <c r="H69" s="326"/>
      <c r="I69" s="328">
        <f>'Regressie &amp; praktijk'!CD113</f>
        <v>80000</v>
      </c>
      <c r="J69" s="325">
        <f>'Regressie &amp; praktijk'!BE113*1000</f>
        <v>49.236667391016915</v>
      </c>
      <c r="K69" s="327">
        <f>'Regressie &amp; praktijk'!BK113</f>
        <v>2461.8333695508459</v>
      </c>
    </row>
    <row r="70" spans="1:11" x14ac:dyDescent="0.2">
      <c r="A70" s="323" t="str">
        <f>'Regressie &amp; praktijk'!D114</f>
        <v>Winkel</v>
      </c>
      <c r="B70" s="319" t="str">
        <f>'Regressie &amp; praktijk'!J114</f>
        <v>Xyleen</v>
      </c>
      <c r="C70" s="319" t="str">
        <f>'Regressie &amp; praktijk'!G114</f>
        <v>onbekend</v>
      </c>
      <c r="D70" s="320">
        <f>'Regressie &amp; praktijk'!H114</f>
        <v>12</v>
      </c>
      <c r="E70" s="324">
        <f>'Regressie &amp; praktijk'!AG114*1000</f>
        <v>690.00000000000011</v>
      </c>
      <c r="F70" s="325"/>
      <c r="G70" s="232">
        <f>'Regressie &amp; praktijk'!AI114*1000</f>
        <v>0.02</v>
      </c>
      <c r="H70" s="326"/>
      <c r="I70" s="328">
        <f>'Regressie &amp; praktijk'!CD114</f>
        <v>34500</v>
      </c>
      <c r="J70" s="325">
        <f>'Regressie &amp; praktijk'!BE114*1000</f>
        <v>21.122333779908875</v>
      </c>
      <c r="K70" s="327">
        <f>'Regressie &amp; praktijk'!BK114</f>
        <v>1056.1166889954436</v>
      </c>
    </row>
    <row r="71" spans="1:11" x14ac:dyDescent="0.2">
      <c r="A71" s="323" t="str">
        <f>'Regressie &amp; praktijk'!D115</f>
        <v>Ankeveen</v>
      </c>
      <c r="B71" s="319" t="str">
        <f>'Regressie &amp; praktijk'!J115</f>
        <v>Xyleen</v>
      </c>
      <c r="C71" s="319" t="str">
        <f>'Regressie &amp; praktijk'!G115</f>
        <v>onbekend</v>
      </c>
      <c r="D71" s="320">
        <f>'Regressie &amp; praktijk'!H115</f>
        <v>12</v>
      </c>
      <c r="E71" s="324">
        <f>'Regressie &amp; praktijk'!AG115*1000</f>
        <v>590</v>
      </c>
      <c r="F71" s="325"/>
      <c r="G71" s="232">
        <f>'Regressie &amp; praktijk'!AI115*1000</f>
        <v>0.02</v>
      </c>
      <c r="H71" s="326"/>
      <c r="I71" s="328">
        <f>'Regressie &amp; praktijk'!CD115</f>
        <v>29499.999999999996</v>
      </c>
      <c r="J71" s="325">
        <f>'Regressie &amp; praktijk'!BE115*1000</f>
        <v>18.050728244690792</v>
      </c>
      <c r="K71" s="327">
        <f>'Regressie &amp; praktijk'!BK115</f>
        <v>902.5364122345394</v>
      </c>
    </row>
    <row r="72" spans="1:11" x14ac:dyDescent="0.2">
      <c r="A72" s="323" t="str">
        <f>'Regressie &amp; praktijk'!D116</f>
        <v>Haarlem</v>
      </c>
      <c r="B72" s="319" t="str">
        <f>'Regressie &amp; praktijk'!J116</f>
        <v>Xyleen</v>
      </c>
      <c r="C72" s="319" t="str">
        <f>'Regressie &amp; praktijk'!G116</f>
        <v>onbekend</v>
      </c>
      <c r="D72" s="320">
        <f>'Regressie &amp; praktijk'!H116</f>
        <v>12</v>
      </c>
      <c r="E72" s="324">
        <f>'Regressie &amp; praktijk'!AG116*1000</f>
        <v>570.00000000000011</v>
      </c>
      <c r="F72" s="325"/>
      <c r="G72" s="232">
        <f>'Regressie &amp; praktijk'!AI116*1000</f>
        <v>0.02</v>
      </c>
      <c r="H72" s="326"/>
      <c r="I72" s="328">
        <f>'Regressie &amp; praktijk'!CD116</f>
        <v>28500</v>
      </c>
      <c r="J72" s="325">
        <f>'Regressie &amp; praktijk'!BE116*1000</f>
        <v>17.436830790675362</v>
      </c>
      <c r="K72" s="327">
        <f>'Regressie &amp; praktijk'!BK116</f>
        <v>871.84153953376801</v>
      </c>
    </row>
    <row r="73" spans="1:11" x14ac:dyDescent="0.2">
      <c r="A73" s="329" t="str">
        <f>'Regressie &amp; praktijk'!D117</f>
        <v>Nieuwe Niedorp</v>
      </c>
      <c r="B73" s="330" t="str">
        <f>'Regressie &amp; praktijk'!J117</f>
        <v>Xyleen</v>
      </c>
      <c r="C73" s="330" t="str">
        <f>'Regressie &amp; praktijk'!G117</f>
        <v>onbekend</v>
      </c>
      <c r="D73" s="331">
        <f>'Regressie &amp; praktijk'!H117</f>
        <v>12</v>
      </c>
      <c r="E73" s="332">
        <f>'Regressie &amp; praktijk'!AG117*1000</f>
        <v>220</v>
      </c>
      <c r="F73" s="333"/>
      <c r="G73" s="334">
        <f>'Regressie &amp; praktijk'!AI117*1000</f>
        <v>0.02</v>
      </c>
      <c r="H73" s="335"/>
      <c r="I73" s="356">
        <f>'Regressie &amp; praktijk'!CD117</f>
        <v>11000</v>
      </c>
      <c r="J73" s="333">
        <f>'Regressie &amp; praktijk'!BE117*1000</f>
        <v>6.7164540631009304</v>
      </c>
      <c r="K73" s="336">
        <f>'Regressie &amp; praktijk'!BK117</f>
        <v>335.8227031550465</v>
      </c>
    </row>
    <row r="74" spans="1:11" x14ac:dyDescent="0.2">
      <c r="A74" s="337"/>
      <c r="B74" s="232"/>
      <c r="C74" s="232"/>
      <c r="D74" s="259"/>
      <c r="E74" s="232"/>
      <c r="F74" s="232"/>
      <c r="G74" s="232"/>
      <c r="H74" s="232"/>
      <c r="I74" s="232"/>
      <c r="J74" s="232"/>
      <c r="K74" s="232"/>
    </row>
    <row r="75" spans="1:11" x14ac:dyDescent="0.2">
      <c r="A75" s="337" t="s">
        <v>344</v>
      </c>
      <c r="B75" s="232"/>
      <c r="C75" s="232"/>
      <c r="D75" s="259"/>
      <c r="E75" s="232"/>
      <c r="F75" s="232"/>
      <c r="G75" s="232"/>
      <c r="H75" s="232"/>
      <c r="I75" s="232"/>
      <c r="J75" s="232"/>
      <c r="K75" s="232"/>
    </row>
    <row r="76" spans="1:11" x14ac:dyDescent="0.2">
      <c r="A76" s="232" t="s">
        <v>348</v>
      </c>
      <c r="B76" s="232"/>
      <c r="C76" s="232"/>
      <c r="D76" s="259"/>
      <c r="E76" s="232"/>
      <c r="F76" s="232"/>
      <c r="G76" s="232"/>
      <c r="H76" s="232"/>
      <c r="I76" s="232"/>
      <c r="J76" s="232"/>
      <c r="K76" s="232"/>
    </row>
    <row r="77" spans="1:11" x14ac:dyDescent="0.2">
      <c r="A77" s="232" t="s">
        <v>347</v>
      </c>
      <c r="B77" s="232"/>
      <c r="C77" s="232"/>
      <c r="D77" s="259"/>
      <c r="E77" s="232"/>
      <c r="F77" s="232"/>
      <c r="G77" s="232"/>
      <c r="H77" s="232"/>
      <c r="I77" s="232"/>
      <c r="J77" s="232"/>
      <c r="K77" s="232"/>
    </row>
    <row r="78" spans="1:11" x14ac:dyDescent="0.2">
      <c r="A78" s="232" t="s">
        <v>343</v>
      </c>
      <c r="B78" s="232"/>
      <c r="C78" s="232"/>
      <c r="D78" s="259"/>
      <c r="E78" s="232"/>
      <c r="F78" s="232"/>
      <c r="G78" s="232"/>
      <c r="H78" s="232"/>
      <c r="I78" s="232"/>
      <c r="J78" s="232"/>
      <c r="K78" s="2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opLeftCell="A7" zoomScale="85" zoomScaleNormal="85" workbookViewId="0">
      <selection activeCell="A20" sqref="A20:F32"/>
    </sheetView>
  </sheetViews>
  <sheetFormatPr defaultRowHeight="12.75" x14ac:dyDescent="0.2"/>
  <cols>
    <col min="1" max="1" width="24.5703125" customWidth="1"/>
    <col min="2" max="2" width="13.42578125" customWidth="1"/>
    <col min="3" max="8" width="10.85546875" customWidth="1"/>
    <col min="9" max="9" width="9.5703125" bestFit="1" customWidth="1"/>
  </cols>
  <sheetData>
    <row r="1" spans="1:8" x14ac:dyDescent="0.2">
      <c r="A1" s="250" t="s">
        <v>297</v>
      </c>
      <c r="B1" s="250" t="s">
        <v>305</v>
      </c>
      <c r="C1" s="126" t="s">
        <v>300</v>
      </c>
      <c r="D1" s="156"/>
      <c r="E1" s="156"/>
      <c r="F1" s="157"/>
      <c r="G1" s="156" t="s">
        <v>301</v>
      </c>
      <c r="H1" s="157"/>
    </row>
    <row r="2" spans="1:8" x14ac:dyDescent="0.2">
      <c r="A2" s="236" t="s">
        <v>298</v>
      </c>
      <c r="B2" s="55"/>
      <c r="C2" s="126"/>
      <c r="D2" s="156"/>
      <c r="E2" s="268" t="s">
        <v>309</v>
      </c>
      <c r="F2" s="156" t="s">
        <v>310</v>
      </c>
      <c r="G2" s="156"/>
      <c r="H2" s="157"/>
    </row>
    <row r="3" spans="1:8" x14ac:dyDescent="0.2">
      <c r="A3" s="236"/>
      <c r="B3" s="236"/>
      <c r="C3" s="46" t="s">
        <v>273</v>
      </c>
      <c r="D3" s="46"/>
      <c r="E3" s="55" t="s">
        <v>304</v>
      </c>
      <c r="F3" s="51"/>
      <c r="G3" s="55" t="s">
        <v>304</v>
      </c>
      <c r="H3" s="51"/>
    </row>
    <row r="4" spans="1:8" x14ac:dyDescent="0.2">
      <c r="A4" s="236"/>
      <c r="B4" s="236"/>
      <c r="C4" s="39" t="s">
        <v>274</v>
      </c>
      <c r="D4" s="39" t="s">
        <v>275</v>
      </c>
      <c r="E4" s="40" t="s">
        <v>274</v>
      </c>
      <c r="F4" s="42" t="s">
        <v>275</v>
      </c>
      <c r="G4" s="40" t="s">
        <v>274</v>
      </c>
      <c r="H4" s="42" t="s">
        <v>275</v>
      </c>
    </row>
    <row r="5" spans="1:8" x14ac:dyDescent="0.2">
      <c r="A5" s="250"/>
      <c r="B5" s="250"/>
      <c r="C5" s="149"/>
      <c r="D5" s="252"/>
      <c r="E5" s="265" t="s">
        <v>299</v>
      </c>
      <c r="F5" s="253"/>
      <c r="G5" s="253"/>
      <c r="H5" s="254"/>
    </row>
    <row r="6" spans="1:8" x14ac:dyDescent="0.2">
      <c r="A6" s="237" t="s">
        <v>276</v>
      </c>
      <c r="B6" s="236" t="s">
        <v>277</v>
      </c>
      <c r="C6" s="255">
        <f>E23</f>
        <v>8.9279486642951777</v>
      </c>
      <c r="D6" s="256">
        <f t="shared" ref="D6:D7" si="0">F23</f>
        <v>1.8307008952231718</v>
      </c>
      <c r="E6" s="256">
        <v>1.8917780934975503</v>
      </c>
      <c r="F6" s="257">
        <f t="shared" ref="F6:F7" si="1">0.34*E6</f>
        <v>0.64320455178916713</v>
      </c>
      <c r="G6" s="257">
        <v>1.159451292437939</v>
      </c>
      <c r="H6" s="258">
        <f>0.182*G6</f>
        <v>0.21102013522370489</v>
      </c>
    </row>
    <row r="7" spans="1:8" x14ac:dyDescent="0.2">
      <c r="A7" s="129" t="s">
        <v>278</v>
      </c>
      <c r="B7" s="236"/>
      <c r="C7" s="255">
        <f t="shared" ref="C7" si="2">E24</f>
        <v>407.7240528506378</v>
      </c>
      <c r="D7" s="256">
        <f t="shared" si="0"/>
        <v>50.336712734200944</v>
      </c>
      <c r="E7" s="256">
        <v>26.164081719049697</v>
      </c>
      <c r="F7" s="256">
        <f t="shared" si="1"/>
        <v>8.895787784476898</v>
      </c>
      <c r="G7" s="256">
        <v>16.305187055518452</v>
      </c>
      <c r="H7" s="258">
        <f>0.182*G7</f>
        <v>2.9675440441043581</v>
      </c>
    </row>
    <row r="8" spans="1:8" x14ac:dyDescent="0.2">
      <c r="A8" s="250" t="s">
        <v>280</v>
      </c>
      <c r="B8" s="236"/>
      <c r="C8" s="255">
        <f>E25</f>
        <v>47.55603908475225</v>
      </c>
      <c r="D8" s="256">
        <f>F25</f>
        <v>4.9929899880955864</v>
      </c>
      <c r="E8" s="256">
        <v>1.1570162217124873</v>
      </c>
      <c r="F8" s="261">
        <f>0.34*E8</f>
        <v>0.3933855153822457</v>
      </c>
      <c r="G8" s="256">
        <v>1</v>
      </c>
      <c r="H8" s="262">
        <f>0.182*G8</f>
        <v>0.182</v>
      </c>
    </row>
    <row r="9" spans="1:8" x14ac:dyDescent="0.2">
      <c r="A9" s="159"/>
      <c r="B9" s="250"/>
      <c r="C9" s="255"/>
      <c r="D9" s="256"/>
      <c r="E9" s="256"/>
      <c r="F9" s="261"/>
      <c r="G9" s="256"/>
      <c r="H9" s="262"/>
    </row>
    <row r="10" spans="1:8" x14ac:dyDescent="0.2">
      <c r="A10" s="44" t="s">
        <v>276</v>
      </c>
      <c r="B10" s="236" t="s">
        <v>281</v>
      </c>
      <c r="C10" s="255">
        <f t="shared" ref="C10:D12" si="3">E27</f>
        <v>2.5885188769837901</v>
      </c>
      <c r="D10" s="257">
        <f t="shared" si="3"/>
        <v>0.44684807232974405</v>
      </c>
      <c r="E10" s="256">
        <v>0.85874340109485225</v>
      </c>
      <c r="F10" s="257">
        <f t="shared" ref="F10:F15" si="4">0.34*E10</f>
        <v>0.29197275637224979</v>
      </c>
      <c r="G10" s="259" t="s">
        <v>254</v>
      </c>
      <c r="H10" s="260" t="s">
        <v>254</v>
      </c>
    </row>
    <row r="11" spans="1:8" x14ac:dyDescent="0.2">
      <c r="A11" s="44" t="s">
        <v>278</v>
      </c>
      <c r="B11" s="236" t="s">
        <v>282</v>
      </c>
      <c r="C11" s="255">
        <f t="shared" si="3"/>
        <v>20.70335479434155</v>
      </c>
      <c r="D11" s="256">
        <f t="shared" si="3"/>
        <v>6.7819224144874193</v>
      </c>
      <c r="E11" s="256">
        <v>4.1746465120419742</v>
      </c>
      <c r="F11" s="256">
        <f t="shared" si="4"/>
        <v>1.4193798140942713</v>
      </c>
      <c r="G11" s="259" t="s">
        <v>254</v>
      </c>
      <c r="H11" s="260" t="s">
        <v>254</v>
      </c>
    </row>
    <row r="12" spans="1:8" x14ac:dyDescent="0.2">
      <c r="A12" s="159" t="s">
        <v>280</v>
      </c>
      <c r="B12" s="237"/>
      <c r="C12" s="255">
        <f t="shared" si="3"/>
        <v>7.1624688891175934</v>
      </c>
      <c r="D12" s="256">
        <f t="shared" si="3"/>
        <v>2.460162518377738</v>
      </c>
      <c r="E12" s="256">
        <v>1</v>
      </c>
      <c r="F12" s="257">
        <f t="shared" si="4"/>
        <v>0.34</v>
      </c>
      <c r="G12" s="259" t="s">
        <v>254</v>
      </c>
      <c r="H12" s="260" t="s">
        <v>254</v>
      </c>
    </row>
    <row r="13" spans="1:8" x14ac:dyDescent="0.2">
      <c r="A13" s="250"/>
      <c r="B13" s="51"/>
      <c r="C13" s="255"/>
      <c r="D13" s="256"/>
      <c r="E13" s="256"/>
      <c r="F13" s="257"/>
      <c r="G13" s="259"/>
      <c r="H13" s="260"/>
    </row>
    <row r="14" spans="1:8" x14ac:dyDescent="0.2">
      <c r="A14" s="237" t="s">
        <v>302</v>
      </c>
      <c r="B14" s="51" t="s">
        <v>320</v>
      </c>
      <c r="C14" s="11">
        <f>E31</f>
        <v>1</v>
      </c>
      <c r="D14" s="257">
        <f>F31</f>
        <v>0.30889790452582944</v>
      </c>
      <c r="E14" s="257">
        <v>0.23710169979690052</v>
      </c>
      <c r="F14" s="257">
        <f t="shared" si="4"/>
        <v>8.0614577930946188E-2</v>
      </c>
      <c r="G14" s="261">
        <v>0.1133209511818413</v>
      </c>
      <c r="H14" s="262">
        <f>0.182*G14</f>
        <v>2.0624413115095115E-2</v>
      </c>
    </row>
    <row r="15" spans="1:8" x14ac:dyDescent="0.2">
      <c r="A15" s="44" t="s">
        <v>303</v>
      </c>
      <c r="B15" s="237"/>
      <c r="C15" s="266">
        <f>E32</f>
        <v>3.2373155833965264</v>
      </c>
      <c r="D15" s="263">
        <f>F32</f>
        <v>1</v>
      </c>
      <c r="E15" s="264">
        <v>0.77007389677625804</v>
      </c>
      <c r="F15" s="264">
        <f t="shared" si="4"/>
        <v>0.26182512490392773</v>
      </c>
      <c r="G15" s="264">
        <v>0.36805095255640763</v>
      </c>
      <c r="H15" s="272">
        <v>7.6915296835069397E-2</v>
      </c>
    </row>
    <row r="16" spans="1:8" x14ac:dyDescent="0.2">
      <c r="E16" s="232"/>
      <c r="F16" s="232"/>
    </row>
    <row r="20" spans="1:6" x14ac:dyDescent="0.2">
      <c r="A20" s="250" t="s">
        <v>297</v>
      </c>
      <c r="B20" s="159" t="s">
        <v>305</v>
      </c>
      <c r="C20" s="159" t="s">
        <v>311</v>
      </c>
      <c r="D20" s="269"/>
      <c r="E20" s="160" t="s">
        <v>273</v>
      </c>
      <c r="F20" s="269"/>
    </row>
    <row r="21" spans="1:6" x14ac:dyDescent="0.2">
      <c r="A21" s="237" t="s">
        <v>321</v>
      </c>
      <c r="B21" s="44"/>
      <c r="C21" s="40" t="s">
        <v>274</v>
      </c>
      <c r="D21" s="42" t="s">
        <v>275</v>
      </c>
      <c r="E21" s="39" t="s">
        <v>274</v>
      </c>
      <c r="F21" s="42" t="s">
        <v>275</v>
      </c>
    </row>
    <row r="22" spans="1:6" x14ac:dyDescent="0.2">
      <c r="A22" s="236"/>
      <c r="B22" s="236"/>
      <c r="C22" s="8"/>
      <c r="D22" s="259"/>
      <c r="E22" s="285"/>
      <c r="F22" s="260"/>
    </row>
    <row r="23" spans="1:6" x14ac:dyDescent="0.2">
      <c r="A23" s="237" t="s">
        <v>322</v>
      </c>
      <c r="B23" s="236" t="s">
        <v>277</v>
      </c>
      <c r="C23" s="255">
        <f>'vdBerg 1995'!$AN$40</f>
        <v>116.52809271856889</v>
      </c>
      <c r="D23" s="257">
        <f>'vdBerg 1995'!$AN$41</f>
        <v>3.0970017636684304</v>
      </c>
      <c r="E23" s="255">
        <f>'vdBerg 1995'!$AM$40</f>
        <v>8.9279486642951777</v>
      </c>
      <c r="F23" s="258">
        <f>'vdBerg 1995'!$AM$41</f>
        <v>1.8307008952231718</v>
      </c>
    </row>
    <row r="24" spans="1:6" x14ac:dyDescent="0.2">
      <c r="A24" s="129" t="s">
        <v>278</v>
      </c>
      <c r="B24" s="236"/>
      <c r="C24" s="255">
        <f>'Simoneau 2010'!AN40</f>
        <v>3010.5376507442347</v>
      </c>
      <c r="D24" s="257">
        <f>'Simoneau 2010'!AN41</f>
        <v>34.164004828392898</v>
      </c>
      <c r="E24" s="255">
        <f>'Simoneau 2010'!AM40</f>
        <v>407.7240528506378</v>
      </c>
      <c r="F24" s="258">
        <f>'Simoneau 2010'!AM41</f>
        <v>50.336712734200944</v>
      </c>
    </row>
    <row r="25" spans="1:6" x14ac:dyDescent="0.2">
      <c r="A25" s="250" t="s">
        <v>323</v>
      </c>
      <c r="B25" s="236"/>
      <c r="C25" s="255">
        <f>'Regressie &amp; praktijk'!AN40</f>
        <v>746.82909404170459</v>
      </c>
      <c r="D25" s="257">
        <f>'Regressie &amp; praktijk'!AN41</f>
        <v>5.3652482214905426</v>
      </c>
      <c r="E25" s="255">
        <f>'Regressie &amp; praktijk'!AM40</f>
        <v>47.55603908475225</v>
      </c>
      <c r="F25" s="258">
        <f>'Regressie &amp; praktijk'!AM41</f>
        <v>4.9929899880955864</v>
      </c>
    </row>
    <row r="26" spans="1:6" x14ac:dyDescent="0.2">
      <c r="A26" s="159"/>
      <c r="B26" s="250"/>
      <c r="C26" s="256"/>
      <c r="D26" s="257"/>
      <c r="E26" s="255"/>
      <c r="F26" s="258"/>
    </row>
    <row r="27" spans="1:6" x14ac:dyDescent="0.2">
      <c r="A27" s="237" t="s">
        <v>322</v>
      </c>
      <c r="B27" s="236" t="s">
        <v>281</v>
      </c>
      <c r="C27" s="256">
        <f>'vdBerg 1995'!$BL$40</f>
        <v>55.22767068086371</v>
      </c>
      <c r="D27" s="257">
        <f>'vdBerg 1995'!$BL$41</f>
        <v>1.3071935915513408</v>
      </c>
      <c r="E27" s="303">
        <f>'vdBerg 1995'!$BK$40</f>
        <v>2.5885188769837901</v>
      </c>
      <c r="F27" s="258">
        <f>'vdBerg 1995'!$BK$41</f>
        <v>0.44684807232974405</v>
      </c>
    </row>
    <row r="28" spans="1:6" x14ac:dyDescent="0.2">
      <c r="A28" s="129" t="s">
        <v>278</v>
      </c>
      <c r="B28" s="236" t="s">
        <v>282</v>
      </c>
      <c r="C28" s="256">
        <f>'Simoneau 2010'!BL40</f>
        <v>602.20487556870876</v>
      </c>
      <c r="D28" s="257">
        <f>'Simoneau 2010'!BL41</f>
        <v>8.173491374463941</v>
      </c>
      <c r="E28" s="255">
        <f>'Simoneau 2010'!BK40</f>
        <v>20.70335479434155</v>
      </c>
      <c r="F28" s="258">
        <f>'Simoneau 2010'!BK41</f>
        <v>6.7819224144874193</v>
      </c>
    </row>
    <row r="29" spans="1:6" x14ac:dyDescent="0.2">
      <c r="A29" s="250" t="s">
        <v>323</v>
      </c>
      <c r="B29" s="237"/>
      <c r="C29" s="256">
        <f>'Regressie &amp; praktijk'!BL40</f>
        <v>198.23744812735549</v>
      </c>
      <c r="D29" s="257">
        <f>'Regressie &amp; praktijk'!BL41</f>
        <v>3.9394028342680274</v>
      </c>
      <c r="E29" s="303">
        <f>'Regressie &amp; praktijk'!BK40</f>
        <v>7.1624688891175934</v>
      </c>
      <c r="F29" s="258">
        <f>'Regressie &amp; praktijk'!BK41</f>
        <v>2.460162518377738</v>
      </c>
    </row>
    <row r="30" spans="1:6" x14ac:dyDescent="0.2">
      <c r="A30" s="250"/>
      <c r="B30" s="51"/>
      <c r="C30" s="256"/>
      <c r="D30" s="257"/>
      <c r="E30" s="255"/>
      <c r="F30" s="258"/>
    </row>
    <row r="31" spans="1:6" x14ac:dyDescent="0.2">
      <c r="A31" s="237" t="s">
        <v>324</v>
      </c>
      <c r="B31" s="51" t="s">
        <v>320</v>
      </c>
      <c r="C31" s="274">
        <f>'Regressie &amp; praktijk'!CE40/'Regressie &amp; praktijk'!CD40</f>
        <v>26.973684210526311</v>
      </c>
      <c r="D31" s="257">
        <f>'Regressie &amp; praktijk'!CE41/'Regressie &amp; praktijk'!CD40</f>
        <v>0.54133004405044283</v>
      </c>
      <c r="E31" s="273">
        <v>1</v>
      </c>
      <c r="F31" s="258">
        <f>'Regressie &amp; praktijk'!CD41/'Regressie &amp; praktijk'!CD40</f>
        <v>0.30889790452582944</v>
      </c>
    </row>
    <row r="32" spans="1:6" x14ac:dyDescent="0.2">
      <c r="A32" s="44" t="s">
        <v>325</v>
      </c>
      <c r="B32" s="237"/>
      <c r="C32" s="266">
        <f>'Regressie &amp; praktijk'!CE40/'Regressie &amp; praktijk'!CD41</f>
        <v>87.322328236353655</v>
      </c>
      <c r="D32" s="264">
        <f>'Regressie &amp; praktijk'!CE41/'Regressie &amp; praktijk'!CD41</f>
        <v>1.7524561873652265</v>
      </c>
      <c r="E32" s="266">
        <f>1/F31</f>
        <v>3.2373155833965264</v>
      </c>
      <c r="F32" s="286">
        <v>1</v>
      </c>
    </row>
    <row r="34" spans="3:6" x14ac:dyDescent="0.2">
      <c r="C34" s="275" t="s">
        <v>319</v>
      </c>
      <c r="D34" s="156"/>
      <c r="E34" s="156"/>
      <c r="F34" s="157"/>
    </row>
    <row r="35" spans="3:6" x14ac:dyDescent="0.2">
      <c r="C35" s="276">
        <f t="shared" ref="C35:F37" si="5">C23/C27</f>
        <v>2.1099584914948379</v>
      </c>
      <c r="D35" s="277">
        <f t="shared" si="5"/>
        <v>2.3691990105252851</v>
      </c>
      <c r="E35" s="277">
        <f t="shared" si="5"/>
        <v>3.4490568114760118</v>
      </c>
      <c r="F35" s="282">
        <f t="shared" si="5"/>
        <v>4.0969202030533474</v>
      </c>
    </row>
    <row r="36" spans="3:6" x14ac:dyDescent="0.2">
      <c r="C36" s="278">
        <f t="shared" si="5"/>
        <v>4.9991917582884904</v>
      </c>
      <c r="D36" s="279">
        <f t="shared" si="5"/>
        <v>4.1798545154314235</v>
      </c>
      <c r="E36" s="279">
        <f t="shared" si="5"/>
        <v>19.693622453983796</v>
      </c>
      <c r="F36" s="283">
        <f t="shared" si="5"/>
        <v>7.4221894114672518</v>
      </c>
    </row>
    <row r="37" spans="3:6" x14ac:dyDescent="0.2">
      <c r="C37" s="281">
        <f t="shared" si="5"/>
        <v>3.7673461855799939</v>
      </c>
      <c r="D37" s="280">
        <f t="shared" si="5"/>
        <v>1.3619445502804104</v>
      </c>
      <c r="E37" s="280">
        <f t="shared" si="5"/>
        <v>6.6396154483836218</v>
      </c>
      <c r="F37" s="284">
        <f t="shared" si="5"/>
        <v>2.0295366467854437</v>
      </c>
    </row>
    <row r="38" spans="3:6" x14ac:dyDescent="0.2">
      <c r="C38" s="5" t="s">
        <v>318</v>
      </c>
      <c r="D38" s="4"/>
      <c r="E38" s="4"/>
      <c r="F38" s="284">
        <f>AVERAGE(C35:F37)</f>
        <v>5.1765362905624928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A4" sqref="A4"/>
    </sheetView>
  </sheetViews>
  <sheetFormatPr defaultRowHeight="12.75" x14ac:dyDescent="0.2"/>
  <cols>
    <col min="5" max="5" width="21.28515625" customWidth="1"/>
  </cols>
  <sheetData>
    <row r="1" spans="1:6" ht="15" x14ac:dyDescent="0.25">
      <c r="B1" s="1"/>
      <c r="C1" s="1"/>
      <c r="E1" s="194"/>
      <c r="F1" s="194"/>
    </row>
    <row r="2" spans="1:6" ht="15" x14ac:dyDescent="0.25">
      <c r="A2" s="231" t="s">
        <v>272</v>
      </c>
      <c r="B2" s="216"/>
      <c r="C2" s="216"/>
      <c r="D2" s="216"/>
      <c r="E2" s="215"/>
      <c r="F2" s="194"/>
    </row>
    <row r="3" spans="1:6" x14ac:dyDescent="0.2">
      <c r="A3" s="8" t="s">
        <v>264</v>
      </c>
      <c r="B3" s="20"/>
      <c r="C3" s="20"/>
      <c r="D3">
        <v>91</v>
      </c>
      <c r="E3" s="9"/>
    </row>
    <row r="4" spans="1:6" x14ac:dyDescent="0.2">
      <c r="A4" s="8" t="s">
        <v>265</v>
      </c>
      <c r="B4" s="20"/>
      <c r="C4" s="20"/>
      <c r="D4">
        <v>-21</v>
      </c>
      <c r="E4" s="9"/>
    </row>
    <row r="5" spans="1:6" x14ac:dyDescent="0.2">
      <c r="A5" s="8"/>
      <c r="B5" s="20"/>
      <c r="C5" s="20"/>
      <c r="D5">
        <v>3</v>
      </c>
      <c r="E5" s="9"/>
    </row>
    <row r="6" spans="1:6" x14ac:dyDescent="0.2">
      <c r="A6" s="8" t="s">
        <v>266</v>
      </c>
      <c r="B6" s="20"/>
      <c r="C6" s="20"/>
      <c r="D6">
        <v>-7</v>
      </c>
      <c r="E6" s="9"/>
    </row>
    <row r="7" spans="1:6" x14ac:dyDescent="0.2">
      <c r="A7" s="8" t="s">
        <v>267</v>
      </c>
      <c r="B7" s="20"/>
      <c r="C7" s="20"/>
      <c r="D7">
        <v>-6</v>
      </c>
      <c r="E7" s="9"/>
    </row>
    <row r="8" spans="1:6" x14ac:dyDescent="0.2">
      <c r="A8" s="8"/>
      <c r="B8" s="70"/>
      <c r="C8" s="70"/>
      <c r="D8">
        <v>60</v>
      </c>
      <c r="E8" s="9"/>
    </row>
    <row r="9" spans="1:6" x14ac:dyDescent="0.2">
      <c r="A9" s="8"/>
      <c r="B9" s="1"/>
      <c r="C9" s="1"/>
      <c r="E9" s="9"/>
    </row>
    <row r="10" spans="1:6" x14ac:dyDescent="0.2">
      <c r="A10" s="8" t="s">
        <v>271</v>
      </c>
      <c r="B10" s="1"/>
      <c r="C10" s="1"/>
      <c r="D10">
        <v>60</v>
      </c>
      <c r="E10" s="9"/>
    </row>
    <row r="11" spans="1:6" x14ac:dyDescent="0.2">
      <c r="A11" s="8" t="s">
        <v>268</v>
      </c>
      <c r="B11" s="1"/>
      <c r="C11" s="1"/>
      <c r="D11">
        <v>13</v>
      </c>
      <c r="E11" s="9" t="s">
        <v>270</v>
      </c>
    </row>
    <row r="12" spans="1:6" x14ac:dyDescent="0.2">
      <c r="A12" s="5" t="s">
        <v>269</v>
      </c>
      <c r="B12" s="7"/>
      <c r="C12" s="7"/>
      <c r="D12" s="4">
        <v>47</v>
      </c>
      <c r="E12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vdBerg 1995</vt:lpstr>
      <vt:lpstr>Simoneau 2010</vt:lpstr>
      <vt:lpstr>Lohman 2011</vt:lpstr>
      <vt:lpstr>Regressie &amp; praktijk</vt:lpstr>
      <vt:lpstr>export tabel</vt:lpstr>
      <vt:lpstr>assessment</vt:lpstr>
      <vt:lpstr>metingen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Hockin, Alex</cp:lastModifiedBy>
  <dcterms:created xsi:type="dcterms:W3CDTF">2015-11-08T13:05:28Z</dcterms:created>
  <dcterms:modified xsi:type="dcterms:W3CDTF">2023-05-10T13:46:23Z</dcterms:modified>
</cp:coreProperties>
</file>