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aaveeesss\Диплом\Документы\"/>
    </mc:Choice>
  </mc:AlternateContent>
  <xr:revisionPtr revIDLastSave="0" documentId="13_ncr:1_{65A86E3A-93EB-4E29-90D9-DFB410C6A2E7}" xr6:coauthVersionLast="47" xr6:coauthVersionMax="47" xr10:uidLastSave="{00000000-0000-0000-0000-000000000000}"/>
  <bookViews>
    <workbookView xWindow="-120" yWindow="-120" windowWidth="29040" windowHeight="15840" activeTab="5" xr2:uid="{6D7D4966-87C9-47EB-B682-58CA0E110CAA}"/>
  </bookViews>
  <sheets>
    <sheet name="Объём работы" sheetId="1" r:id="rId1"/>
    <sheet name="Расчёт зарплаты" sheetId="2" r:id="rId2"/>
    <sheet name="Накладные расходы" sheetId="3" r:id="rId3"/>
    <sheet name="Обучение и внедрение" sheetId="5" r:id="rId4"/>
    <sheet name="Смета затрат" sheetId="4" r:id="rId5"/>
    <sheet name="Затраты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6" l="1"/>
  <c r="F4" i="5"/>
  <c r="F3" i="5"/>
  <c r="E4" i="5"/>
  <c r="E3" i="5"/>
  <c r="D4" i="5"/>
  <c r="D3" i="5"/>
  <c r="D11" i="3"/>
  <c r="D12" i="3"/>
  <c r="E12" i="3" s="1"/>
  <c r="J3" i="5"/>
  <c r="C4" i="6"/>
  <c r="D4" i="6" s="1"/>
  <c r="E4" i="6" s="1"/>
  <c r="F4" i="6" s="1"/>
  <c r="D10" i="6"/>
  <c r="E10" i="6" s="1"/>
  <c r="F10" i="6" s="1"/>
  <c r="D9" i="6"/>
  <c r="E9" i="6" s="1"/>
  <c r="F9" i="6" s="1"/>
  <c r="D3" i="6"/>
  <c r="E3" i="6" s="1"/>
  <c r="F3" i="6" s="1"/>
  <c r="I3" i="5"/>
  <c r="E3" i="3"/>
  <c r="F3" i="3"/>
  <c r="G3" i="3" s="1"/>
  <c r="C11" i="3" s="1"/>
  <c r="B2" i="4"/>
  <c r="D7" i="3"/>
  <c r="L4" i="2"/>
  <c r="D3" i="1"/>
  <c r="D14" i="1" s="1"/>
  <c r="D4" i="1"/>
  <c r="D5" i="1"/>
  <c r="D6" i="1"/>
  <c r="D7" i="1"/>
  <c r="D8" i="1"/>
  <c r="D9" i="1"/>
  <c r="D10" i="1"/>
  <c r="D11" i="1"/>
  <c r="D12" i="1"/>
  <c r="D13" i="1"/>
  <c r="D2" i="1"/>
  <c r="L2" i="2"/>
  <c r="I2" i="2"/>
  <c r="F2" i="2"/>
  <c r="E2" i="2"/>
  <c r="C14" i="1"/>
  <c r="E14" i="1"/>
  <c r="F14" i="1"/>
  <c r="I3" i="2" s="1"/>
  <c r="L3" i="2" s="1"/>
  <c r="B14" i="1"/>
  <c r="G3" i="1"/>
  <c r="G4" i="1"/>
  <c r="G5" i="1"/>
  <c r="G6" i="1"/>
  <c r="G7" i="1"/>
  <c r="G8" i="1"/>
  <c r="G9" i="1"/>
  <c r="G10" i="1"/>
  <c r="G11" i="1"/>
  <c r="G12" i="1"/>
  <c r="G13" i="1"/>
  <c r="G2" i="1"/>
  <c r="K3" i="5" l="1"/>
  <c r="L3" i="5" s="1"/>
  <c r="B4" i="4" s="1"/>
  <c r="E11" i="3"/>
  <c r="F5" i="6"/>
  <c r="H2" i="6" s="1"/>
  <c r="F5" i="5"/>
  <c r="B5" i="4" s="1"/>
  <c r="E13" i="3"/>
  <c r="B3" i="4" s="1"/>
  <c r="G14" i="1"/>
  <c r="B6" i="4" l="1"/>
  <c r="K2" i="6" s="1"/>
  <c r="F11" i="6"/>
  <c r="I2" i="6" s="1"/>
  <c r="J2" i="6" s="1"/>
</calcChain>
</file>

<file path=xl/sharedStrings.xml><?xml version="1.0" encoding="utf-8"?>
<sst xmlns="http://schemas.openxmlformats.org/spreadsheetml/2006/main" count="111" uniqueCount="78">
  <si>
    <t>Подбор материала и литературы</t>
  </si>
  <si>
    <t>Составление и согласование плана разработки</t>
  </si>
  <si>
    <t>Системный анализ предметной области</t>
  </si>
  <si>
    <t>Изучение задания</t>
  </si>
  <si>
    <t>Разработка общих принципов построения программы и методов обработки данных</t>
  </si>
  <si>
    <t>Выбор и обоснование среды разработки,  инструментария и среды разработки системы управления базами данных</t>
  </si>
  <si>
    <t>Разработка структуры базы данных</t>
  </si>
  <si>
    <t>Разработка функционала продукта</t>
  </si>
  <si>
    <t>Проектирование архитектуры продукта</t>
  </si>
  <si>
    <t>Тестирование и отладка продукта</t>
  </si>
  <si>
    <t>Разработка документации</t>
  </si>
  <si>
    <t>Всего</t>
  </si>
  <si>
    <t>Tmin</t>
  </si>
  <si>
    <t>Tmax</t>
  </si>
  <si>
    <t>Tavg</t>
  </si>
  <si>
    <t>Программист 1</t>
  </si>
  <si>
    <t>Программист 2</t>
  </si>
  <si>
    <t>Разработка пользовательского интерфейса</t>
  </si>
  <si>
    <t>Должность</t>
  </si>
  <si>
    <t>Программист</t>
  </si>
  <si>
    <t>Тарифный разряд</t>
  </si>
  <si>
    <t>Тарифный коэффициент</t>
  </si>
  <si>
    <t>Районный коэффициент</t>
  </si>
  <si>
    <t>Амортизация</t>
  </si>
  <si>
    <t>Наименование</t>
  </si>
  <si>
    <t>Количество</t>
  </si>
  <si>
    <t>Компьютер отдела информационного обеспечения (технические характеристики см. раздел 1)</t>
  </si>
  <si>
    <t>Количество, шт.</t>
  </si>
  <si>
    <t>Срок эксплуатации, лет</t>
  </si>
  <si>
    <t>Электроэнергия</t>
  </si>
  <si>
    <t>Стоимость,руб.</t>
  </si>
  <si>
    <t>Часовая амортизация, руб.</t>
  </si>
  <si>
    <t>Годовая амортизация, руб.</t>
  </si>
  <si>
    <t>Цена ликвидации, руб.</t>
  </si>
  <si>
    <t>Максимальная потребляемая мощность, вт.</t>
  </si>
  <si>
    <t>Единица измерения</t>
  </si>
  <si>
    <t>рубль</t>
  </si>
  <si>
    <t>Общее потребление, кВт * час.</t>
  </si>
  <si>
    <t>Сумма, руб.</t>
  </si>
  <si>
    <t>Накладные расходы</t>
  </si>
  <si>
    <t>Наименование статьи затрат</t>
  </si>
  <si>
    <t>Сумма, руб</t>
  </si>
  <si>
    <t>Оплата труда</t>
  </si>
  <si>
    <t>Итого</t>
  </si>
  <si>
    <t>Обучение</t>
  </si>
  <si>
    <t>Кладовщик</t>
  </si>
  <si>
    <t>Внедрение</t>
  </si>
  <si>
    <t>Системный администратор</t>
  </si>
  <si>
    <t>Длительность внедрения, ч.</t>
  </si>
  <si>
    <t>Обучение персонала</t>
  </si>
  <si>
    <t>Прямые затраты до внедрения</t>
  </si>
  <si>
    <t>Прямые затраты после внедрения</t>
  </si>
  <si>
    <t>Зарплата в год, руб.</t>
  </si>
  <si>
    <t>Итого, руб.</t>
  </si>
  <si>
    <t>Простои производства по причине необеспеченности инструментом</t>
  </si>
  <si>
    <t>Стоимость продукта, руб.</t>
  </si>
  <si>
    <t>Зарплата в месяц, руб.</t>
  </si>
  <si>
    <t>Прямые затраты до внедрения, руб.</t>
  </si>
  <si>
    <t>Прямые затраты после внедрения, руб.</t>
  </si>
  <si>
    <t>Разность прямых затрат, руб.</t>
  </si>
  <si>
    <t>Срок окупаемости от прямых затрат,дней</t>
  </si>
  <si>
    <t>Стоимость часа, руб.</t>
  </si>
  <si>
    <t>Фонд оплаты труда в год, руб.</t>
  </si>
  <si>
    <t xml:space="preserve">Фактический срок окупаемости окажется меньше за счет уменьшения следующих косвенных затрат: </t>
  </si>
  <si>
    <t>Фонд оплаты труда, руб.</t>
  </si>
  <si>
    <t>Основная заработная плата, руб.</t>
  </si>
  <si>
    <t>Ставка, руб./час</t>
  </si>
  <si>
    <t>Месячный оклад, руб.</t>
  </si>
  <si>
    <t>Минимальный размер оплаты труда, руб.</t>
  </si>
  <si>
    <t>Цена, руб.</t>
  </si>
  <si>
    <t>киловатт * час</t>
  </si>
  <si>
    <t>…</t>
  </si>
  <si>
    <t>Коэффициент отчислений на социальные нужды</t>
  </si>
  <si>
    <t>Основная ЗП, руб.</t>
  </si>
  <si>
    <t>Ставка, руб.</t>
  </si>
  <si>
    <t>Длительность обучения, ч.</t>
  </si>
  <si>
    <t>ФОТ, руб.</t>
  </si>
  <si>
    <t>Инженер по инструменту отдела подготовки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</si>
</sst>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2BA0-1911-4257-ABAC-32D049866B09}">
  <dimension ref="A1:G14"/>
  <sheetViews>
    <sheetView zoomScale="190" zoomScaleNormal="190" workbookViewId="0">
      <selection sqref="A1:G14"/>
    </sheetView>
  </sheetViews>
  <sheetFormatPr defaultRowHeight="15" x14ac:dyDescent="0.25"/>
  <cols>
    <col min="1" max="1" width="44.85546875" style="1" bestFit="1" customWidth="1"/>
    <col min="2" max="4" width="0" hidden="1" customWidth="1"/>
    <col min="5" max="6" width="14.7109375" bestFit="1" customWidth="1"/>
    <col min="8" max="8" width="15.85546875" bestFit="1" customWidth="1"/>
  </cols>
  <sheetData>
    <row r="1" spans="1:7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11</v>
      </c>
    </row>
    <row r="2" spans="1:7" x14ac:dyDescent="0.25">
      <c r="A2" s="1" t="s">
        <v>3</v>
      </c>
      <c r="B2">
        <v>12</v>
      </c>
      <c r="C2">
        <v>24</v>
      </c>
      <c r="D2">
        <f>(B2+C2)/2</f>
        <v>18</v>
      </c>
      <c r="E2">
        <v>8</v>
      </c>
      <c r="F2">
        <v>8</v>
      </c>
      <c r="G2">
        <f>E2+F2</f>
        <v>16</v>
      </c>
    </row>
    <row r="3" spans="1:7" x14ac:dyDescent="0.25">
      <c r="A3" s="1" t="s">
        <v>1</v>
      </c>
      <c r="B3">
        <v>16</v>
      </c>
      <c r="C3">
        <v>24</v>
      </c>
      <c r="D3">
        <f t="shared" ref="D3:D13" si="0">(B3+C3)/2</f>
        <v>20</v>
      </c>
      <c r="E3">
        <v>8</v>
      </c>
      <c r="F3">
        <v>12</v>
      </c>
      <c r="G3">
        <f t="shared" ref="G3:G13" si="1">E3+F3</f>
        <v>20</v>
      </c>
    </row>
    <row r="4" spans="1:7" x14ac:dyDescent="0.25">
      <c r="A4" s="1" t="s">
        <v>0</v>
      </c>
      <c r="B4">
        <v>8</v>
      </c>
      <c r="C4">
        <v>16</v>
      </c>
      <c r="D4">
        <f t="shared" si="0"/>
        <v>12</v>
      </c>
      <c r="E4">
        <v>4</v>
      </c>
      <c r="F4">
        <v>8</v>
      </c>
      <c r="G4">
        <f t="shared" si="1"/>
        <v>12</v>
      </c>
    </row>
    <row r="5" spans="1:7" x14ac:dyDescent="0.25">
      <c r="A5" s="1" t="s">
        <v>2</v>
      </c>
      <c r="B5">
        <v>24</v>
      </c>
      <c r="C5">
        <v>40</v>
      </c>
      <c r="D5">
        <f t="shared" si="0"/>
        <v>32</v>
      </c>
      <c r="E5">
        <v>16</v>
      </c>
      <c r="F5">
        <v>16</v>
      </c>
      <c r="G5">
        <f t="shared" si="1"/>
        <v>32</v>
      </c>
    </row>
    <row r="6" spans="1:7" ht="30" x14ac:dyDescent="0.25">
      <c r="A6" s="1" t="s">
        <v>4</v>
      </c>
      <c r="B6">
        <v>24</v>
      </c>
      <c r="C6">
        <v>40</v>
      </c>
      <c r="D6">
        <f t="shared" si="0"/>
        <v>32</v>
      </c>
      <c r="E6">
        <v>16</v>
      </c>
      <c r="F6">
        <v>12</v>
      </c>
      <c r="G6">
        <f t="shared" si="1"/>
        <v>28</v>
      </c>
    </row>
    <row r="7" spans="1:7" ht="45" x14ac:dyDescent="0.25">
      <c r="A7" s="1" t="s">
        <v>5</v>
      </c>
      <c r="B7">
        <v>24</v>
      </c>
      <c r="C7">
        <v>40</v>
      </c>
      <c r="D7">
        <f t="shared" si="0"/>
        <v>32</v>
      </c>
      <c r="E7">
        <v>16</v>
      </c>
      <c r="F7">
        <v>16</v>
      </c>
      <c r="G7">
        <f t="shared" si="1"/>
        <v>32</v>
      </c>
    </row>
    <row r="8" spans="1:7" x14ac:dyDescent="0.25">
      <c r="A8" s="1" t="s">
        <v>8</v>
      </c>
      <c r="B8">
        <v>40</v>
      </c>
      <c r="C8">
        <v>80</v>
      </c>
      <c r="D8">
        <f t="shared" si="0"/>
        <v>60</v>
      </c>
      <c r="E8">
        <v>24</v>
      </c>
      <c r="F8">
        <v>32</v>
      </c>
      <c r="G8">
        <f t="shared" si="1"/>
        <v>56</v>
      </c>
    </row>
    <row r="9" spans="1:7" x14ac:dyDescent="0.25">
      <c r="A9" s="1" t="s">
        <v>6</v>
      </c>
      <c r="B9">
        <v>40</v>
      </c>
      <c r="C9">
        <v>80</v>
      </c>
      <c r="D9">
        <f t="shared" si="0"/>
        <v>60</v>
      </c>
      <c r="E9">
        <v>28</v>
      </c>
      <c r="F9">
        <v>28</v>
      </c>
      <c r="G9">
        <f t="shared" si="1"/>
        <v>56</v>
      </c>
    </row>
    <row r="10" spans="1:7" x14ac:dyDescent="0.25">
      <c r="A10" s="1" t="s">
        <v>17</v>
      </c>
      <c r="B10">
        <v>32</v>
      </c>
      <c r="C10">
        <v>48</v>
      </c>
      <c r="D10">
        <f t="shared" si="0"/>
        <v>40</v>
      </c>
      <c r="E10">
        <v>20</v>
      </c>
      <c r="F10">
        <v>16</v>
      </c>
      <c r="G10">
        <f t="shared" si="1"/>
        <v>36</v>
      </c>
    </row>
    <row r="11" spans="1:7" x14ac:dyDescent="0.25">
      <c r="A11" s="1" t="s">
        <v>7</v>
      </c>
      <c r="B11">
        <v>80</v>
      </c>
      <c r="C11">
        <v>120</v>
      </c>
      <c r="D11">
        <f t="shared" si="0"/>
        <v>100</v>
      </c>
      <c r="E11">
        <v>48</v>
      </c>
      <c r="F11">
        <v>40</v>
      </c>
      <c r="G11">
        <f t="shared" si="1"/>
        <v>88</v>
      </c>
    </row>
    <row r="12" spans="1:7" x14ac:dyDescent="0.25">
      <c r="A12" s="1" t="s">
        <v>9</v>
      </c>
      <c r="B12">
        <v>24</v>
      </c>
      <c r="C12">
        <v>40</v>
      </c>
      <c r="D12">
        <f t="shared" si="0"/>
        <v>32</v>
      </c>
      <c r="E12">
        <v>16</v>
      </c>
      <c r="F12">
        <v>16</v>
      </c>
      <c r="G12">
        <f t="shared" si="1"/>
        <v>32</v>
      </c>
    </row>
    <row r="13" spans="1:7" x14ac:dyDescent="0.25">
      <c r="A13" s="1" t="s">
        <v>10</v>
      </c>
      <c r="B13">
        <v>24</v>
      </c>
      <c r="C13">
        <v>40</v>
      </c>
      <c r="D13">
        <f t="shared" si="0"/>
        <v>32</v>
      </c>
      <c r="E13">
        <v>20</v>
      </c>
      <c r="F13">
        <v>16</v>
      </c>
      <c r="G13">
        <f t="shared" si="1"/>
        <v>36</v>
      </c>
    </row>
    <row r="14" spans="1:7" x14ac:dyDescent="0.25">
      <c r="A14" s="1" t="s">
        <v>43</v>
      </c>
      <c r="B14">
        <f>SUM(B2:B13)</f>
        <v>348</v>
      </c>
      <c r="C14">
        <f t="shared" ref="C14:G14" si="2">SUM(C2:C13)</f>
        <v>592</v>
      </c>
      <c r="D14">
        <f t="shared" si="2"/>
        <v>470</v>
      </c>
      <c r="E14">
        <f t="shared" si="2"/>
        <v>224</v>
      </c>
      <c r="F14">
        <f t="shared" si="2"/>
        <v>220</v>
      </c>
      <c r="G14">
        <f t="shared" si="2"/>
        <v>444</v>
      </c>
    </row>
  </sheetData>
  <phoneticPr fontId="1" type="noConversion"/>
  <conditionalFormatting sqref="G2:G14">
    <cfRule type="cellIs" dxfId="0" priority="1" operator="notBetween">
      <formula>$B2</formula>
      <formula>$C2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99EB-F39D-4586-A5CE-E9DC855B706F}">
  <dimension ref="A1:L4"/>
  <sheetViews>
    <sheetView zoomScale="145" zoomScaleNormal="145" workbookViewId="0">
      <selection activeCell="K7" sqref="K7"/>
    </sheetView>
  </sheetViews>
  <sheetFormatPr defaultRowHeight="15" x14ac:dyDescent="0.25"/>
  <cols>
    <col min="1" max="1" width="14.7109375" bestFit="1" customWidth="1"/>
    <col min="2" max="2" width="22.28515625" customWidth="1"/>
    <col min="3" max="3" width="10.140625" customWidth="1"/>
    <col min="4" max="4" width="13" customWidth="1"/>
    <col min="5" max="5" width="10.7109375" bestFit="1" customWidth="1"/>
    <col min="8" max="8" width="14.7109375" bestFit="1" customWidth="1"/>
    <col min="9" max="9" width="20.7109375" bestFit="1" customWidth="1"/>
    <col min="10" max="10" width="14.140625" customWidth="1"/>
    <col min="11" max="11" width="23.85546875" bestFit="1" customWidth="1"/>
    <col min="12" max="12" width="13.7109375" customWidth="1"/>
  </cols>
  <sheetData>
    <row r="1" spans="1:12" ht="33" customHeight="1" x14ac:dyDescent="0.25">
      <c r="A1" s="1" t="s">
        <v>18</v>
      </c>
      <c r="B1" s="1" t="s">
        <v>68</v>
      </c>
      <c r="C1" s="1" t="s">
        <v>20</v>
      </c>
      <c r="D1" s="1" t="s">
        <v>21</v>
      </c>
      <c r="E1" s="1" t="s">
        <v>67</v>
      </c>
      <c r="F1" s="1" t="s">
        <v>66</v>
      </c>
      <c r="I1" s="1" t="s">
        <v>65</v>
      </c>
      <c r="J1" s="1" t="s">
        <v>22</v>
      </c>
      <c r="K1" s="1" t="s">
        <v>72</v>
      </c>
      <c r="L1" s="1" t="s">
        <v>64</v>
      </c>
    </row>
    <row r="2" spans="1:12" x14ac:dyDescent="0.25">
      <c r="A2" t="s">
        <v>19</v>
      </c>
      <c r="B2">
        <v>22440</v>
      </c>
      <c r="C2">
        <v>6</v>
      </c>
      <c r="D2">
        <v>2</v>
      </c>
      <c r="E2">
        <f>B2*D2</f>
        <v>44880</v>
      </c>
      <c r="F2">
        <f>E2/(8*22)</f>
        <v>255</v>
      </c>
      <c r="H2" t="s">
        <v>15</v>
      </c>
      <c r="I2">
        <f>'Объём работы'!E14*F2</f>
        <v>57120</v>
      </c>
      <c r="J2">
        <v>1.1499999999999999</v>
      </c>
      <c r="K2" s="6">
        <v>1.39</v>
      </c>
      <c r="L2">
        <f>I2*J2*$K$2</f>
        <v>91306.319999999992</v>
      </c>
    </row>
    <row r="3" spans="1:12" x14ac:dyDescent="0.25">
      <c r="H3" t="s">
        <v>16</v>
      </c>
      <c r="I3">
        <f>'Объём работы'!F14*F2</f>
        <v>56100</v>
      </c>
      <c r="J3">
        <v>1.1499999999999999</v>
      </c>
      <c r="K3" s="6"/>
      <c r="L3">
        <f>I3*J3*$K$2</f>
        <v>89675.849999999977</v>
      </c>
    </row>
    <row r="4" spans="1:12" x14ac:dyDescent="0.25">
      <c r="H4" s="7" t="s">
        <v>43</v>
      </c>
      <c r="I4" s="7"/>
      <c r="J4" s="7"/>
      <c r="K4" s="7"/>
      <c r="L4">
        <f>SUM(L2:L3)</f>
        <v>180982.16999999998</v>
      </c>
    </row>
  </sheetData>
  <mergeCells count="2">
    <mergeCell ref="K2:K3"/>
    <mergeCell ref="H4:K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03BE0-0189-4DC9-912F-0DA150EC82AF}">
  <dimension ref="A1:G13"/>
  <sheetViews>
    <sheetView zoomScale="145" zoomScaleNormal="145" workbookViewId="0">
      <selection activeCell="F11" sqref="F11"/>
    </sheetView>
  </sheetViews>
  <sheetFormatPr defaultRowHeight="15" x14ac:dyDescent="0.25"/>
  <cols>
    <col min="1" max="1" width="28.28515625" customWidth="1"/>
    <col min="2" max="2" width="16.140625" bestFit="1" customWidth="1"/>
    <col min="3" max="3" width="15.5703125" customWidth="1"/>
    <col min="4" max="4" width="17.7109375" customWidth="1"/>
    <col min="5" max="5" width="16.5703125" customWidth="1"/>
    <col min="6" max="6" width="19.85546875" customWidth="1"/>
    <col min="7" max="7" width="20" customWidth="1"/>
  </cols>
  <sheetData>
    <row r="1" spans="1:7" x14ac:dyDescent="0.25">
      <c r="A1" s="8" t="s">
        <v>23</v>
      </c>
      <c r="B1" s="8"/>
      <c r="C1" s="8"/>
      <c r="D1" s="8"/>
      <c r="E1" s="8"/>
      <c r="F1" s="8"/>
      <c r="G1" s="8"/>
    </row>
    <row r="2" spans="1:7" ht="45" x14ac:dyDescent="0.25">
      <c r="A2" t="s">
        <v>24</v>
      </c>
      <c r="B2" s="1" t="s">
        <v>27</v>
      </c>
      <c r="C2" s="1" t="s">
        <v>30</v>
      </c>
      <c r="D2" s="1" t="s">
        <v>28</v>
      </c>
      <c r="E2" s="1" t="s">
        <v>33</v>
      </c>
      <c r="F2" s="1" t="s">
        <v>32</v>
      </c>
      <c r="G2" s="1" t="s">
        <v>31</v>
      </c>
    </row>
    <row r="3" spans="1:7" ht="60" x14ac:dyDescent="0.25">
      <c r="A3" s="1" t="s">
        <v>26</v>
      </c>
      <c r="B3">
        <v>2</v>
      </c>
      <c r="C3">
        <v>67650</v>
      </c>
      <c r="D3">
        <v>3</v>
      </c>
      <c r="E3">
        <f>C3*0.2</f>
        <v>13530</v>
      </c>
      <c r="F3">
        <f>(C3-E3)/D3</f>
        <v>18040</v>
      </c>
      <c r="G3" s="3">
        <f>F3/(8*247)</f>
        <v>9.1295546558704448</v>
      </c>
    </row>
    <row r="5" spans="1:7" x14ac:dyDescent="0.25">
      <c r="A5" s="8" t="s">
        <v>29</v>
      </c>
      <c r="B5" s="8"/>
      <c r="C5" s="8"/>
      <c r="D5" s="8"/>
      <c r="E5" s="8"/>
      <c r="F5" s="8"/>
      <c r="G5" s="8"/>
    </row>
    <row r="6" spans="1:7" ht="45" x14ac:dyDescent="0.25">
      <c r="A6" t="s">
        <v>24</v>
      </c>
      <c r="B6" s="1" t="s">
        <v>27</v>
      </c>
      <c r="C6" s="1" t="s">
        <v>34</v>
      </c>
      <c r="D6" s="1" t="s">
        <v>37</v>
      </c>
      <c r="E6" s="1"/>
      <c r="F6" s="1"/>
      <c r="G6" s="1"/>
    </row>
    <row r="7" spans="1:7" ht="60" x14ac:dyDescent="0.25">
      <c r="A7" s="1" t="s">
        <v>26</v>
      </c>
      <c r="B7">
        <v>2</v>
      </c>
      <c r="C7">
        <v>342</v>
      </c>
      <c r="D7" s="2">
        <f>(B7*C7)/1000</f>
        <v>0.68400000000000005</v>
      </c>
    </row>
    <row r="9" spans="1:7" x14ac:dyDescent="0.25">
      <c r="A9" s="8" t="s">
        <v>39</v>
      </c>
      <c r="B9" s="8"/>
      <c r="C9" s="8"/>
      <c r="D9" s="8"/>
      <c r="E9" s="8"/>
    </row>
    <row r="10" spans="1:7" ht="30" x14ac:dyDescent="0.25">
      <c r="A10" t="s">
        <v>24</v>
      </c>
      <c r="B10" s="1" t="s">
        <v>35</v>
      </c>
      <c r="C10" s="1" t="s">
        <v>69</v>
      </c>
      <c r="D10" s="1" t="s">
        <v>25</v>
      </c>
      <c r="E10" s="1" t="s">
        <v>38</v>
      </c>
    </row>
    <row r="11" spans="1:7" x14ac:dyDescent="0.25">
      <c r="A11" t="s">
        <v>23</v>
      </c>
      <c r="B11" t="s">
        <v>36</v>
      </c>
      <c r="C11" s="3">
        <f>G3</f>
        <v>9.1295546558704448</v>
      </c>
      <c r="D11">
        <f>'Объём работы'!G14</f>
        <v>444</v>
      </c>
      <c r="E11" s="3">
        <f>C11*D11</f>
        <v>4053.5222672064774</v>
      </c>
    </row>
    <row r="12" spans="1:7" x14ac:dyDescent="0.25">
      <c r="A12" t="s">
        <v>29</v>
      </c>
      <c r="B12" t="s">
        <v>70</v>
      </c>
      <c r="C12">
        <v>7.94</v>
      </c>
      <c r="D12">
        <f>'Объём работы'!G14*D7</f>
        <v>303.69600000000003</v>
      </c>
      <c r="E12" s="3">
        <f>C12*D12</f>
        <v>2411.3462400000003</v>
      </c>
    </row>
    <row r="13" spans="1:7" x14ac:dyDescent="0.25">
      <c r="A13" s="7" t="s">
        <v>43</v>
      </c>
      <c r="B13" s="7"/>
      <c r="C13" s="7"/>
      <c r="D13" s="7"/>
      <c r="E13" s="3">
        <f>SUM(E11:E12)</f>
        <v>6464.8685072064782</v>
      </c>
    </row>
  </sheetData>
  <mergeCells count="4">
    <mergeCell ref="A1:G1"/>
    <mergeCell ref="A5:G5"/>
    <mergeCell ref="A9:E9"/>
    <mergeCell ref="A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E49D-BC4D-4A9D-B470-63C457E60AE4}">
  <dimension ref="A1:L10"/>
  <sheetViews>
    <sheetView zoomScale="130" zoomScaleNormal="130" workbookViewId="0">
      <selection activeCell="F15" sqref="F15"/>
    </sheetView>
  </sheetViews>
  <sheetFormatPr defaultRowHeight="15" x14ac:dyDescent="0.25"/>
  <cols>
    <col min="1" max="1" width="26.28515625" customWidth="1"/>
    <col min="2" max="2" width="11.5703125" bestFit="1" customWidth="1"/>
    <col min="3" max="3" width="22.28515625" customWidth="1"/>
    <col min="4" max="4" width="11.28515625" bestFit="1" customWidth="1"/>
    <col min="5" max="5" width="11.28515625" customWidth="1"/>
    <col min="8" max="8" width="26.28515625" bestFit="1" customWidth="1"/>
    <col min="9" max="9" width="16" customWidth="1"/>
    <col min="10" max="10" width="11.28515625" bestFit="1" customWidth="1"/>
    <col min="11" max="11" width="12" bestFit="1" customWidth="1"/>
  </cols>
  <sheetData>
    <row r="1" spans="1:12" x14ac:dyDescent="0.25">
      <c r="A1" s="8" t="s">
        <v>44</v>
      </c>
      <c r="B1" s="8"/>
      <c r="C1" s="8"/>
      <c r="D1" s="8"/>
      <c r="E1" s="8"/>
      <c r="F1" s="8"/>
      <c r="H1" s="8" t="s">
        <v>46</v>
      </c>
      <c r="I1" s="8"/>
      <c r="J1" s="8"/>
      <c r="K1" s="8"/>
      <c r="L1" s="8"/>
    </row>
    <row r="2" spans="1:12" ht="45" x14ac:dyDescent="0.25">
      <c r="A2" s="1" t="s">
        <v>24</v>
      </c>
      <c r="B2" s="1" t="s">
        <v>25</v>
      </c>
      <c r="C2" s="1" t="s">
        <v>75</v>
      </c>
      <c r="D2" s="1" t="s">
        <v>74</v>
      </c>
      <c r="E2" s="1" t="s">
        <v>65</v>
      </c>
      <c r="F2" s="1" t="s">
        <v>76</v>
      </c>
      <c r="H2" s="1" t="s">
        <v>24</v>
      </c>
      <c r="I2" s="1" t="s">
        <v>48</v>
      </c>
      <c r="J2" s="1" t="s">
        <v>61</v>
      </c>
      <c r="K2" s="1" t="s">
        <v>73</v>
      </c>
      <c r="L2" s="1" t="s">
        <v>43</v>
      </c>
    </row>
    <row r="3" spans="1:12" x14ac:dyDescent="0.25">
      <c r="A3" s="1" t="s">
        <v>45</v>
      </c>
      <c r="B3">
        <v>20</v>
      </c>
      <c r="C3">
        <v>8</v>
      </c>
      <c r="D3" s="3">
        <f>37000/(8*22)</f>
        <v>210.22727272727272</v>
      </c>
      <c r="E3" s="3">
        <f>C3*D3</f>
        <v>1681.8181818181818</v>
      </c>
      <c r="F3">
        <f>B3*E3*1.15*1.39</f>
        <v>53767.727272727265</v>
      </c>
      <c r="H3" t="s">
        <v>47</v>
      </c>
      <c r="I3">
        <f>B3/2+B4+8</f>
        <v>20</v>
      </c>
      <c r="J3" s="3">
        <f>60000/(8*22)</f>
        <v>340.90909090909093</v>
      </c>
      <c r="K3" s="3">
        <f>I3*J3</f>
        <v>6818.1818181818189</v>
      </c>
      <c r="L3" s="3">
        <f>K3*1.15*1.39</f>
        <v>10898.863636363636</v>
      </c>
    </row>
    <row r="4" spans="1:12" ht="45" x14ac:dyDescent="0.25">
      <c r="A4" s="1" t="s">
        <v>77</v>
      </c>
      <c r="B4">
        <v>2</v>
      </c>
      <c r="C4">
        <v>4</v>
      </c>
      <c r="D4" s="3">
        <f>60000/(8*22)</f>
        <v>340.90909090909093</v>
      </c>
      <c r="E4" s="3">
        <f>C4*D4</f>
        <v>1363.6363636363637</v>
      </c>
      <c r="F4">
        <f>B4*E4*1.15*1.39</f>
        <v>4359.545454545454</v>
      </c>
      <c r="J4" s="3"/>
    </row>
    <row r="5" spans="1:12" x14ac:dyDescent="0.25">
      <c r="A5" s="7" t="s">
        <v>43</v>
      </c>
      <c r="B5" s="7"/>
      <c r="C5" s="7"/>
      <c r="D5" s="7"/>
      <c r="E5" s="5"/>
      <c r="F5" s="3">
        <f>SUM(F3:F4)</f>
        <v>58127.272727272721</v>
      </c>
    </row>
    <row r="6" spans="1:12" x14ac:dyDescent="0.25">
      <c r="K6" s="3"/>
    </row>
    <row r="7" spans="1:12" x14ac:dyDescent="0.25">
      <c r="A7" s="1"/>
      <c r="B7" s="1"/>
      <c r="C7" s="1"/>
      <c r="D7" s="1"/>
      <c r="E7" s="1"/>
      <c r="F7" s="1"/>
    </row>
    <row r="8" spans="1:12" x14ac:dyDescent="0.25">
      <c r="A8" s="1"/>
      <c r="B8" s="3"/>
      <c r="E8" s="3"/>
    </row>
    <row r="9" spans="1:12" x14ac:dyDescent="0.25">
      <c r="A9" s="1"/>
      <c r="B9" s="3"/>
      <c r="E9" s="3"/>
    </row>
    <row r="10" spans="1:12" x14ac:dyDescent="0.25">
      <c r="A10" s="7"/>
      <c r="B10" s="7"/>
      <c r="C10" s="7"/>
      <c r="D10" s="7"/>
      <c r="E10" s="5"/>
    </row>
  </sheetData>
  <mergeCells count="4">
    <mergeCell ref="A1:F1"/>
    <mergeCell ref="A5:D5"/>
    <mergeCell ref="H1:L1"/>
    <mergeCell ref="A10:D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E5A9-BEE5-4503-9ABE-92E7297A8DAD}">
  <dimension ref="A1:B8"/>
  <sheetViews>
    <sheetView zoomScale="220" zoomScaleNormal="220" workbookViewId="0">
      <selection activeCell="B6" sqref="B6"/>
    </sheetView>
  </sheetViews>
  <sheetFormatPr defaultRowHeight="15" x14ac:dyDescent="0.25"/>
  <cols>
    <col min="1" max="1" width="28" customWidth="1"/>
    <col min="2" max="2" width="11.85546875" customWidth="1"/>
  </cols>
  <sheetData>
    <row r="1" spans="1:2" x14ac:dyDescent="0.25">
      <c r="A1" s="1" t="s">
        <v>40</v>
      </c>
      <c r="B1" s="1" t="s">
        <v>41</v>
      </c>
    </row>
    <row r="2" spans="1:2" x14ac:dyDescent="0.25">
      <c r="A2" t="s">
        <v>42</v>
      </c>
      <c r="B2" s="3">
        <f>'Расчёт зарплаты'!L4</f>
        <v>180982.16999999998</v>
      </c>
    </row>
    <row r="3" spans="1:2" x14ac:dyDescent="0.25">
      <c r="A3" t="s">
        <v>39</v>
      </c>
      <c r="B3" s="3">
        <f>'Накладные расходы'!E13</f>
        <v>6464.8685072064782</v>
      </c>
    </row>
    <row r="4" spans="1:2" x14ac:dyDescent="0.25">
      <c r="A4" t="s">
        <v>46</v>
      </c>
      <c r="B4" s="3">
        <f>'Обучение и внедрение'!L3</f>
        <v>10898.863636363636</v>
      </c>
    </row>
    <row r="5" spans="1:2" x14ac:dyDescent="0.25">
      <c r="A5" t="s">
        <v>49</v>
      </c>
      <c r="B5" s="3">
        <f>'Обучение и внедрение'!F5</f>
        <v>58127.272727272721</v>
      </c>
    </row>
    <row r="6" spans="1:2" x14ac:dyDescent="0.25">
      <c r="A6" t="s">
        <v>43</v>
      </c>
      <c r="B6" s="3">
        <f>SUM(B2:B5)</f>
        <v>256473.17487084283</v>
      </c>
    </row>
    <row r="7" spans="1:2" x14ac:dyDescent="0.25">
      <c r="B7" s="3"/>
    </row>
    <row r="8" spans="1:2" x14ac:dyDescent="0.25">
      <c r="B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AA84-98D3-4C8F-9F89-DD4DD4CB9341}">
  <dimension ref="A1:M25"/>
  <sheetViews>
    <sheetView tabSelected="1" zoomScaleNormal="100" workbookViewId="0">
      <selection activeCell="A14" sqref="A14"/>
    </sheetView>
  </sheetViews>
  <sheetFormatPr defaultRowHeight="15" x14ac:dyDescent="0.25"/>
  <cols>
    <col min="1" max="1" width="21.85546875" bestFit="1" customWidth="1"/>
    <col min="2" max="2" width="12.5703125" customWidth="1"/>
    <col min="3" max="3" width="11.7109375" customWidth="1"/>
    <col min="4" max="4" width="11.42578125" customWidth="1"/>
    <col min="5" max="5" width="17" customWidth="1"/>
    <col min="6" max="6" width="11.42578125" customWidth="1"/>
    <col min="8" max="8" width="33.28515625" customWidth="1"/>
    <col min="9" max="9" width="23" customWidth="1"/>
    <col min="10" max="10" width="16.7109375" customWidth="1"/>
    <col min="11" max="12" width="20.28515625" customWidth="1"/>
    <col min="13" max="13" width="12.42578125" customWidth="1"/>
    <col min="14" max="14" width="13.42578125" customWidth="1"/>
    <col min="15" max="15" width="13.5703125" customWidth="1"/>
    <col min="16" max="16" width="17.85546875" customWidth="1"/>
    <col min="17" max="17" width="17.42578125" customWidth="1"/>
    <col min="18" max="18" width="15.42578125" customWidth="1"/>
    <col min="19" max="19" width="18" customWidth="1"/>
    <col min="20" max="20" width="18.85546875" customWidth="1"/>
  </cols>
  <sheetData>
    <row r="1" spans="1:13" ht="45" x14ac:dyDescent="0.25">
      <c r="A1" s="8" t="s">
        <v>50</v>
      </c>
      <c r="B1" s="8"/>
      <c r="C1" s="8"/>
      <c r="D1" s="8"/>
      <c r="E1" s="8"/>
      <c r="F1" s="8"/>
      <c r="H1" s="1" t="s">
        <v>57</v>
      </c>
      <c r="I1" s="1" t="s">
        <v>58</v>
      </c>
      <c r="J1" s="1" t="s">
        <v>59</v>
      </c>
      <c r="K1" s="1" t="s">
        <v>55</v>
      </c>
      <c r="L1" s="1" t="s">
        <v>60</v>
      </c>
      <c r="M1" s="1"/>
    </row>
    <row r="2" spans="1:13" ht="30" x14ac:dyDescent="0.25">
      <c r="A2" s="1" t="s">
        <v>24</v>
      </c>
      <c r="B2" s="1" t="s">
        <v>25</v>
      </c>
      <c r="C2" s="1" t="s">
        <v>56</v>
      </c>
      <c r="D2" s="1" t="s">
        <v>52</v>
      </c>
      <c r="E2" s="1" t="s">
        <v>62</v>
      </c>
      <c r="F2" s="1" t="s">
        <v>53</v>
      </c>
      <c r="H2">
        <f>F5</f>
        <v>20152383.529411763</v>
      </c>
      <c r="I2">
        <f>F11</f>
        <v>16496519.999999998</v>
      </c>
      <c r="J2">
        <f>H2-I2</f>
        <v>3655863.5294117648</v>
      </c>
      <c r="K2" s="3">
        <f>'Смета затрат'!B6</f>
        <v>256473.17487084283</v>
      </c>
      <c r="L2" s="4">
        <f>ROUNDUP((K2/J2)*365,0)</f>
        <v>26</v>
      </c>
      <c r="M2" s="4"/>
    </row>
    <row r="3" spans="1:13" ht="60" x14ac:dyDescent="0.25">
      <c r="A3" s="1" t="s">
        <v>77</v>
      </c>
      <c r="B3">
        <v>3</v>
      </c>
      <c r="C3" s="3">
        <v>60000</v>
      </c>
      <c r="D3" s="3">
        <f>C3*12</f>
        <v>720000</v>
      </c>
      <c r="E3" s="3">
        <f>D3*1.15*1.39</f>
        <v>1150919.9999999998</v>
      </c>
      <c r="F3" s="3">
        <f>B3*E3</f>
        <v>3452759.9999999991</v>
      </c>
      <c r="L3" s="4"/>
    </row>
    <row r="4" spans="1:13" x14ac:dyDescent="0.25">
      <c r="A4" t="s">
        <v>45</v>
      </c>
      <c r="B4">
        <v>20</v>
      </c>
      <c r="C4" s="3">
        <f>C10/0.85</f>
        <v>43529.411764705881</v>
      </c>
      <c r="D4" s="3">
        <f>C4*12</f>
        <v>522352.9411764706</v>
      </c>
      <c r="E4" s="3">
        <f>D4*1.15*1.39</f>
        <v>834981.17647058819</v>
      </c>
      <c r="F4" s="3">
        <f>B4*E4</f>
        <v>16699623.529411763</v>
      </c>
    </row>
    <row r="5" spans="1:13" x14ac:dyDescent="0.25">
      <c r="A5" s="7" t="s">
        <v>43</v>
      </c>
      <c r="B5" s="7"/>
      <c r="C5" s="7"/>
      <c r="D5" s="7"/>
      <c r="F5">
        <f>SUM(F3:F4)</f>
        <v>20152383.529411763</v>
      </c>
    </row>
    <row r="7" spans="1:13" x14ac:dyDescent="0.25">
      <c r="A7" s="8" t="s">
        <v>51</v>
      </c>
      <c r="B7" s="8"/>
      <c r="C7" s="8"/>
      <c r="D7" s="8"/>
      <c r="E7" s="8"/>
      <c r="F7" s="8"/>
      <c r="H7" s="8"/>
      <c r="I7" s="8"/>
      <c r="K7" s="8"/>
      <c r="L7" s="8"/>
    </row>
    <row r="8" spans="1:13" ht="30" x14ac:dyDescent="0.25">
      <c r="A8" s="1" t="s">
        <v>24</v>
      </c>
      <c r="B8" s="1" t="s">
        <v>25</v>
      </c>
      <c r="C8" s="1" t="s">
        <v>56</v>
      </c>
      <c r="D8" s="1" t="s">
        <v>52</v>
      </c>
      <c r="E8" s="1" t="s">
        <v>62</v>
      </c>
      <c r="F8" s="1" t="s">
        <v>53</v>
      </c>
      <c r="H8" s="1"/>
      <c r="I8" s="1"/>
      <c r="K8" s="1"/>
      <c r="L8" s="1"/>
    </row>
    <row r="9" spans="1:13" ht="60" x14ac:dyDescent="0.25">
      <c r="A9" s="1" t="s">
        <v>77</v>
      </c>
      <c r="B9">
        <v>2</v>
      </c>
      <c r="C9">
        <v>60000</v>
      </c>
      <c r="D9">
        <f>C9*12</f>
        <v>720000</v>
      </c>
      <c r="E9">
        <f>D9*1.15*1.39</f>
        <v>1150919.9999999998</v>
      </c>
      <c r="F9">
        <f>B9*E9</f>
        <v>2301839.9999999995</v>
      </c>
      <c r="H9" s="1"/>
      <c r="K9" s="1"/>
    </row>
    <row r="10" spans="1:13" x14ac:dyDescent="0.25">
      <c r="A10" t="s">
        <v>45</v>
      </c>
      <c r="B10">
        <v>20</v>
      </c>
      <c r="C10">
        <v>37000</v>
      </c>
      <c r="D10">
        <f>C10*12</f>
        <v>444000</v>
      </c>
      <c r="E10">
        <f>D10*1.15*1.39</f>
        <v>709733.99999999988</v>
      </c>
      <c r="F10">
        <f>B10*E10</f>
        <v>14194679.999999998</v>
      </c>
    </row>
    <row r="11" spans="1:13" x14ac:dyDescent="0.25">
      <c r="A11" s="7" t="s">
        <v>43</v>
      </c>
      <c r="B11" s="7"/>
      <c r="C11" s="7"/>
      <c r="D11" s="7"/>
      <c r="F11">
        <f>SUM(F9:F10)</f>
        <v>16496519.999999998</v>
      </c>
    </row>
    <row r="13" spans="1:13" x14ac:dyDescent="0.25">
      <c r="A13" t="s">
        <v>63</v>
      </c>
    </row>
    <row r="14" spans="1:13" x14ac:dyDescent="0.25">
      <c r="A14" t="s">
        <v>54</v>
      </c>
    </row>
    <row r="15" spans="1:13" x14ac:dyDescent="0.25">
      <c r="A15" t="s">
        <v>71</v>
      </c>
    </row>
    <row r="22" spans="1:2" x14ac:dyDescent="0.25">
      <c r="A22" s="1"/>
    </row>
    <row r="23" spans="1:2" x14ac:dyDescent="0.25">
      <c r="A23" s="1"/>
      <c r="B23" s="3"/>
    </row>
    <row r="24" spans="1:2" x14ac:dyDescent="0.25">
      <c r="A24" s="1"/>
      <c r="B24" s="4"/>
    </row>
    <row r="25" spans="1:2" x14ac:dyDescent="0.25">
      <c r="A25" s="1"/>
      <c r="B25" s="4"/>
    </row>
  </sheetData>
  <mergeCells count="6">
    <mergeCell ref="A11:D11"/>
    <mergeCell ref="H7:I7"/>
    <mergeCell ref="K7:L7"/>
    <mergeCell ref="A1:F1"/>
    <mergeCell ref="A7:F7"/>
    <mergeCell ref="A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Объём работы</vt:lpstr>
      <vt:lpstr>Расчёт зарплаты</vt:lpstr>
      <vt:lpstr>Накладные расходы</vt:lpstr>
      <vt:lpstr>Обучение и внедрение</vt:lpstr>
      <vt:lpstr>Смета затрат</vt:lpstr>
      <vt:lpstr>Затраты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Хорошев</dc:creator>
  <cp:lastModifiedBy>Дмитрий Хорошев</cp:lastModifiedBy>
  <dcterms:created xsi:type="dcterms:W3CDTF">2025-05-21T11:34:44Z</dcterms:created>
  <dcterms:modified xsi:type="dcterms:W3CDTF">2025-05-24T18:30:32Z</dcterms:modified>
</cp:coreProperties>
</file>