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source\repos\TextGame\"/>
    </mc:Choice>
  </mc:AlternateContent>
  <xr:revisionPtr revIDLastSave="0" documentId="13_ncr:1_{26B9068B-4950-43BF-ADFE-3025FBCC8F76}" xr6:coauthVersionLast="47" xr6:coauthVersionMax="47" xr10:uidLastSave="{00000000-0000-0000-0000-000000000000}"/>
  <bookViews>
    <workbookView xWindow="-120" yWindow="-120" windowWidth="29040" windowHeight="15840" activeTab="1" xr2:uid="{4E46E8D9-8B4F-4CE6-92DC-8BA3C6E9B9B2}"/>
  </bookViews>
  <sheets>
    <sheet name="Баланс" sheetId="7" r:id="rId1"/>
    <sheet name="Общее" sheetId="8" r:id="rId2"/>
    <sheet name="Игрок" sheetId="1" r:id="rId3"/>
    <sheet name="Противники" sheetId="2" r:id="rId4"/>
    <sheet name="Оружие" sheetId="3" r:id="rId5"/>
    <sheet name="Броня" sheetId="5" r:id="rId6"/>
    <sheet name="Хил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2" i="3"/>
  <c r="Y3" i="3"/>
  <c r="Y4" i="3"/>
  <c r="Y5" i="3"/>
  <c r="Y6" i="3"/>
  <c r="Y7" i="3"/>
  <c r="Y2" i="3"/>
  <c r="AA7" i="3"/>
  <c r="AA6" i="3"/>
  <c r="AA5" i="3"/>
  <c r="AA4" i="3"/>
  <c r="AA3" i="3"/>
  <c r="L10" i="3"/>
  <c r="AA6" i="5"/>
  <c r="AA5" i="5"/>
  <c r="AA4" i="5"/>
  <c r="AA3" i="5"/>
  <c r="AA2" i="5"/>
  <c r="L5" i="5"/>
  <c r="L6" i="5"/>
  <c r="L7" i="5"/>
  <c r="L4" i="5"/>
  <c r="AA2" i="6"/>
  <c r="V2" i="6"/>
  <c r="AA5" i="6"/>
  <c r="AA4" i="6"/>
  <c r="AA3" i="6"/>
  <c r="V5" i="6"/>
  <c r="V4" i="6"/>
  <c r="V3" i="6"/>
  <c r="Q3" i="6"/>
  <c r="Q4" i="6"/>
  <c r="Q5" i="6"/>
  <c r="Q2" i="6"/>
  <c r="C10" i="6"/>
  <c r="G10" i="6" s="1"/>
  <c r="B11" i="6"/>
  <c r="E11" i="6" s="1"/>
  <c r="C11" i="6"/>
  <c r="B12" i="6"/>
  <c r="E12" i="6" s="1"/>
  <c r="B10" i="6"/>
  <c r="E10" i="6" s="1"/>
  <c r="C6" i="6"/>
  <c r="C13" i="6" s="1"/>
  <c r="G13" i="6" s="1"/>
  <c r="B6" i="6"/>
  <c r="B13" i="6" s="1"/>
  <c r="E13" i="6" s="1"/>
  <c r="I3" i="6"/>
  <c r="H3" i="6"/>
  <c r="H6" i="6" s="1"/>
  <c r="I6" i="6" s="1"/>
  <c r="B5" i="6"/>
  <c r="E5" i="6" s="1"/>
  <c r="C4" i="6"/>
  <c r="F4" i="6" s="1"/>
  <c r="H4" i="6" s="1"/>
  <c r="C3" i="6"/>
  <c r="D4" i="6"/>
  <c r="E4" i="6"/>
  <c r="G3" i="6"/>
  <c r="F3" i="6"/>
  <c r="E3" i="6"/>
  <c r="D3" i="6"/>
  <c r="U4" i="5"/>
  <c r="U5" i="5"/>
  <c r="U2" i="5"/>
  <c r="T2" i="5"/>
  <c r="T4" i="5"/>
  <c r="T5" i="5"/>
  <c r="T3" i="5"/>
  <c r="U3" i="5"/>
  <c r="P3" i="5"/>
  <c r="P4" i="5"/>
  <c r="Q4" i="5" s="1"/>
  <c r="P5" i="5"/>
  <c r="P6" i="5"/>
  <c r="P2" i="5"/>
  <c r="Q2" i="5" s="1"/>
  <c r="O3" i="5"/>
  <c r="O4" i="5"/>
  <c r="O5" i="5"/>
  <c r="O6" i="5"/>
  <c r="O2" i="5"/>
  <c r="U3" i="3"/>
  <c r="U4" i="3"/>
  <c r="U5" i="3"/>
  <c r="U6" i="3"/>
  <c r="U7" i="3"/>
  <c r="U2" i="3"/>
  <c r="T3" i="3"/>
  <c r="T4" i="3"/>
  <c r="T5" i="3"/>
  <c r="T6" i="3"/>
  <c r="T7" i="3"/>
  <c r="T2" i="3"/>
  <c r="V7" i="3"/>
  <c r="P3" i="3"/>
  <c r="Q3" i="3" s="1"/>
  <c r="P4" i="3"/>
  <c r="P5" i="3"/>
  <c r="Q5" i="3" s="1"/>
  <c r="P6" i="3"/>
  <c r="P7" i="3"/>
  <c r="P2" i="3"/>
  <c r="O3" i="3"/>
  <c r="O4" i="3"/>
  <c r="O5" i="3"/>
  <c r="O6" i="3"/>
  <c r="O7" i="3"/>
  <c r="O2" i="3"/>
  <c r="Q2" i="3" s="1"/>
  <c r="C17" i="3"/>
  <c r="C18" i="3"/>
  <c r="F18" i="3" s="1"/>
  <c r="C19" i="3"/>
  <c r="G19" i="3" s="1"/>
  <c r="B5" i="5"/>
  <c r="D5" i="5" s="1"/>
  <c r="B3" i="5"/>
  <c r="B11" i="5" s="1"/>
  <c r="E11" i="5" s="1"/>
  <c r="B4" i="5"/>
  <c r="D4" i="5" s="1"/>
  <c r="E3" i="5"/>
  <c r="D3" i="5"/>
  <c r="U6" i="2"/>
  <c r="U3" i="2"/>
  <c r="S5" i="2"/>
  <c r="S4" i="2"/>
  <c r="S3" i="2"/>
  <c r="S2" i="2"/>
  <c r="B7" i="3"/>
  <c r="D7" i="3" s="1"/>
  <c r="H7" i="3" s="1"/>
  <c r="F7" i="3"/>
  <c r="G7" i="3"/>
  <c r="F8" i="3"/>
  <c r="G8" i="3"/>
  <c r="F9" i="3"/>
  <c r="G9" i="3"/>
  <c r="B4" i="3"/>
  <c r="B5" i="3" s="1"/>
  <c r="B3" i="3"/>
  <c r="B13" i="3" s="1"/>
  <c r="S6" i="2"/>
  <c r="W3" i="2"/>
  <c r="N4" i="2"/>
  <c r="N3" i="2"/>
  <c r="N2" i="2"/>
  <c r="E5" i="2"/>
  <c r="E4" i="2"/>
  <c r="E3" i="2"/>
  <c r="D33" i="2"/>
  <c r="D24" i="2"/>
  <c r="C13" i="2"/>
  <c r="F13" i="2"/>
  <c r="H13" i="2"/>
  <c r="I13" i="2"/>
  <c r="B14" i="2"/>
  <c r="C14" i="2"/>
  <c r="D15" i="2"/>
  <c r="B5" i="7"/>
  <c r="B4" i="7"/>
  <c r="B3" i="7"/>
  <c r="B5" i="2"/>
  <c r="F5" i="2" s="1"/>
  <c r="F14" i="2" s="1"/>
  <c r="C5" i="2"/>
  <c r="C32" i="2" s="1"/>
  <c r="C4" i="2"/>
  <c r="C31" i="2" s="1"/>
  <c r="B4" i="2"/>
  <c r="B31" i="2" s="1"/>
  <c r="F4" i="2"/>
  <c r="F31" i="2" s="1"/>
  <c r="G4" i="2"/>
  <c r="G31" i="2" s="1"/>
  <c r="H4" i="2"/>
  <c r="H31" i="2" s="1"/>
  <c r="I4" i="2"/>
  <c r="I31" i="2" s="1"/>
  <c r="G5" i="2"/>
  <c r="G14" i="2" s="1"/>
  <c r="H5" i="2"/>
  <c r="H14" i="2" s="1"/>
  <c r="I5" i="2"/>
  <c r="I14" i="2" s="1"/>
  <c r="J6" i="2"/>
  <c r="J33" i="2" s="1"/>
  <c r="K6" i="2"/>
  <c r="K24" i="2" s="1"/>
  <c r="C8" i="2"/>
  <c r="C17" i="2" s="1"/>
  <c r="H8" i="2"/>
  <c r="H17" i="2" s="1"/>
  <c r="I8" i="2"/>
  <c r="I26" i="2" s="1"/>
  <c r="C3" i="2"/>
  <c r="I3" i="2" s="1"/>
  <c r="I30" i="2" s="1"/>
  <c r="B3" i="2"/>
  <c r="B30" i="2" s="1"/>
  <c r="AA2" i="3" l="1"/>
  <c r="G18" i="3"/>
  <c r="Q7" i="3"/>
  <c r="F19" i="3"/>
  <c r="Q6" i="3"/>
  <c r="Q3" i="5"/>
  <c r="D11" i="5"/>
  <c r="Q5" i="5"/>
  <c r="Q6" i="5"/>
  <c r="E4" i="5"/>
  <c r="F10" i="6"/>
  <c r="D11" i="6"/>
  <c r="D12" i="6"/>
  <c r="D6" i="6"/>
  <c r="F6" i="6"/>
  <c r="E6" i="6"/>
  <c r="G6" i="6"/>
  <c r="C5" i="6"/>
  <c r="I10" i="6"/>
  <c r="D10" i="6"/>
  <c r="H10" i="6" s="1"/>
  <c r="F13" i="6"/>
  <c r="D13" i="6"/>
  <c r="G11" i="6"/>
  <c r="I11" i="6" s="1"/>
  <c r="F11" i="6"/>
  <c r="H11" i="6" s="1"/>
  <c r="D5" i="6"/>
  <c r="G4" i="6"/>
  <c r="I4" i="6" s="1"/>
  <c r="V4" i="5"/>
  <c r="V3" i="5"/>
  <c r="V5" i="5"/>
  <c r="V2" i="5"/>
  <c r="B13" i="5"/>
  <c r="B12" i="5"/>
  <c r="C3" i="5"/>
  <c r="G3" i="5" s="1"/>
  <c r="C5" i="5"/>
  <c r="B6" i="5"/>
  <c r="B7" i="5"/>
  <c r="C4" i="5"/>
  <c r="V3" i="3"/>
  <c r="V2" i="3"/>
  <c r="V5" i="3"/>
  <c r="V6" i="3"/>
  <c r="V4" i="3"/>
  <c r="B6" i="3"/>
  <c r="E6" i="3" s="1"/>
  <c r="B15" i="3"/>
  <c r="C5" i="3"/>
  <c r="B8" i="3"/>
  <c r="B17" i="3"/>
  <c r="B14" i="3"/>
  <c r="F17" i="3"/>
  <c r="G17" i="3"/>
  <c r="Q4" i="3"/>
  <c r="E5" i="5"/>
  <c r="E7" i="3"/>
  <c r="I7" i="3" s="1"/>
  <c r="E5" i="3"/>
  <c r="D5" i="3"/>
  <c r="E4" i="3"/>
  <c r="C4" i="3"/>
  <c r="D4" i="3"/>
  <c r="H35" i="2"/>
  <c r="K33" i="2"/>
  <c r="C35" i="2"/>
  <c r="I35" i="2"/>
  <c r="I12" i="2"/>
  <c r="K15" i="2"/>
  <c r="J15" i="2"/>
  <c r="B12" i="2"/>
  <c r="I23" i="2"/>
  <c r="H26" i="2"/>
  <c r="C26" i="2"/>
  <c r="J24" i="2"/>
  <c r="H23" i="2"/>
  <c r="G23" i="2"/>
  <c r="D5" i="2"/>
  <c r="F23" i="2"/>
  <c r="C23" i="2"/>
  <c r="B23" i="2"/>
  <c r="C30" i="2"/>
  <c r="G32" i="2"/>
  <c r="F3" i="2"/>
  <c r="H32" i="2"/>
  <c r="H3" i="2"/>
  <c r="B13" i="2"/>
  <c r="I22" i="2"/>
  <c r="F32" i="2"/>
  <c r="B21" i="2"/>
  <c r="G22" i="2"/>
  <c r="B6" i="2"/>
  <c r="C12" i="2"/>
  <c r="F22" i="2"/>
  <c r="B32" i="2"/>
  <c r="G3" i="2"/>
  <c r="C6" i="2"/>
  <c r="I21" i="2"/>
  <c r="C22" i="2"/>
  <c r="D3" i="2"/>
  <c r="I17" i="2"/>
  <c r="B22" i="2"/>
  <c r="G13" i="2"/>
  <c r="I32" i="2"/>
  <c r="H22" i="2"/>
  <c r="D4" i="2"/>
  <c r="K4" i="2" s="1"/>
  <c r="B7" i="2"/>
  <c r="C7" i="2"/>
  <c r="I7" i="2" s="1"/>
  <c r="C21" i="2"/>
  <c r="B8" i="2"/>
  <c r="D6" i="3" l="1"/>
  <c r="F3" i="5"/>
  <c r="H3" i="5" s="1"/>
  <c r="C11" i="5"/>
  <c r="E13" i="5"/>
  <c r="D13" i="5"/>
  <c r="E12" i="5"/>
  <c r="D12" i="5"/>
  <c r="F5" i="6"/>
  <c r="H5" i="6" s="1"/>
  <c r="G5" i="6"/>
  <c r="I5" i="6" s="1"/>
  <c r="C12" i="6"/>
  <c r="H13" i="6"/>
  <c r="I13" i="6" s="1"/>
  <c r="C7" i="5"/>
  <c r="B15" i="5"/>
  <c r="D7" i="5"/>
  <c r="E7" i="5"/>
  <c r="I3" i="5"/>
  <c r="F4" i="5"/>
  <c r="G4" i="5"/>
  <c r="C12" i="5"/>
  <c r="B14" i="5"/>
  <c r="E6" i="5"/>
  <c r="D6" i="5"/>
  <c r="C6" i="5"/>
  <c r="F5" i="5"/>
  <c r="G5" i="5"/>
  <c r="C13" i="5"/>
  <c r="E17" i="3"/>
  <c r="I17" i="3" s="1"/>
  <c r="D17" i="3"/>
  <c r="H17" i="3" s="1"/>
  <c r="B18" i="3"/>
  <c r="D8" i="3"/>
  <c r="H8" i="3" s="1"/>
  <c r="E8" i="3"/>
  <c r="I8" i="3" s="1"/>
  <c r="B9" i="3"/>
  <c r="D14" i="3"/>
  <c r="E14" i="3"/>
  <c r="C14" i="3"/>
  <c r="C15" i="3"/>
  <c r="E15" i="3"/>
  <c r="D15" i="3"/>
  <c r="C6" i="3"/>
  <c r="B16" i="3"/>
  <c r="G4" i="3"/>
  <c r="I4" i="3" s="1"/>
  <c r="F4" i="3"/>
  <c r="H4" i="3" s="1"/>
  <c r="G5" i="3"/>
  <c r="I5" i="3" s="1"/>
  <c r="F5" i="3"/>
  <c r="H5" i="3" s="1"/>
  <c r="D23" i="2"/>
  <c r="J5" i="2"/>
  <c r="D14" i="2"/>
  <c r="D32" i="2"/>
  <c r="K5" i="2"/>
  <c r="I16" i="2"/>
  <c r="I34" i="2"/>
  <c r="I25" i="2"/>
  <c r="D21" i="2"/>
  <c r="K3" i="2"/>
  <c r="D30" i="2"/>
  <c r="D12" i="2"/>
  <c r="J3" i="2"/>
  <c r="C24" i="2"/>
  <c r="C15" i="2"/>
  <c r="I6" i="2"/>
  <c r="C33" i="2"/>
  <c r="H6" i="2"/>
  <c r="G30" i="2"/>
  <c r="G21" i="2"/>
  <c r="G12" i="2"/>
  <c r="F6" i="2"/>
  <c r="B24" i="2"/>
  <c r="B15" i="2"/>
  <c r="G6" i="2"/>
  <c r="B33" i="2"/>
  <c r="K31" i="2"/>
  <c r="K13" i="2"/>
  <c r="K22" i="2"/>
  <c r="K14" i="2"/>
  <c r="K23" i="2"/>
  <c r="K32" i="2"/>
  <c r="B17" i="2"/>
  <c r="F8" i="2"/>
  <c r="B26" i="2"/>
  <c r="G8" i="2"/>
  <c r="B35" i="2"/>
  <c r="D8" i="2"/>
  <c r="H30" i="2"/>
  <c r="H21" i="2"/>
  <c r="H12" i="2"/>
  <c r="H7" i="2"/>
  <c r="C34" i="2"/>
  <c r="C25" i="2"/>
  <c r="C16" i="2"/>
  <c r="B34" i="2"/>
  <c r="G7" i="2"/>
  <c r="D7" i="2"/>
  <c r="F7" i="2"/>
  <c r="B25" i="2"/>
  <c r="B16" i="2"/>
  <c r="F21" i="2"/>
  <c r="F12" i="2"/>
  <c r="F30" i="2"/>
  <c r="D31" i="2"/>
  <c r="D22" i="2"/>
  <c r="J4" i="2"/>
  <c r="D13" i="2"/>
  <c r="F11" i="5" l="1"/>
  <c r="H11" i="5" s="1"/>
  <c r="G11" i="5"/>
  <c r="I11" i="5" s="1"/>
  <c r="E14" i="5"/>
  <c r="D14" i="5"/>
  <c r="G12" i="5"/>
  <c r="F12" i="5"/>
  <c r="H12" i="5" s="1"/>
  <c r="E15" i="5"/>
  <c r="D15" i="5"/>
  <c r="I12" i="5"/>
  <c r="F13" i="5"/>
  <c r="H13" i="5" s="1"/>
  <c r="G13" i="5"/>
  <c r="I13" i="5" s="1"/>
  <c r="G12" i="6"/>
  <c r="I12" i="6" s="1"/>
  <c r="F12" i="6"/>
  <c r="H12" i="6" s="1"/>
  <c r="I5" i="5"/>
  <c r="F6" i="5"/>
  <c r="C14" i="5"/>
  <c r="G6" i="5"/>
  <c r="I6" i="5"/>
  <c r="H5" i="5"/>
  <c r="I4" i="5"/>
  <c r="H4" i="5"/>
  <c r="G7" i="5"/>
  <c r="F7" i="5"/>
  <c r="C15" i="5"/>
  <c r="E16" i="3"/>
  <c r="D16" i="3"/>
  <c r="F6" i="3"/>
  <c r="H6" i="3" s="1"/>
  <c r="C16" i="3"/>
  <c r="G6" i="3"/>
  <c r="I6" i="3" s="1"/>
  <c r="G15" i="3"/>
  <c r="I15" i="3"/>
  <c r="F15" i="3"/>
  <c r="H15" i="3" s="1"/>
  <c r="G14" i="3"/>
  <c r="I14" i="3"/>
  <c r="F14" i="3"/>
  <c r="H14" i="3" s="1"/>
  <c r="I9" i="3"/>
  <c r="H9" i="3"/>
  <c r="B19" i="3"/>
  <c r="E9" i="3"/>
  <c r="D18" i="3"/>
  <c r="H18" i="3" s="1"/>
  <c r="E18" i="3"/>
  <c r="I18" i="3" s="1"/>
  <c r="J14" i="2"/>
  <c r="J23" i="2"/>
  <c r="J32" i="2"/>
  <c r="G24" i="2"/>
  <c r="G15" i="2"/>
  <c r="G33" i="2"/>
  <c r="J31" i="2"/>
  <c r="J13" i="2"/>
  <c r="J22" i="2"/>
  <c r="F34" i="2"/>
  <c r="F16" i="2"/>
  <c r="F25" i="2"/>
  <c r="G16" i="2"/>
  <c r="G34" i="2"/>
  <c r="G25" i="2"/>
  <c r="F24" i="2"/>
  <c r="F33" i="2"/>
  <c r="F15" i="2"/>
  <c r="H24" i="2"/>
  <c r="H15" i="2"/>
  <c r="H33" i="2"/>
  <c r="I33" i="2"/>
  <c r="I24" i="2"/>
  <c r="I15" i="2"/>
  <c r="J8" i="2"/>
  <c r="D17" i="2"/>
  <c r="D26" i="2"/>
  <c r="K8" i="2"/>
  <c r="D35" i="2"/>
  <c r="G17" i="2"/>
  <c r="G35" i="2"/>
  <c r="G26" i="2"/>
  <c r="K7" i="2"/>
  <c r="D34" i="2"/>
  <c r="D16" i="2"/>
  <c r="D25" i="2"/>
  <c r="J7" i="2"/>
  <c r="H16" i="2"/>
  <c r="H34" i="2"/>
  <c r="H25" i="2"/>
  <c r="J30" i="2"/>
  <c r="J12" i="2"/>
  <c r="J21" i="2"/>
  <c r="F17" i="2"/>
  <c r="F35" i="2"/>
  <c r="F26" i="2"/>
  <c r="K30" i="2"/>
  <c r="K21" i="2"/>
  <c r="K12" i="2"/>
  <c r="G14" i="5" l="1"/>
  <c r="F14" i="5"/>
  <c r="H14" i="5" s="1"/>
  <c r="I14" i="5"/>
  <c r="F15" i="5"/>
  <c r="H15" i="5" s="1"/>
  <c r="G15" i="5"/>
  <c r="I15" i="5" s="1"/>
  <c r="I7" i="5"/>
  <c r="H7" i="5"/>
  <c r="H6" i="5"/>
  <c r="I19" i="3"/>
  <c r="H19" i="3"/>
  <c r="E19" i="3"/>
  <c r="G16" i="3"/>
  <c r="F16" i="3"/>
  <c r="H16" i="3"/>
  <c r="I16" i="3"/>
  <c r="J17" i="2"/>
  <c r="J26" i="2"/>
  <c r="J35" i="2"/>
  <c r="J34" i="2"/>
  <c r="J16" i="2"/>
  <c r="J25" i="2"/>
  <c r="K34" i="2"/>
  <c r="K25" i="2"/>
  <c r="K16" i="2"/>
  <c r="K26" i="2"/>
  <c r="K17" i="2"/>
  <c r="K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Хорошев</author>
  </authors>
  <commentList>
    <comment ref="O2" authorId="0" shapeId="0" xr:uid="{E3D1B9BC-3C6A-4293-BD80-E1569AAE6CD4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  <comment ref="P2" authorId="0" shapeId="0" xr:uid="{4095F4AE-1648-45B8-B0FC-F538287748B6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  <comment ref="J3" authorId="0" shapeId="0" xr:uid="{518227FE-57D2-4AEB-9D71-9C0BCA15BB25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  <comment ref="J10" authorId="0" shapeId="0" xr:uid="{6B5E11C6-71CE-4F3C-B475-A7F8ADA4ACD5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</commentList>
</comments>
</file>

<file path=xl/sharedStrings.xml><?xml version="1.0" encoding="utf-8"?>
<sst xmlns="http://schemas.openxmlformats.org/spreadsheetml/2006/main" count="287" uniqueCount="43">
  <si>
    <t>ХП</t>
  </si>
  <si>
    <t>Здоровье</t>
  </si>
  <si>
    <t>Скелетор</t>
  </si>
  <si>
    <t>Лучник</t>
  </si>
  <si>
    <t>Зомба</t>
  </si>
  <si>
    <t>Призрак</t>
  </si>
  <si>
    <t>Лич</t>
  </si>
  <si>
    <t>Мимик</t>
  </si>
  <si>
    <t>Урон</t>
  </si>
  <si>
    <t>Блок</t>
  </si>
  <si>
    <t>Мин</t>
  </si>
  <si>
    <t>Макс</t>
  </si>
  <si>
    <t>База</t>
  </si>
  <si>
    <t>Процент усиления противника за 1 комнату</t>
  </si>
  <si>
    <t>Вероятность</t>
  </si>
  <si>
    <t>и</t>
  </si>
  <si>
    <t>Кулаки</t>
  </si>
  <si>
    <t>Ржавый меч</t>
  </si>
  <si>
    <t>Железный меч</t>
  </si>
  <si>
    <t>Серебрянный меч</t>
  </si>
  <si>
    <t>Стеклянный меч</t>
  </si>
  <si>
    <t>Волшебный жезл</t>
  </si>
  <si>
    <t>Желз случайностей</t>
  </si>
  <si>
    <t>Разброс характеристик</t>
  </si>
  <si>
    <t>Прочность</t>
  </si>
  <si>
    <t>Стоимость</t>
  </si>
  <si>
    <t>-</t>
  </si>
  <si>
    <t>Ведро</t>
  </si>
  <si>
    <t>Кожанный шлем</t>
  </si>
  <si>
    <t>Железный шлем</t>
  </si>
  <si>
    <t>Кожанная куртка</t>
  </si>
  <si>
    <t>Железная кираса</t>
  </si>
  <si>
    <t>Вероятности</t>
  </si>
  <si>
    <t>Комната</t>
  </si>
  <si>
    <t>Сундук</t>
  </si>
  <si>
    <t>Текущее</t>
  </si>
  <si>
    <t>Бинт</t>
  </si>
  <si>
    <t>Сила</t>
  </si>
  <si>
    <t>Рандом</t>
  </si>
  <si>
    <t>Реген</t>
  </si>
  <si>
    <t>Магазин</t>
  </si>
  <si>
    <t>Добавить распределение комнат</t>
  </si>
  <si>
    <t>Распределение предметов по комнатам, сундукам и магазинам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</si>
</sst>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1" fontId="0" fillId="0" borderId="1" xfId="0" applyNumberFormat="1" applyBorder="1"/>
    <xf numFmtId="9" fontId="0" fillId="0" borderId="0" xfId="1" applyFont="1"/>
    <xf numFmtId="9" fontId="0" fillId="0" borderId="1" xfId="1" applyFont="1" applyBorder="1"/>
    <xf numFmtId="0" fontId="0" fillId="0" borderId="0" xfId="0" applyNumberFormat="1"/>
    <xf numFmtId="0" fontId="0" fillId="0" borderId="0" xfId="0" applyBorder="1"/>
    <xf numFmtId="9" fontId="0" fillId="0" borderId="0" xfId="1" applyFont="1" applyBorder="1"/>
    <xf numFmtId="0" fontId="0" fillId="0" borderId="0" xfId="0" applyNumberFormat="1" applyAlignment="1">
      <alignment horizontal="center"/>
    </xf>
    <xf numFmtId="1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5" xfId="0" applyBorder="1"/>
    <xf numFmtId="9" fontId="0" fillId="0" borderId="1" xfId="0" applyNumberFormat="1" applyBorder="1"/>
    <xf numFmtId="0" fontId="0" fillId="0" borderId="2" xfId="0" applyBorder="1" applyAlignmen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Оружие!$N$2</c:f>
              <c:strCache>
                <c:ptCount val="1"/>
                <c:pt idx="0">
                  <c:v>Ржавый меч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Оружие!$O$2:$P$2</c:f>
              <c:numCache>
                <c:formatCode>0%</c:formatCode>
                <c:ptCount val="2"/>
                <c:pt idx="0">
                  <c:v>0.89</c:v>
                </c:pt>
                <c:pt idx="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B-4FCC-9DE2-861135CD7913}"/>
            </c:ext>
          </c:extLst>
        </c:ser>
        <c:ser>
          <c:idx val="1"/>
          <c:order val="1"/>
          <c:tx>
            <c:strRef>
              <c:f>Оружие!$N$3</c:f>
              <c:strCache>
                <c:ptCount val="1"/>
                <c:pt idx="0">
                  <c:v>Железный меч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Оружие!$O$3:$P$3</c:f>
              <c:numCache>
                <c:formatCode>0%</c:formatCode>
                <c:ptCount val="2"/>
                <c:pt idx="0">
                  <c:v>0.05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B-4FCC-9DE2-861135CD7913}"/>
            </c:ext>
          </c:extLst>
        </c:ser>
        <c:ser>
          <c:idx val="2"/>
          <c:order val="2"/>
          <c:tx>
            <c:strRef>
              <c:f>Оружие!$N$4</c:f>
              <c:strCache>
                <c:ptCount val="1"/>
                <c:pt idx="0">
                  <c:v>Серебрянный меч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Оружие!$O$4:$P$4</c:f>
              <c:numCache>
                <c:formatCode>0%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B-4FCC-9DE2-861135CD7913}"/>
            </c:ext>
          </c:extLst>
        </c:ser>
        <c:ser>
          <c:idx val="3"/>
          <c:order val="3"/>
          <c:tx>
            <c:strRef>
              <c:f>Оружие!$N$5</c:f>
              <c:strCache>
                <c:ptCount val="1"/>
                <c:pt idx="0">
                  <c:v>Стеклянный меч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Оружие!$O$5:$P$5</c:f>
              <c:numCache>
                <c:formatCode>0%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B-4FCC-9DE2-861135CD7913}"/>
            </c:ext>
          </c:extLst>
        </c:ser>
        <c:ser>
          <c:idx val="4"/>
          <c:order val="4"/>
          <c:tx>
            <c:strRef>
              <c:f>Оружие!$N$6</c:f>
              <c:strCache>
                <c:ptCount val="1"/>
                <c:pt idx="0">
                  <c:v>Волшебный жезл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Оружие!$O$6:$P$6</c:f>
              <c:numCache>
                <c:formatCode>0%</c:formatCode>
                <c:ptCount val="2"/>
                <c:pt idx="0">
                  <c:v>0.05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B-4FCC-9DE2-861135CD7913}"/>
            </c:ext>
          </c:extLst>
        </c:ser>
        <c:ser>
          <c:idx val="5"/>
          <c:order val="5"/>
          <c:tx>
            <c:strRef>
              <c:f>Оружие!$N$7</c:f>
              <c:strCache>
                <c:ptCount val="1"/>
                <c:pt idx="0">
                  <c:v>Желз случайностей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Оружие!$O$7:$P$7</c:f>
              <c:numCache>
                <c:formatCode>0%</c:formatCode>
                <c:ptCount val="2"/>
                <c:pt idx="0">
                  <c:v>0</c:v>
                </c:pt>
                <c:pt idx="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B-4FCC-9DE2-861135CD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25696"/>
        <c:axId val="295622368"/>
      </c:lineChart>
      <c:catAx>
        <c:axId val="29562569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622368"/>
        <c:crosses val="autoZero"/>
        <c:auto val="0"/>
        <c:lblAlgn val="ctr"/>
        <c:lblOffset val="100"/>
        <c:noMultiLvlLbl val="0"/>
      </c:catAx>
      <c:valAx>
        <c:axId val="2956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62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Оружие!$S$2</c:f>
              <c:strCache>
                <c:ptCount val="1"/>
                <c:pt idx="0">
                  <c:v>Ржавый меч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Оружие!$T$2:$U$2</c:f>
              <c:numCache>
                <c:formatCode>0%</c:formatCode>
                <c:ptCount val="2"/>
                <c:pt idx="0">
                  <c:v>0.4</c:v>
                </c:pt>
                <c:pt idx="1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0-4045-855F-BF1528D7F74C}"/>
            </c:ext>
          </c:extLst>
        </c:ser>
        <c:ser>
          <c:idx val="2"/>
          <c:order val="2"/>
          <c:tx>
            <c:strRef>
              <c:f>Оружие!$S$3</c:f>
              <c:strCache>
                <c:ptCount val="1"/>
                <c:pt idx="0">
                  <c:v>Железный меч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Оружие!$T$3:$U$3</c:f>
              <c:numCache>
                <c:formatCode>0%</c:formatCode>
                <c:ptCount val="2"/>
                <c:pt idx="0">
                  <c:v>0.15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0-4045-855F-BF1528D7F74C}"/>
            </c:ext>
          </c:extLst>
        </c:ser>
        <c:ser>
          <c:idx val="3"/>
          <c:order val="3"/>
          <c:tx>
            <c:strRef>
              <c:f>Оружие!$S$4</c:f>
              <c:strCache>
                <c:ptCount val="1"/>
                <c:pt idx="0">
                  <c:v>Серебрянный меч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Оружие!$T$4:$U$4</c:f>
              <c:numCache>
                <c:formatCode>0%</c:formatCode>
                <c:ptCount val="2"/>
                <c:pt idx="0">
                  <c:v>0.05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0-4045-855F-BF1528D7F74C}"/>
            </c:ext>
          </c:extLst>
        </c:ser>
        <c:ser>
          <c:idx val="4"/>
          <c:order val="4"/>
          <c:tx>
            <c:strRef>
              <c:f>Оружие!$S$5</c:f>
              <c:strCache>
                <c:ptCount val="1"/>
                <c:pt idx="0">
                  <c:v>Стеклянный меч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Оружие!$T$5:$U$5</c:f>
              <c:numCache>
                <c:formatCode>0%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0-4045-855F-BF1528D7F74C}"/>
            </c:ext>
          </c:extLst>
        </c:ser>
        <c:ser>
          <c:idx val="5"/>
          <c:order val="5"/>
          <c:tx>
            <c:strRef>
              <c:f>Оружие!$S$6</c:f>
              <c:strCache>
                <c:ptCount val="1"/>
                <c:pt idx="0">
                  <c:v>Волшебный жезл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Оружие!$T$6:$U$6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0-4045-855F-BF1528D7F74C}"/>
            </c:ext>
          </c:extLst>
        </c:ser>
        <c:ser>
          <c:idx val="6"/>
          <c:order val="6"/>
          <c:tx>
            <c:strRef>
              <c:f>Оружие!$S$7</c:f>
              <c:strCache>
                <c:ptCount val="1"/>
                <c:pt idx="0">
                  <c:v>Желз случайностей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Оружие!$T$7:$U$7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0-4045-855F-BF1528D7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09439"/>
        <c:axId val="155810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Оружие!$S$1</c15:sqref>
                        </c15:formulaRef>
                      </c:ext>
                    </c:extLst>
                    <c:strCache>
                      <c:ptCount val="1"/>
                      <c:pt idx="0">
                        <c:v>Сундук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Оружие!$T$1:$U$1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Оружие!$T$1:$U$1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AF0-4045-855F-BF1528D7F74C}"/>
                  </c:ext>
                </c:extLst>
              </c15:ser>
            </c15:filteredLineSeries>
          </c:ext>
        </c:extLst>
      </c:lineChart>
      <c:catAx>
        <c:axId val="1558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10271"/>
        <c:crosses val="autoZero"/>
        <c:auto val="1"/>
        <c:lblAlgn val="ctr"/>
        <c:lblOffset val="100"/>
        <c:noMultiLvlLbl val="0"/>
      </c:catAx>
      <c:valAx>
        <c:axId val="155810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0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Оружие!$X$2</c:f>
              <c:strCache>
                <c:ptCount val="1"/>
                <c:pt idx="0">
                  <c:v>Ржавый меч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Оружие!$Y$2:$Z$2</c:f>
              <c:numCache>
                <c:formatCode>0%</c:formatCode>
                <c:ptCount val="2"/>
                <c:pt idx="0">
                  <c:v>0.3</c:v>
                </c:pt>
                <c:pt idx="1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52-423E-8827-03B58550361F}"/>
            </c:ext>
          </c:extLst>
        </c:ser>
        <c:ser>
          <c:idx val="1"/>
          <c:order val="1"/>
          <c:tx>
            <c:strRef>
              <c:f>Оружие!$X$3</c:f>
              <c:strCache>
                <c:ptCount val="1"/>
                <c:pt idx="0">
                  <c:v>Железный меч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Оружие!$Y$3:$Z$3</c:f>
              <c:numCache>
                <c:formatCode>0%</c:formatCode>
                <c:ptCount val="2"/>
                <c:pt idx="0">
                  <c:v>0.2</c:v>
                </c:pt>
                <c:pt idx="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52-423E-8827-03B58550361F}"/>
            </c:ext>
          </c:extLst>
        </c:ser>
        <c:ser>
          <c:idx val="2"/>
          <c:order val="2"/>
          <c:tx>
            <c:strRef>
              <c:f>Оружие!$X$4</c:f>
              <c:strCache>
                <c:ptCount val="1"/>
                <c:pt idx="0">
                  <c:v>Серебрянный меч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Оружие!$Y$4:$Z$4</c:f>
              <c:numCache>
                <c:formatCode>0%</c:formatCode>
                <c:ptCount val="2"/>
                <c:pt idx="0">
                  <c:v>0.05</c:v>
                </c:pt>
                <c:pt idx="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52-423E-8827-03B58550361F}"/>
            </c:ext>
          </c:extLst>
        </c:ser>
        <c:ser>
          <c:idx val="3"/>
          <c:order val="3"/>
          <c:tx>
            <c:strRef>
              <c:f>Оружие!$X$5</c:f>
              <c:strCache>
                <c:ptCount val="1"/>
                <c:pt idx="0">
                  <c:v>Стеклянный меч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Оружие!$Y$5:$Z$5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52-423E-8827-03B58550361F}"/>
            </c:ext>
          </c:extLst>
        </c:ser>
        <c:ser>
          <c:idx val="4"/>
          <c:order val="4"/>
          <c:tx>
            <c:strRef>
              <c:f>Оружие!$X$6</c:f>
              <c:strCache>
                <c:ptCount val="1"/>
                <c:pt idx="0">
                  <c:v>Волшебный жезл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Оружие!$Y$6:$Z$6</c:f>
              <c:numCache>
                <c:formatCode>0%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52-423E-8827-03B58550361F}"/>
            </c:ext>
          </c:extLst>
        </c:ser>
        <c:ser>
          <c:idx val="5"/>
          <c:order val="5"/>
          <c:tx>
            <c:strRef>
              <c:f>Оружие!$X$7</c:f>
              <c:strCache>
                <c:ptCount val="1"/>
                <c:pt idx="0">
                  <c:v>Желз случайностей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Оружие!$Y$7:$Z$7</c:f>
              <c:numCache>
                <c:formatCode>0%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52-423E-8827-03B58550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09439"/>
        <c:axId val="155810271"/>
        <c:extLst/>
      </c:lineChart>
      <c:catAx>
        <c:axId val="1558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10271"/>
        <c:crosses val="autoZero"/>
        <c:auto val="1"/>
        <c:lblAlgn val="ctr"/>
        <c:lblOffset val="100"/>
        <c:noMultiLvlLbl val="0"/>
      </c:catAx>
      <c:valAx>
        <c:axId val="155810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0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Броня!$N$2</c:f>
              <c:strCache>
                <c:ptCount val="1"/>
                <c:pt idx="0">
                  <c:v>Ведро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Броня!$O$2:$P$2</c:f>
              <c:numCache>
                <c:formatCode>0%</c:formatCode>
                <c:ptCount val="2"/>
                <c:pt idx="0">
                  <c:v>0.85</c:v>
                </c:pt>
                <c:pt idx="1">
                  <c:v>-0.85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0-4065-A6F6-7FB185C7B0EC}"/>
            </c:ext>
          </c:extLst>
        </c:ser>
        <c:ser>
          <c:idx val="1"/>
          <c:order val="1"/>
          <c:tx>
            <c:strRef>
              <c:f>Броня!$N$3</c:f>
              <c:strCache>
                <c:ptCount val="1"/>
                <c:pt idx="0">
                  <c:v>Кожанный шлем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Броня!$O$3:$P$3</c:f>
              <c:numCache>
                <c:formatCode>0%</c:formatCode>
                <c:ptCount val="2"/>
                <c:pt idx="0">
                  <c:v>0.1</c:v>
                </c:pt>
                <c:pt idx="1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0-4065-A6F6-7FB185C7B0EC}"/>
            </c:ext>
          </c:extLst>
        </c:ser>
        <c:ser>
          <c:idx val="2"/>
          <c:order val="2"/>
          <c:tx>
            <c:strRef>
              <c:f>Броня!$N$4</c:f>
              <c:strCache>
                <c:ptCount val="1"/>
                <c:pt idx="0">
                  <c:v>Железный шлем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Броня!$O$4:$P$4</c:f>
              <c:numCache>
                <c:formatCode>0%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0-4065-A6F6-7FB185C7B0EC}"/>
            </c:ext>
          </c:extLst>
        </c:ser>
        <c:ser>
          <c:idx val="3"/>
          <c:order val="3"/>
          <c:tx>
            <c:strRef>
              <c:f>Броня!$N$5</c:f>
              <c:strCache>
                <c:ptCount val="1"/>
                <c:pt idx="0">
                  <c:v>Кожанная куртка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Броня!$O$5:$P$5</c:f>
              <c:numCache>
                <c:formatCode>0%</c:formatCode>
                <c:ptCount val="2"/>
                <c:pt idx="0">
                  <c:v>0.05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0-4065-A6F6-7FB185C7B0EC}"/>
            </c:ext>
          </c:extLst>
        </c:ser>
        <c:ser>
          <c:idx val="4"/>
          <c:order val="4"/>
          <c:tx>
            <c:strRef>
              <c:f>Броня!$N$6</c:f>
              <c:strCache>
                <c:ptCount val="1"/>
                <c:pt idx="0">
                  <c:v>Железная кираса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Броня!$O$6:$P$6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0-4065-A6F6-7FB185C7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351055"/>
        <c:axId val="1496356879"/>
      </c:lineChart>
      <c:catAx>
        <c:axId val="14963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356879"/>
        <c:crosses val="autoZero"/>
        <c:auto val="1"/>
        <c:lblAlgn val="ctr"/>
        <c:lblOffset val="100"/>
        <c:noMultiLvlLbl val="0"/>
      </c:catAx>
      <c:valAx>
        <c:axId val="1496356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35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Броня!$S$2</c:f>
              <c:strCache>
                <c:ptCount val="1"/>
                <c:pt idx="0">
                  <c:v>Кожанный шлем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Броня!$T$2:$U$2</c:f>
              <c:numCache>
                <c:formatCode>0%</c:formatCode>
                <c:ptCount val="2"/>
                <c:pt idx="0">
                  <c:v>0.55000000000000004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A-41CE-8615-2142B2E95908}"/>
            </c:ext>
          </c:extLst>
        </c:ser>
        <c:ser>
          <c:idx val="2"/>
          <c:order val="2"/>
          <c:tx>
            <c:strRef>
              <c:f>Броня!$S$3</c:f>
              <c:strCache>
                <c:ptCount val="1"/>
                <c:pt idx="0">
                  <c:v>Железный шлем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Броня!$T$3:$U$3</c:f>
              <c:numCache>
                <c:formatCode>0%</c:formatCode>
                <c:ptCount val="2"/>
                <c:pt idx="0">
                  <c:v>0.25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A-41CE-8615-2142B2E95908}"/>
            </c:ext>
          </c:extLst>
        </c:ser>
        <c:ser>
          <c:idx val="3"/>
          <c:order val="3"/>
          <c:tx>
            <c:strRef>
              <c:f>Броня!$S$4</c:f>
              <c:strCache>
                <c:ptCount val="1"/>
                <c:pt idx="0">
                  <c:v>Кожанная куртка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Броня!$T$4:$U$4</c:f>
              <c:numCache>
                <c:formatCode>0%</c:formatCode>
                <c:ptCount val="2"/>
                <c:pt idx="0">
                  <c:v>0.14000000000000001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A-41CE-8615-2142B2E95908}"/>
            </c:ext>
          </c:extLst>
        </c:ser>
        <c:ser>
          <c:idx val="4"/>
          <c:order val="4"/>
          <c:tx>
            <c:strRef>
              <c:f>Броня!$S$5</c:f>
              <c:strCache>
                <c:ptCount val="1"/>
                <c:pt idx="0">
                  <c:v>Железная кираса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Броня!$T$5:$U$5</c:f>
              <c:numCache>
                <c:formatCode>0%</c:formatCode>
                <c:ptCount val="2"/>
                <c:pt idx="0">
                  <c:v>0.06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A-41CE-8615-2142B2E9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99983"/>
        <c:axId val="2657110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Броня!$S$1</c15:sqref>
                        </c15:formulaRef>
                      </c:ext>
                    </c:extLst>
                    <c:strCache>
                      <c:ptCount val="1"/>
                      <c:pt idx="0">
                        <c:v>Сундук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Броня!$T$1:$U$1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Броня!$T$1:$U$1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FA-41CE-8615-2142B2E95908}"/>
                  </c:ext>
                </c:extLst>
              </c15:ser>
            </c15:filteredLineSeries>
          </c:ext>
        </c:extLst>
      </c:lineChart>
      <c:catAx>
        <c:axId val="2895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711087"/>
        <c:crosses val="autoZero"/>
        <c:auto val="1"/>
        <c:lblAlgn val="ctr"/>
        <c:lblOffset val="100"/>
        <c:noMultiLvlLbl val="0"/>
      </c:catAx>
      <c:valAx>
        <c:axId val="2657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Броня!$X$2</c:f>
              <c:strCache>
                <c:ptCount val="1"/>
                <c:pt idx="0">
                  <c:v>Ведро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Броня!$Y$2:$Z$2</c:f>
              <c:numCache>
                <c:formatCode>0%</c:formatCode>
                <c:ptCount val="2"/>
                <c:pt idx="0">
                  <c:v>0.5</c:v>
                </c:pt>
                <c:pt idx="1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15-49E8-82BA-E4298EF823A6}"/>
            </c:ext>
          </c:extLst>
        </c:ser>
        <c:ser>
          <c:idx val="1"/>
          <c:order val="1"/>
          <c:tx>
            <c:strRef>
              <c:f>Броня!$X$3</c:f>
              <c:strCache>
                <c:ptCount val="1"/>
                <c:pt idx="0">
                  <c:v>Кожанный шлем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Броня!$Y$3:$Z$3</c:f>
              <c:numCache>
                <c:formatCode>0%</c:formatCode>
                <c:ptCount val="2"/>
                <c:pt idx="0">
                  <c:v>0.27500000000000002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15-49E8-82BA-E4298EF823A6}"/>
            </c:ext>
          </c:extLst>
        </c:ser>
        <c:ser>
          <c:idx val="2"/>
          <c:order val="2"/>
          <c:tx>
            <c:strRef>
              <c:f>Броня!$X$4</c:f>
              <c:strCache>
                <c:ptCount val="1"/>
                <c:pt idx="0">
                  <c:v>Железный шлем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Броня!$Y$4:$Z$4</c:f>
              <c:numCache>
                <c:formatCode>0%</c:formatCode>
                <c:ptCount val="2"/>
                <c:pt idx="0">
                  <c:v>0.125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15-49E8-82BA-E4298EF823A6}"/>
            </c:ext>
          </c:extLst>
        </c:ser>
        <c:ser>
          <c:idx val="3"/>
          <c:order val="3"/>
          <c:tx>
            <c:strRef>
              <c:f>Броня!$X$5</c:f>
              <c:strCache>
                <c:ptCount val="1"/>
                <c:pt idx="0">
                  <c:v>Кожанная куртка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Броня!$Y$5:$Z$5</c:f>
              <c:numCache>
                <c:formatCode>0%</c:formatCode>
                <c:ptCount val="2"/>
                <c:pt idx="0">
                  <c:v>7.0000000000000007E-2</c:v>
                </c:pt>
                <c:pt idx="1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15-49E8-82BA-E4298EF823A6}"/>
            </c:ext>
          </c:extLst>
        </c:ser>
        <c:ser>
          <c:idx val="4"/>
          <c:order val="4"/>
          <c:tx>
            <c:strRef>
              <c:f>Броня!$X$6</c:f>
              <c:strCache>
                <c:ptCount val="1"/>
                <c:pt idx="0">
                  <c:v>Железная кираса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Броня!$Y$6:$Z$6</c:f>
              <c:numCache>
                <c:formatCode>0%</c:formatCode>
                <c:ptCount val="2"/>
                <c:pt idx="0">
                  <c:v>0.03</c:v>
                </c:pt>
                <c:pt idx="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15-49E8-82BA-E4298EF82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99983"/>
        <c:axId val="265711087"/>
        <c:extLst/>
      </c:lineChart>
      <c:catAx>
        <c:axId val="2895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711087"/>
        <c:crosses val="autoZero"/>
        <c:auto val="1"/>
        <c:lblAlgn val="ctr"/>
        <c:lblOffset val="100"/>
        <c:noMultiLvlLbl val="0"/>
      </c:catAx>
      <c:valAx>
        <c:axId val="2657110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Хил!$N$2</c:f>
              <c:strCache>
                <c:ptCount val="1"/>
                <c:pt idx="0">
                  <c:v>Бинт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Хил!$O$2:$P$2</c:f>
              <c:numCache>
                <c:formatCode>0%</c:formatCode>
                <c:ptCount val="2"/>
                <c:pt idx="0">
                  <c:v>0.67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B-4A8A-98BC-9472E36B5B39}"/>
            </c:ext>
          </c:extLst>
        </c:ser>
        <c:ser>
          <c:idx val="2"/>
          <c:order val="2"/>
          <c:tx>
            <c:strRef>
              <c:f>Хил!$N$3</c:f>
              <c:strCache>
                <c:ptCount val="1"/>
                <c:pt idx="0">
                  <c:v>Реген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Хил!$O$3:$P$3</c:f>
              <c:numCache>
                <c:formatCode>0%</c:formatCode>
                <c:ptCount val="2"/>
                <c:pt idx="0">
                  <c:v>0.22</c:v>
                </c:pt>
                <c:pt idx="1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B-4A8A-98BC-9472E36B5B39}"/>
            </c:ext>
          </c:extLst>
        </c:ser>
        <c:ser>
          <c:idx val="3"/>
          <c:order val="3"/>
          <c:tx>
            <c:strRef>
              <c:f>Хил!$N$4</c:f>
              <c:strCache>
                <c:ptCount val="1"/>
                <c:pt idx="0">
                  <c:v>Сила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Хил!$O$4:$P$4</c:f>
              <c:numCache>
                <c:formatCode>0%</c:formatCode>
                <c:ptCount val="2"/>
                <c:pt idx="0">
                  <c:v>0.1</c:v>
                </c:pt>
                <c:pt idx="1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B-4A8A-98BC-9472E36B5B39}"/>
            </c:ext>
          </c:extLst>
        </c:ser>
        <c:ser>
          <c:idx val="4"/>
          <c:order val="4"/>
          <c:tx>
            <c:strRef>
              <c:f>Хил!$N$5</c:f>
              <c:strCache>
                <c:ptCount val="1"/>
                <c:pt idx="0">
                  <c:v>Рандом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Хил!$O$5:$P$5</c:f>
              <c:numCache>
                <c:formatCode>0%</c:formatCode>
                <c:ptCount val="2"/>
                <c:pt idx="0">
                  <c:v>0.01</c:v>
                </c:pt>
                <c:pt idx="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B-4A8A-98BC-9472E36B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30671"/>
        <c:axId val="404328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Хил!$N$1</c15:sqref>
                        </c15:formulaRef>
                      </c:ext>
                    </c:extLst>
                    <c:strCache>
                      <c:ptCount val="1"/>
                      <c:pt idx="0">
                        <c:v>Комната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Хил!$O$1:$P$1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Хил!$O$1:$P$1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5B-4A8A-98BC-9472E36B5B39}"/>
                  </c:ext>
                </c:extLst>
              </c15:ser>
            </c15:filteredLineSeries>
          </c:ext>
        </c:extLst>
      </c:lineChart>
      <c:catAx>
        <c:axId val="4043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28591"/>
        <c:crosses val="autoZero"/>
        <c:auto val="1"/>
        <c:lblAlgn val="ctr"/>
        <c:lblOffset val="100"/>
        <c:noMultiLvlLbl val="0"/>
      </c:catAx>
      <c:valAx>
        <c:axId val="4043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Хил!$S$2</c:f>
              <c:strCache>
                <c:ptCount val="1"/>
                <c:pt idx="0">
                  <c:v>Бинт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Хил!$T$2:$U$2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3-46F3-99AD-36B4DC1EF5B2}"/>
            </c:ext>
          </c:extLst>
        </c:ser>
        <c:ser>
          <c:idx val="1"/>
          <c:order val="1"/>
          <c:tx>
            <c:strRef>
              <c:f>Хил!$S$3</c:f>
              <c:strCache>
                <c:ptCount val="1"/>
                <c:pt idx="0">
                  <c:v>Реген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Хил!$T$3:$U$3</c:f>
              <c:numCache>
                <c:formatCode>0%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3-46F3-99AD-36B4DC1EF5B2}"/>
            </c:ext>
          </c:extLst>
        </c:ser>
        <c:ser>
          <c:idx val="2"/>
          <c:order val="2"/>
          <c:tx>
            <c:strRef>
              <c:f>Хил!$S$4</c:f>
              <c:strCache>
                <c:ptCount val="1"/>
                <c:pt idx="0">
                  <c:v>Сила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Хил!$T$4:$U$4</c:f>
              <c:numCache>
                <c:formatCode>0%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23-46F3-99AD-36B4DC1EF5B2}"/>
            </c:ext>
          </c:extLst>
        </c:ser>
        <c:ser>
          <c:idx val="3"/>
          <c:order val="3"/>
          <c:tx>
            <c:strRef>
              <c:f>Хил!$S$5</c:f>
              <c:strCache>
                <c:ptCount val="1"/>
                <c:pt idx="0">
                  <c:v>Рандом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Хил!$T$5:$U$5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23-46F3-99AD-36B4DC1E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30671"/>
        <c:axId val="404328591"/>
        <c:extLst/>
      </c:lineChart>
      <c:catAx>
        <c:axId val="4043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28591"/>
        <c:crosses val="autoZero"/>
        <c:auto val="1"/>
        <c:lblAlgn val="ctr"/>
        <c:lblOffset val="100"/>
        <c:noMultiLvlLbl val="0"/>
      </c:catAx>
      <c:valAx>
        <c:axId val="4043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Хил!$X$2</c:f>
              <c:strCache>
                <c:ptCount val="1"/>
                <c:pt idx="0">
                  <c:v>Бинт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Хил!$Y$2:$Z$2</c:f>
              <c:numCache>
                <c:formatCode>0%</c:formatCode>
                <c:ptCount val="2"/>
                <c:pt idx="0">
                  <c:v>0.3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B-44C7-8B1C-53B4A2B4D2F6}"/>
            </c:ext>
          </c:extLst>
        </c:ser>
        <c:ser>
          <c:idx val="1"/>
          <c:order val="1"/>
          <c:tx>
            <c:strRef>
              <c:f>Хил!$X$3</c:f>
              <c:strCache>
                <c:ptCount val="1"/>
                <c:pt idx="0">
                  <c:v>Реген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Хил!$Y$3:$Z$3</c:f>
              <c:numCache>
                <c:formatCode>0%</c:formatCode>
                <c:ptCount val="2"/>
                <c:pt idx="0">
                  <c:v>0.4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CB-44C7-8B1C-53B4A2B4D2F6}"/>
            </c:ext>
          </c:extLst>
        </c:ser>
        <c:ser>
          <c:idx val="2"/>
          <c:order val="2"/>
          <c:tx>
            <c:strRef>
              <c:f>Хил!$X$4</c:f>
              <c:strCache>
                <c:ptCount val="1"/>
                <c:pt idx="0">
                  <c:v>Сила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Хил!$Y$4:$Z$4</c:f>
              <c:numCache>
                <c:formatCode>0%</c:formatCode>
                <c:ptCount val="2"/>
                <c:pt idx="0">
                  <c:v>0.2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CB-44C7-8B1C-53B4A2B4D2F6}"/>
            </c:ext>
          </c:extLst>
        </c:ser>
        <c:ser>
          <c:idx val="3"/>
          <c:order val="3"/>
          <c:tx>
            <c:strRef>
              <c:f>Хил!$X$5</c:f>
              <c:strCache>
                <c:ptCount val="1"/>
                <c:pt idx="0">
                  <c:v>Рандом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Хил!$Y$5:$Z$5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CB-44C7-8B1C-53B4A2B4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30671"/>
        <c:axId val="404328591"/>
        <c:extLst/>
      </c:lineChart>
      <c:catAx>
        <c:axId val="4043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28591"/>
        <c:crosses val="autoZero"/>
        <c:auto val="1"/>
        <c:lblAlgn val="ctr"/>
        <c:lblOffset val="100"/>
        <c:noMultiLvlLbl val="0"/>
      </c:catAx>
      <c:valAx>
        <c:axId val="4043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8</xdr:row>
      <xdr:rowOff>0</xdr:rowOff>
    </xdr:from>
    <xdr:to>
      <xdr:col>17</xdr:col>
      <xdr:colOff>8282</xdr:colOff>
      <xdr:row>21</xdr:row>
      <xdr:rowOff>4533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F92BC0-681F-435D-BBEE-9A5F6DC38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1267238</xdr:colOff>
      <xdr:row>8</xdr:row>
      <xdr:rowOff>0</xdr:rowOff>
    </xdr:from>
    <xdr:to>
      <xdr:col>22</xdr:col>
      <xdr:colOff>16564</xdr:colOff>
      <xdr:row>21</xdr:row>
      <xdr:rowOff>4970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D75B84B-06E3-41E4-BE5A-BC10ACACF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26</xdr:col>
      <xdr:colOff>694765</xdr:colOff>
      <xdr:row>21</xdr:row>
      <xdr:rowOff>4970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AD61060-4D13-4D81-8F31-19697F1D9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596A99-1013-4B3A-AF97-3AB9EDB1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22</xdr:col>
      <xdr:colOff>14654</xdr:colOff>
      <xdr:row>19</xdr:row>
      <xdr:rowOff>183173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A5D1363-39C8-4626-BB27-9F9AE54FD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27</xdr:col>
      <xdr:colOff>11206</xdr:colOff>
      <xdr:row>19</xdr:row>
      <xdr:rowOff>183173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DF158E-AAF8-41E8-817D-BF04C465F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7</xdr:row>
      <xdr:rowOff>0</xdr:rowOff>
    </xdr:from>
    <xdr:to>
      <xdr:col>17</xdr:col>
      <xdr:colOff>0</xdr:colOff>
      <xdr:row>17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7D954B-7204-466A-B61F-464CB3E78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612912</xdr:colOff>
      <xdr:row>7</xdr:row>
      <xdr:rowOff>0</xdr:rowOff>
    </xdr:from>
    <xdr:to>
      <xdr:col>21</xdr:col>
      <xdr:colOff>546651</xdr:colOff>
      <xdr:row>17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3B8DA6D-ECBB-44C9-9878-CF5E08893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27</xdr:col>
      <xdr:colOff>0</xdr:colOff>
      <xdr:row>17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002081D-0594-4FA4-98B2-F333B821B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0317-C85F-4DE1-A2E3-A5000CEF4AEC}">
  <dimension ref="A1:B5"/>
  <sheetViews>
    <sheetView workbookViewId="0">
      <selection activeCell="A2" sqref="A2"/>
    </sheetView>
  </sheetViews>
  <sheetFormatPr defaultRowHeight="15" x14ac:dyDescent="0.25"/>
  <cols>
    <col min="1" max="1" width="41.7109375" bestFit="1" customWidth="1"/>
  </cols>
  <sheetData>
    <row r="1" spans="1:2" x14ac:dyDescent="0.25">
      <c r="A1" t="s">
        <v>23</v>
      </c>
      <c r="B1" s="2">
        <v>0.2</v>
      </c>
    </row>
    <row r="2" spans="1:2" x14ac:dyDescent="0.25">
      <c r="A2" t="s">
        <v>13</v>
      </c>
      <c r="B2" s="7">
        <v>0.01</v>
      </c>
    </row>
    <row r="3" spans="1:2" x14ac:dyDescent="0.25">
      <c r="A3">
        <v>10</v>
      </c>
      <c r="B3" s="7">
        <f>A3*B2</f>
        <v>0.1</v>
      </c>
    </row>
    <row r="4" spans="1:2" x14ac:dyDescent="0.25">
      <c r="A4">
        <v>50</v>
      </c>
      <c r="B4" s="7">
        <f>A4*B2</f>
        <v>0.5</v>
      </c>
    </row>
    <row r="5" spans="1:2" x14ac:dyDescent="0.25">
      <c r="A5">
        <v>100</v>
      </c>
      <c r="B5" s="7">
        <f>A5*B2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1594-8D3E-489F-BDC2-402FECB14F0E}">
  <dimension ref="A1:A2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9075-37CB-469C-98A8-A9CDFB6F6906}">
  <dimension ref="A1:B1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</v>
      </c>
      <c r="B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34A5-E026-47EB-BBDA-E748A36D966E}">
  <dimension ref="A1:Z35"/>
  <sheetViews>
    <sheetView zoomScaleNormal="100" workbookViewId="0">
      <selection activeCell="M28" sqref="M28"/>
    </sheetView>
  </sheetViews>
  <sheetFormatPr defaultRowHeight="15" x14ac:dyDescent="0.25"/>
  <cols>
    <col min="1" max="1" width="9.7109375" bestFit="1" customWidth="1"/>
    <col min="5" max="5" width="12.42578125" bestFit="1" customWidth="1"/>
    <col min="13" max="13" width="9.7109375" bestFit="1" customWidth="1"/>
    <col min="19" max="19" width="22.85546875" bestFit="1" customWidth="1"/>
    <col min="21" max="21" width="29.85546875" bestFit="1" customWidth="1"/>
    <col min="23" max="23" width="14.42578125" bestFit="1" customWidth="1"/>
  </cols>
  <sheetData>
    <row r="1" spans="1:26" x14ac:dyDescent="0.25">
      <c r="A1" s="3">
        <v>0</v>
      </c>
      <c r="B1" s="21" t="s">
        <v>12</v>
      </c>
      <c r="C1" s="21"/>
      <c r="D1" s="21"/>
      <c r="E1" s="21"/>
      <c r="F1" s="5" t="s">
        <v>0</v>
      </c>
      <c r="G1" s="5"/>
      <c r="H1" s="5" t="s">
        <v>8</v>
      </c>
      <c r="I1" s="5"/>
      <c r="J1" s="5" t="s">
        <v>9</v>
      </c>
      <c r="K1" s="5"/>
      <c r="N1" s="3">
        <v>0</v>
      </c>
      <c r="O1" s="3">
        <v>10</v>
      </c>
      <c r="P1" s="3">
        <v>50</v>
      </c>
      <c r="Q1" s="3">
        <v>100</v>
      </c>
      <c r="W1" s="10"/>
      <c r="X1" s="10"/>
      <c r="Y1" s="10"/>
      <c r="Z1" s="10"/>
    </row>
    <row r="2" spans="1:26" x14ac:dyDescent="0.25">
      <c r="A2" s="3"/>
      <c r="B2" s="5" t="s">
        <v>0</v>
      </c>
      <c r="C2" s="5" t="s">
        <v>8</v>
      </c>
      <c r="D2" s="3" t="s">
        <v>9</v>
      </c>
      <c r="E2" s="3" t="s">
        <v>14</v>
      </c>
      <c r="F2" s="3" t="s">
        <v>10</v>
      </c>
      <c r="G2" s="3" t="s">
        <v>11</v>
      </c>
      <c r="H2" s="3" t="s">
        <v>10</v>
      </c>
      <c r="I2" s="3" t="s">
        <v>11</v>
      </c>
      <c r="J2" s="3" t="s">
        <v>10</v>
      </c>
      <c r="K2" s="3" t="s">
        <v>11</v>
      </c>
      <c r="M2" s="3" t="s">
        <v>2</v>
      </c>
      <c r="N2" s="8">
        <f>0.6</f>
        <v>0.6</v>
      </c>
      <c r="O2" s="8">
        <v>0.4</v>
      </c>
      <c r="P2" s="8">
        <v>0.15</v>
      </c>
      <c r="Q2" s="8">
        <v>0.05</v>
      </c>
      <c r="S2" t="str">
        <f>"y="&amp;(Q2-N2)&amp;"x"&amp;"+"&amp;N2*100</f>
        <v>y=-0,55x+60</v>
      </c>
      <c r="T2" s="9"/>
      <c r="W2" s="10"/>
      <c r="X2" s="11"/>
      <c r="Y2" s="11"/>
      <c r="Z2" s="11"/>
    </row>
    <row r="3" spans="1:26" x14ac:dyDescent="0.25">
      <c r="A3" s="3" t="s">
        <v>2</v>
      </c>
      <c r="B3" s="6">
        <f>Игрок!$B$1*0.2</f>
        <v>20</v>
      </c>
      <c r="C3" s="6">
        <f>Игрок!$B$1*0.1</f>
        <v>10</v>
      </c>
      <c r="D3" s="6">
        <f>B3*0.1</f>
        <v>2</v>
      </c>
      <c r="E3" s="8">
        <f>0.6</f>
        <v>0.6</v>
      </c>
      <c r="F3" s="6">
        <f>$B3*(1-Баланс!$B$1)</f>
        <v>16</v>
      </c>
      <c r="G3" s="6">
        <f>$B3*(1+Баланс!$B$1)</f>
        <v>24</v>
      </c>
      <c r="H3" s="6">
        <f>$C3*(1-Баланс!$B$1)</f>
        <v>8</v>
      </c>
      <c r="I3" s="6">
        <f>$C3*(1+Баланс!$B$1)</f>
        <v>12</v>
      </c>
      <c r="J3" s="6">
        <f>$D3*(1-Баланс!$B$1)</f>
        <v>1.6</v>
      </c>
      <c r="K3" s="6">
        <f>$D3*(1+Баланс!$B$1)</f>
        <v>2.4</v>
      </c>
      <c r="M3" s="3" t="s">
        <v>3</v>
      </c>
      <c r="N3" s="8">
        <f>0.3</f>
        <v>0.3</v>
      </c>
      <c r="O3" s="8">
        <v>0.35</v>
      </c>
      <c r="P3" s="8">
        <v>0.25</v>
      </c>
      <c r="Q3" s="8">
        <v>0.1</v>
      </c>
      <c r="S3" t="str">
        <f>"y="&amp;(O3-N3)/10&amp;"x"&amp;"+"&amp;N3*100&amp;" при 0&gt;x&lt;10"</f>
        <v>y=0,005x+30 при 0&gt;x&lt;10</v>
      </c>
      <c r="T3" s="1" t="s">
        <v>15</v>
      </c>
      <c r="U3" t="str">
        <f>"y="&amp;ROUND((Q3-O3)/(Q1-O1),5)&amp;"x"&amp;"+"&amp;O3*100&amp;" при 10&lt;=x&lt;100"</f>
        <v>y=-0,00278x+35 при 10&lt;=x&lt;100</v>
      </c>
      <c r="V3" s="1" t="s">
        <v>15</v>
      </c>
      <c r="W3" t="str">
        <f>"y=5 при x&gt;=100"</f>
        <v>y=5 при x&gt;=100</v>
      </c>
      <c r="X3" s="11"/>
      <c r="Y3" s="11"/>
      <c r="Z3" s="11"/>
    </row>
    <row r="4" spans="1:26" x14ac:dyDescent="0.25">
      <c r="A4" s="3" t="s">
        <v>3</v>
      </c>
      <c r="B4" s="6">
        <f>Игрок!$B$1*0.1</f>
        <v>10</v>
      </c>
      <c r="C4" s="6">
        <f>Игрок!$B$1*0.2</f>
        <v>20</v>
      </c>
      <c r="D4" s="6">
        <f>B4*0.1</f>
        <v>1</v>
      </c>
      <c r="E4" s="8">
        <f>0.3</f>
        <v>0.3</v>
      </c>
      <c r="F4" s="6">
        <f>$B4*(1-Баланс!$B$1)</f>
        <v>8</v>
      </c>
      <c r="G4" s="6">
        <f>$B4*(1+Баланс!$B$1)</f>
        <v>12</v>
      </c>
      <c r="H4" s="6">
        <f>$C4*(1-Баланс!$B$1)</f>
        <v>16</v>
      </c>
      <c r="I4" s="6">
        <f>$C4*(1+Баланс!$B$1)</f>
        <v>24</v>
      </c>
      <c r="J4" s="6">
        <f>$D4*(1-Баланс!$B$1)</f>
        <v>0.8</v>
      </c>
      <c r="K4" s="6">
        <f>$D4*(1+Баланс!$B$1)</f>
        <v>1.2</v>
      </c>
      <c r="M4" s="3" t="s">
        <v>4</v>
      </c>
      <c r="N4" s="8">
        <f>0.1</f>
        <v>0.1</v>
      </c>
      <c r="O4" s="8">
        <v>0.15</v>
      </c>
      <c r="P4" s="8">
        <v>0.25</v>
      </c>
      <c r="Q4" s="8">
        <v>0.25</v>
      </c>
      <c r="S4" t="str">
        <f>"y="&amp;(Q4-N4)&amp;"x"&amp;"+"&amp;N4*100</f>
        <v>y=0,15x+10</v>
      </c>
      <c r="T4" s="9"/>
      <c r="W4" s="10"/>
      <c r="X4" s="11"/>
      <c r="Y4" s="11"/>
      <c r="Z4" s="11"/>
    </row>
    <row r="5" spans="1:26" x14ac:dyDescent="0.25">
      <c r="A5" s="3" t="s">
        <v>4</v>
      </c>
      <c r="B5" s="6">
        <f>Игрок!$B$1*0.5</f>
        <v>50</v>
      </c>
      <c r="C5" s="6">
        <f>Игрок!$B$1*0.05</f>
        <v>5</v>
      </c>
      <c r="D5" s="6">
        <f>B5*0.05</f>
        <v>2.5</v>
      </c>
      <c r="E5" s="8">
        <f>0.1</f>
        <v>0.1</v>
      </c>
      <c r="F5" s="6">
        <f>$B5*(1-Баланс!$B$1)</f>
        <v>40</v>
      </c>
      <c r="G5" s="6">
        <f>$B5*(1+Баланс!$B$1)</f>
        <v>60</v>
      </c>
      <c r="H5" s="6">
        <f>$C5*(1-Баланс!$B$1)</f>
        <v>4</v>
      </c>
      <c r="I5" s="6">
        <f>$C5*(1+Баланс!$B$1)</f>
        <v>6</v>
      </c>
      <c r="J5" s="6">
        <f>$D5*(1-Баланс!$B$1)</f>
        <v>2</v>
      </c>
      <c r="K5" s="6">
        <f>$D5*(1+Баланс!$B$1)</f>
        <v>3</v>
      </c>
      <c r="M5" s="3" t="s">
        <v>5</v>
      </c>
      <c r="N5" s="8">
        <v>0</v>
      </c>
      <c r="O5" s="8">
        <v>0.1</v>
      </c>
      <c r="P5" s="8">
        <v>0.25</v>
      </c>
      <c r="Q5" s="8">
        <v>0.35</v>
      </c>
      <c r="S5" t="str">
        <f>"y="&amp;(Q5-N5)&amp;"x"&amp;"+"&amp;N5*100</f>
        <v>y=0,35x+0</v>
      </c>
      <c r="T5" s="9"/>
      <c r="W5" s="10"/>
      <c r="X5" s="11"/>
      <c r="Y5" s="11"/>
      <c r="Z5" s="11"/>
    </row>
    <row r="6" spans="1:26" x14ac:dyDescent="0.25">
      <c r="A6" s="3" t="s">
        <v>5</v>
      </c>
      <c r="B6" s="6">
        <f>B4*1.5</f>
        <v>15</v>
      </c>
      <c r="C6" s="6">
        <f>C3*1.5</f>
        <v>15</v>
      </c>
      <c r="D6" s="6">
        <v>0</v>
      </c>
      <c r="E6" s="8">
        <v>0</v>
      </c>
      <c r="F6" s="6">
        <f>$B6*(1-Баланс!$B$1)</f>
        <v>12</v>
      </c>
      <c r="G6" s="6">
        <f>$B6*(1+Баланс!$B$1)</f>
        <v>18</v>
      </c>
      <c r="H6" s="6">
        <f>$C6*(1-Баланс!$B$1)</f>
        <v>12</v>
      </c>
      <c r="I6" s="6">
        <f>$C6*(1+Баланс!$B$1)</f>
        <v>18</v>
      </c>
      <c r="J6" s="6">
        <f>$D6*(1-Баланс!$B$1)</f>
        <v>0</v>
      </c>
      <c r="K6" s="6">
        <f>$D6*(1+Баланс!$B$1)</f>
        <v>0</v>
      </c>
      <c r="M6" s="3" t="s">
        <v>6</v>
      </c>
      <c r="N6" s="8">
        <v>0</v>
      </c>
      <c r="O6" s="8">
        <v>0</v>
      </c>
      <c r="P6" s="8">
        <v>0.1</v>
      </c>
      <c r="Q6" s="8">
        <v>0.25</v>
      </c>
      <c r="S6" t="str">
        <f>"у=0, при x&lt;=10"</f>
        <v>у=0, при x&lt;=10</v>
      </c>
      <c r="T6" s="12" t="s">
        <v>15</v>
      </c>
      <c r="U6" t="str">
        <f>"y="&amp;(Q6-N6)&amp;"x"&amp;"+"&amp;N6*100&amp;" при x&gt;10"</f>
        <v>y=0,25x+0 при x&gt;10</v>
      </c>
      <c r="W6" s="10"/>
      <c r="X6" s="11"/>
      <c r="Y6" s="11"/>
      <c r="Z6" s="11"/>
    </row>
    <row r="7" spans="1:26" x14ac:dyDescent="0.25">
      <c r="A7" s="3" t="s">
        <v>6</v>
      </c>
      <c r="B7" s="6">
        <f>B3*2</f>
        <v>40</v>
      </c>
      <c r="C7" s="6">
        <f>C4*1.5</f>
        <v>30</v>
      </c>
      <c r="D7" s="6">
        <f>B7*0.2</f>
        <v>8</v>
      </c>
      <c r="E7" s="8">
        <v>0</v>
      </c>
      <c r="F7" s="6">
        <f>$B7*(1-Баланс!$B$1)</f>
        <v>32</v>
      </c>
      <c r="G7" s="6">
        <f>$B7*(1+Баланс!$B$1)</f>
        <v>48</v>
      </c>
      <c r="H7" s="6">
        <f>$C7*(1-Баланс!$B$1)</f>
        <v>24</v>
      </c>
      <c r="I7" s="6">
        <f>$C7*(1+Баланс!$B$1)</f>
        <v>36</v>
      </c>
      <c r="J7" s="6">
        <f>$D7*(1-Баланс!$B$1)</f>
        <v>6.4</v>
      </c>
      <c r="K7" s="6">
        <f>$D7*(1+Баланс!$B$1)</f>
        <v>9.6</v>
      </c>
      <c r="W7" s="10"/>
      <c r="X7" s="10"/>
      <c r="Y7" s="10"/>
      <c r="Z7" s="10"/>
    </row>
    <row r="8" spans="1:26" x14ac:dyDescent="0.25">
      <c r="A8" s="3" t="s">
        <v>7</v>
      </c>
      <c r="B8" s="6">
        <f>B4*1.5</f>
        <v>15</v>
      </c>
      <c r="C8" s="6">
        <f>Игрок!$B$1*0.1</f>
        <v>10</v>
      </c>
      <c r="D8" s="6">
        <f>B8*0.3</f>
        <v>4.5</v>
      </c>
      <c r="E8" s="3"/>
      <c r="F8" s="6">
        <f>$B8*(1-Баланс!$B$1)</f>
        <v>12</v>
      </c>
      <c r="G8" s="6">
        <f>$B8*(1+Баланс!$B$1)</f>
        <v>18</v>
      </c>
      <c r="H8" s="6">
        <f>$C8*(1-Баланс!$B$1)</f>
        <v>8</v>
      </c>
      <c r="I8" s="6">
        <f>$C8*(1+Баланс!$B$1)</f>
        <v>12</v>
      </c>
      <c r="J8" s="6">
        <f>$D8*(1-Баланс!$B$1)</f>
        <v>3.6</v>
      </c>
      <c r="K8" s="6">
        <f>$D8*(1+Баланс!$B$1)</f>
        <v>5.3999999999999995</v>
      </c>
    </row>
    <row r="10" spans="1:26" x14ac:dyDescent="0.25">
      <c r="A10" s="3">
        <v>10</v>
      </c>
      <c r="B10" s="22" t="s">
        <v>12</v>
      </c>
      <c r="C10" s="23"/>
      <c r="D10" s="23"/>
      <c r="E10" s="24"/>
      <c r="F10" s="5" t="s">
        <v>0</v>
      </c>
      <c r="G10" s="5"/>
      <c r="H10" s="5" t="s">
        <v>8</v>
      </c>
      <c r="I10" s="5"/>
      <c r="J10" s="5" t="s">
        <v>9</v>
      </c>
      <c r="K10" s="5"/>
    </row>
    <row r="11" spans="1:26" x14ac:dyDescent="0.25">
      <c r="A11" s="3"/>
      <c r="B11" s="5" t="s">
        <v>0</v>
      </c>
      <c r="C11" s="5" t="s">
        <v>8</v>
      </c>
      <c r="D11" s="3" t="s">
        <v>9</v>
      </c>
      <c r="E11" s="3" t="s">
        <v>14</v>
      </c>
      <c r="F11" s="3" t="s">
        <v>10</v>
      </c>
      <c r="G11" s="3" t="s">
        <v>11</v>
      </c>
      <c r="H11" s="3" t="s">
        <v>10</v>
      </c>
      <c r="I11" s="3" t="s">
        <v>11</v>
      </c>
      <c r="J11" s="3" t="s">
        <v>10</v>
      </c>
      <c r="K11" s="3" t="s">
        <v>11</v>
      </c>
    </row>
    <row r="12" spans="1:26" x14ac:dyDescent="0.25">
      <c r="A12" s="3" t="s">
        <v>2</v>
      </c>
      <c r="B12" s="6">
        <f>(1+($A$10*Баланс!$B$2))*B3</f>
        <v>22</v>
      </c>
      <c r="C12" s="6">
        <f>(1+($A$10*Баланс!$B$2))*C3</f>
        <v>11</v>
      </c>
      <c r="D12" s="6">
        <f>(1+($A$10*Баланс!$B$2))*D3</f>
        <v>2.2000000000000002</v>
      </c>
      <c r="E12" s="8">
        <v>0.4</v>
      </c>
      <c r="F12" s="6">
        <f>(1+($A$10*Баланс!$B$2))*F3</f>
        <v>17.600000000000001</v>
      </c>
      <c r="G12" s="6">
        <f>(1+($A$10*Баланс!$B$2))*G3</f>
        <v>26.400000000000002</v>
      </c>
      <c r="H12" s="6">
        <f>(1+($A$10*Баланс!$B$2))*H3</f>
        <v>8.8000000000000007</v>
      </c>
      <c r="I12" s="6">
        <f>(1+($A$10*Баланс!$B$2))*I3</f>
        <v>13.200000000000001</v>
      </c>
      <c r="J12" s="6">
        <f>(1+($A$10*Баланс!$B$2))*J3</f>
        <v>1.7600000000000002</v>
      </c>
      <c r="K12" s="6">
        <f>(1+($A$10*Баланс!$B$2))*K3</f>
        <v>2.64</v>
      </c>
    </row>
    <row r="13" spans="1:26" x14ac:dyDescent="0.25">
      <c r="A13" s="3" t="s">
        <v>3</v>
      </c>
      <c r="B13" s="6">
        <f>(1+($A$10*Баланс!$B$2))*B4</f>
        <v>11</v>
      </c>
      <c r="C13" s="6">
        <f>(1+($A$10*Баланс!$B$2))*C4</f>
        <v>22</v>
      </c>
      <c r="D13" s="6">
        <f>(1+($A$10*Баланс!$B$2))*D4</f>
        <v>1.1000000000000001</v>
      </c>
      <c r="E13" s="8">
        <v>0.35</v>
      </c>
      <c r="F13" s="6">
        <f>(1+($A$10*Баланс!$B$2))*F4</f>
        <v>8.8000000000000007</v>
      </c>
      <c r="G13" s="6">
        <f>(1+($A$10*Баланс!$B$2))*G4</f>
        <v>13.200000000000001</v>
      </c>
      <c r="H13" s="6">
        <f>(1+($A$10*Баланс!$B$2))*H4</f>
        <v>17.600000000000001</v>
      </c>
      <c r="I13" s="6">
        <f>(1+($A$10*Баланс!$B$2))*I4</f>
        <v>26.400000000000002</v>
      </c>
      <c r="J13" s="6">
        <f>(1+($A$10*Баланс!$B$2))*J4</f>
        <v>0.88000000000000012</v>
      </c>
      <c r="K13" s="6">
        <f>(1+($A$10*Баланс!$B$2))*K4</f>
        <v>1.32</v>
      </c>
    </row>
    <row r="14" spans="1:26" x14ac:dyDescent="0.25">
      <c r="A14" s="3" t="s">
        <v>4</v>
      </c>
      <c r="B14" s="6">
        <f>(1+($A$10*Баланс!$B$2))*B5</f>
        <v>55.000000000000007</v>
      </c>
      <c r="C14" s="6">
        <f>(1+($A$10*Баланс!$B$2))*C5</f>
        <v>5.5</v>
      </c>
      <c r="D14" s="6">
        <f>(1+($A$10*Баланс!$B$2))*D5</f>
        <v>2.75</v>
      </c>
      <c r="E14" s="8">
        <v>0.15</v>
      </c>
      <c r="F14" s="6">
        <f>(1+($A$10*Баланс!$B$2))*F5</f>
        <v>44</v>
      </c>
      <c r="G14" s="6">
        <f>(1+($A$10*Баланс!$B$2))*G5</f>
        <v>66</v>
      </c>
      <c r="H14" s="6">
        <f>(1+($A$10*Баланс!$B$2))*H5</f>
        <v>4.4000000000000004</v>
      </c>
      <c r="I14" s="6">
        <f>(1+($A$10*Баланс!$B$2))*I5</f>
        <v>6.6000000000000005</v>
      </c>
      <c r="J14" s="6">
        <f>(1+($A$10*Баланс!$B$2))*J5</f>
        <v>2.2000000000000002</v>
      </c>
      <c r="K14" s="6">
        <f>(1+($A$10*Баланс!$B$2))*K5</f>
        <v>3.3000000000000003</v>
      </c>
    </row>
    <row r="15" spans="1:26" x14ac:dyDescent="0.25">
      <c r="A15" s="3" t="s">
        <v>5</v>
      </c>
      <c r="B15" s="6">
        <f>(1+($A$10*Баланс!$B$2))*B6</f>
        <v>16.5</v>
      </c>
      <c r="C15" s="6">
        <f>(1+($A$10*Баланс!$B$2))*C6</f>
        <v>16.5</v>
      </c>
      <c r="D15" s="6">
        <f>(1+($A$10*Баланс!$B$2))*D6</f>
        <v>0</v>
      </c>
      <c r="E15" s="8">
        <v>0.1</v>
      </c>
      <c r="F15" s="6">
        <f>(1+($A$10*Баланс!$B$2))*F6</f>
        <v>13.200000000000001</v>
      </c>
      <c r="G15" s="6">
        <f>(1+($A$10*Баланс!$B$2))*G6</f>
        <v>19.8</v>
      </c>
      <c r="H15" s="6">
        <f>(1+($A$10*Баланс!$B$2))*H6</f>
        <v>13.200000000000001</v>
      </c>
      <c r="I15" s="6">
        <f>(1+($A$10*Баланс!$B$2))*I6</f>
        <v>19.8</v>
      </c>
      <c r="J15" s="6">
        <f>(1+($A$10*Баланс!$B$2))*J6</f>
        <v>0</v>
      </c>
      <c r="K15" s="6">
        <f>(1+($A$10*Баланс!$B$2))*K6</f>
        <v>0</v>
      </c>
    </row>
    <row r="16" spans="1:26" x14ac:dyDescent="0.25">
      <c r="A16" s="3" t="s">
        <v>6</v>
      </c>
      <c r="B16" s="6">
        <f>(1+($A$10*Баланс!$B$2))*B7</f>
        <v>44</v>
      </c>
      <c r="C16" s="6">
        <f>(1+($A$10*Баланс!$B$2))*C7</f>
        <v>33</v>
      </c>
      <c r="D16" s="6">
        <f>(1+($A$10*Баланс!$B$2))*D7</f>
        <v>8.8000000000000007</v>
      </c>
      <c r="E16" s="8">
        <v>0</v>
      </c>
      <c r="F16" s="6">
        <f>(1+($A$10*Баланс!$B$2))*F7</f>
        <v>35.200000000000003</v>
      </c>
      <c r="G16" s="6">
        <f>(1+($A$10*Баланс!$B$2))*G7</f>
        <v>52.800000000000004</v>
      </c>
      <c r="H16" s="6">
        <f>(1+($A$10*Баланс!$B$2))*H7</f>
        <v>26.400000000000002</v>
      </c>
      <c r="I16" s="6">
        <f>(1+($A$10*Баланс!$B$2))*I7</f>
        <v>39.6</v>
      </c>
      <c r="J16" s="6">
        <f>(1+($A$10*Баланс!$B$2))*J7</f>
        <v>7.0400000000000009</v>
      </c>
      <c r="K16" s="6">
        <f>(1+($A$10*Баланс!$B$2))*K7</f>
        <v>10.56</v>
      </c>
    </row>
    <row r="17" spans="1:18" x14ac:dyDescent="0.25">
      <c r="A17" s="3" t="s">
        <v>7</v>
      </c>
      <c r="B17" s="6">
        <f>(1+($A$10*Баланс!$B$2))*B8</f>
        <v>16.5</v>
      </c>
      <c r="C17" s="6">
        <f>(1+($A$10*Баланс!$B$2))*C8</f>
        <v>11</v>
      </c>
      <c r="D17" s="6">
        <f>(1+($A$10*Баланс!$B$2))*D8</f>
        <v>4.95</v>
      </c>
      <c r="E17" s="3"/>
      <c r="F17" s="6">
        <f>(1+($A$10*Баланс!$B$2))*F8</f>
        <v>13.200000000000001</v>
      </c>
      <c r="G17" s="6">
        <f>(1+($A$10*Баланс!$B$2))*G8</f>
        <v>19.8</v>
      </c>
      <c r="H17" s="6">
        <f>(1+($A$10*Баланс!$B$2))*H8</f>
        <v>8.8000000000000007</v>
      </c>
      <c r="I17" s="6">
        <f>(1+($A$10*Баланс!$B$2))*I8</f>
        <v>13.200000000000001</v>
      </c>
      <c r="J17" s="6">
        <f>(1+($A$10*Баланс!$B$2))*J8</f>
        <v>3.9600000000000004</v>
      </c>
      <c r="K17" s="6">
        <f>(1+($A$10*Баланс!$B$2))*K8</f>
        <v>5.9399999999999995</v>
      </c>
    </row>
    <row r="19" spans="1:18" x14ac:dyDescent="0.25">
      <c r="A19" s="3">
        <v>50</v>
      </c>
      <c r="B19" s="22" t="s">
        <v>12</v>
      </c>
      <c r="C19" s="23"/>
      <c r="D19" s="23"/>
      <c r="E19" s="24"/>
      <c r="F19" s="5" t="s">
        <v>0</v>
      </c>
      <c r="G19" s="5"/>
      <c r="H19" s="5" t="s">
        <v>8</v>
      </c>
      <c r="I19" s="5"/>
      <c r="J19" s="5" t="s">
        <v>9</v>
      </c>
      <c r="K19" s="5"/>
    </row>
    <row r="20" spans="1:18" x14ac:dyDescent="0.25">
      <c r="A20" s="3"/>
      <c r="B20" s="5" t="s">
        <v>0</v>
      </c>
      <c r="C20" s="5" t="s">
        <v>8</v>
      </c>
      <c r="D20" s="3" t="s">
        <v>9</v>
      </c>
      <c r="E20" s="3" t="s">
        <v>14</v>
      </c>
      <c r="F20" s="3" t="s">
        <v>10</v>
      </c>
      <c r="G20" s="3" t="s">
        <v>11</v>
      </c>
      <c r="H20" s="3" t="s">
        <v>10</v>
      </c>
      <c r="I20" s="3" t="s">
        <v>11</v>
      </c>
      <c r="J20" s="3" t="s">
        <v>10</v>
      </c>
      <c r="K20" s="3" t="s">
        <v>11</v>
      </c>
    </row>
    <row r="21" spans="1:18" x14ac:dyDescent="0.25">
      <c r="A21" s="3" t="s">
        <v>2</v>
      </c>
      <c r="B21" s="6">
        <f>(1+($A$19*Баланс!$B$2))*B3</f>
        <v>30</v>
      </c>
      <c r="C21" s="6">
        <f>(1+($A$19*Баланс!$B$2))*C3</f>
        <v>15</v>
      </c>
      <c r="D21" s="6">
        <f>(1+($A$19*Баланс!$B$2))*D3</f>
        <v>3</v>
      </c>
      <c r="E21" s="8">
        <v>0.15</v>
      </c>
      <c r="F21" s="6">
        <f>(1+($A$19*Баланс!$B$2))*F3</f>
        <v>24</v>
      </c>
      <c r="G21" s="6">
        <f>(1+($A$19*Баланс!$B$2))*G3</f>
        <v>36</v>
      </c>
      <c r="H21" s="6">
        <f>(1+($A$19*Баланс!$B$2))*H3</f>
        <v>12</v>
      </c>
      <c r="I21" s="6">
        <f>(1+($A$19*Баланс!$B$2))*I3</f>
        <v>18</v>
      </c>
      <c r="J21" s="6">
        <f>(1+($A$19*Баланс!$B$2))*J3</f>
        <v>2.4000000000000004</v>
      </c>
      <c r="K21" s="6">
        <f>(1+($A$19*Баланс!$B$2))*K3</f>
        <v>3.5999999999999996</v>
      </c>
    </row>
    <row r="22" spans="1:18" x14ac:dyDescent="0.25">
      <c r="A22" s="3" t="s">
        <v>3</v>
      </c>
      <c r="B22" s="6">
        <f>(1+($A$19*Баланс!$B$2))*B4</f>
        <v>15</v>
      </c>
      <c r="C22" s="6">
        <f>(1+($A$19*Баланс!$B$2))*C4</f>
        <v>30</v>
      </c>
      <c r="D22" s="6">
        <f>(1+($A$19*Баланс!$B$2))*D4</f>
        <v>1.5</v>
      </c>
      <c r="E22" s="8">
        <v>0.25</v>
      </c>
      <c r="F22" s="6">
        <f>(1+($A$19*Баланс!$B$2))*F4</f>
        <v>12</v>
      </c>
      <c r="G22" s="6">
        <f>(1+($A$19*Баланс!$B$2))*G4</f>
        <v>18</v>
      </c>
      <c r="H22" s="6">
        <f>(1+($A$19*Баланс!$B$2))*H4</f>
        <v>24</v>
      </c>
      <c r="I22" s="6">
        <f>(1+($A$19*Баланс!$B$2))*I4</f>
        <v>36</v>
      </c>
      <c r="J22" s="6">
        <f>(1+($A$19*Баланс!$B$2))*J4</f>
        <v>1.2000000000000002</v>
      </c>
      <c r="K22" s="6">
        <f>(1+($A$19*Баланс!$B$2))*K4</f>
        <v>1.7999999999999998</v>
      </c>
    </row>
    <row r="23" spans="1:18" x14ac:dyDescent="0.25">
      <c r="A23" s="3" t="s">
        <v>4</v>
      </c>
      <c r="B23" s="6">
        <f>(1+($A$19*Баланс!$B$2))*B5</f>
        <v>75</v>
      </c>
      <c r="C23" s="6">
        <f>(1+($A$19*Баланс!$B$2))*C5</f>
        <v>7.5</v>
      </c>
      <c r="D23" s="6">
        <f>(1+($A$19*Баланс!$B$2))*D5</f>
        <v>3.75</v>
      </c>
      <c r="E23" s="8">
        <v>0.25</v>
      </c>
      <c r="F23" s="6">
        <f>(1+($A$19*Баланс!$B$2))*F5</f>
        <v>60</v>
      </c>
      <c r="G23" s="6">
        <f>(1+($A$19*Баланс!$B$2))*G5</f>
        <v>90</v>
      </c>
      <c r="H23" s="6">
        <f>(1+($A$19*Баланс!$B$2))*H5</f>
        <v>6</v>
      </c>
      <c r="I23" s="6">
        <f>(1+($A$19*Баланс!$B$2))*I5</f>
        <v>9</v>
      </c>
      <c r="J23" s="6">
        <f>(1+($A$19*Баланс!$B$2))*J5</f>
        <v>3</v>
      </c>
      <c r="K23" s="6">
        <f>(1+($A$19*Баланс!$B$2))*K5</f>
        <v>4.5</v>
      </c>
      <c r="R23" s="9"/>
    </row>
    <row r="24" spans="1:18" x14ac:dyDescent="0.25">
      <c r="A24" s="3" t="s">
        <v>5</v>
      </c>
      <c r="B24" s="6">
        <f>(1+($A$19*Баланс!$B$2))*B6</f>
        <v>22.5</v>
      </c>
      <c r="C24" s="6">
        <f>(1+($A$19*Баланс!$B$2))*C6</f>
        <v>22.5</v>
      </c>
      <c r="D24" s="6">
        <f>(1+($A$19*Баланс!$B$2))*D6</f>
        <v>0</v>
      </c>
      <c r="E24" s="8">
        <v>0.25</v>
      </c>
      <c r="F24" s="6">
        <f>(1+($A$19*Баланс!$B$2))*F6</f>
        <v>18</v>
      </c>
      <c r="G24" s="6">
        <f>(1+($A$19*Баланс!$B$2))*G6</f>
        <v>27</v>
      </c>
      <c r="H24" s="6">
        <f>(1+($A$19*Баланс!$B$2))*H6</f>
        <v>18</v>
      </c>
      <c r="I24" s="6">
        <f>(1+($A$19*Баланс!$B$2))*I6</f>
        <v>27</v>
      </c>
      <c r="J24" s="6">
        <f>(1+($A$19*Баланс!$B$2))*J6</f>
        <v>0</v>
      </c>
      <c r="K24" s="6">
        <f>(1+($A$19*Баланс!$B$2))*K6</f>
        <v>0</v>
      </c>
    </row>
    <row r="25" spans="1:18" x14ac:dyDescent="0.25">
      <c r="A25" s="3" t="s">
        <v>6</v>
      </c>
      <c r="B25" s="6">
        <f>(1+($A$19*Баланс!$B$2))*B7</f>
        <v>60</v>
      </c>
      <c r="C25" s="6">
        <f>(1+($A$19*Баланс!$B$2))*C7</f>
        <v>45</v>
      </c>
      <c r="D25" s="6">
        <f>(1+($A$19*Баланс!$B$2))*D7</f>
        <v>12</v>
      </c>
      <c r="E25" s="8">
        <v>0.1</v>
      </c>
      <c r="F25" s="6">
        <f>(1+($A$19*Баланс!$B$2))*F7</f>
        <v>48</v>
      </c>
      <c r="G25" s="6">
        <f>(1+($A$19*Баланс!$B$2))*G7</f>
        <v>72</v>
      </c>
      <c r="H25" s="6">
        <f>(1+($A$19*Баланс!$B$2))*H7</f>
        <v>36</v>
      </c>
      <c r="I25" s="6">
        <f>(1+($A$19*Баланс!$B$2))*I7</f>
        <v>54</v>
      </c>
      <c r="J25" s="6">
        <f>(1+($A$19*Баланс!$B$2))*J7</f>
        <v>9.6000000000000014</v>
      </c>
      <c r="K25" s="6">
        <f>(1+($A$19*Баланс!$B$2))*K7</f>
        <v>14.399999999999999</v>
      </c>
    </row>
    <row r="26" spans="1:18" x14ac:dyDescent="0.25">
      <c r="A26" s="3" t="s">
        <v>7</v>
      </c>
      <c r="B26" s="6">
        <f>(1+($A$19*Баланс!$B$2))*B8</f>
        <v>22.5</v>
      </c>
      <c r="C26" s="6">
        <f>(1+($A$19*Баланс!$B$2))*C8</f>
        <v>15</v>
      </c>
      <c r="D26" s="6">
        <f>(1+($A$19*Баланс!$B$2))*D8</f>
        <v>6.75</v>
      </c>
      <c r="E26" s="3"/>
      <c r="F26" s="6">
        <f>(1+($A$19*Баланс!$B$2))*F8</f>
        <v>18</v>
      </c>
      <c r="G26" s="6">
        <f>(1+($A$19*Баланс!$B$2))*G8</f>
        <v>27</v>
      </c>
      <c r="H26" s="6">
        <f>(1+($A$19*Баланс!$B$2))*H8</f>
        <v>12</v>
      </c>
      <c r="I26" s="6">
        <f>(1+($A$19*Баланс!$B$2))*I8</f>
        <v>18</v>
      </c>
      <c r="J26" s="6">
        <f>(1+($A$19*Баланс!$B$2))*J8</f>
        <v>5.4</v>
      </c>
      <c r="K26" s="6">
        <f>(1+($A$19*Баланс!$B$2))*K8</f>
        <v>8.1</v>
      </c>
    </row>
    <row r="28" spans="1:18" x14ac:dyDescent="0.25">
      <c r="A28" s="3">
        <v>100</v>
      </c>
      <c r="B28" s="22" t="s">
        <v>12</v>
      </c>
      <c r="C28" s="23"/>
      <c r="D28" s="23"/>
      <c r="E28" s="24"/>
      <c r="F28" s="5" t="s">
        <v>0</v>
      </c>
      <c r="G28" s="5"/>
      <c r="H28" s="5" t="s">
        <v>8</v>
      </c>
      <c r="I28" s="5"/>
      <c r="J28" s="5" t="s">
        <v>9</v>
      </c>
      <c r="K28" s="5"/>
    </row>
    <row r="29" spans="1:18" x14ac:dyDescent="0.25">
      <c r="A29" s="3"/>
      <c r="B29" s="5" t="s">
        <v>0</v>
      </c>
      <c r="C29" s="5" t="s">
        <v>8</v>
      </c>
      <c r="D29" s="3" t="s">
        <v>9</v>
      </c>
      <c r="E29" s="3" t="s">
        <v>14</v>
      </c>
      <c r="F29" s="3" t="s">
        <v>10</v>
      </c>
      <c r="G29" s="3" t="s">
        <v>11</v>
      </c>
      <c r="H29" s="3" t="s">
        <v>10</v>
      </c>
      <c r="I29" s="3" t="s">
        <v>11</v>
      </c>
      <c r="J29" s="3" t="s">
        <v>10</v>
      </c>
      <c r="K29" s="3" t="s">
        <v>11</v>
      </c>
    </row>
    <row r="30" spans="1:18" x14ac:dyDescent="0.25">
      <c r="A30" s="3" t="s">
        <v>2</v>
      </c>
      <c r="B30" s="6">
        <f>(1+($A$28*Баланс!$B$2))*B3</f>
        <v>40</v>
      </c>
      <c r="C30" s="6">
        <f>(1+($A$28*Баланс!$B$2))*C3</f>
        <v>20</v>
      </c>
      <c r="D30" s="6">
        <f>(1+($A$28*Баланс!$B$2))*D3</f>
        <v>4</v>
      </c>
      <c r="E30" s="8">
        <v>0.05</v>
      </c>
      <c r="F30" s="6">
        <f>(1+($A$28*Баланс!$B$2))*F3</f>
        <v>32</v>
      </c>
      <c r="G30" s="6">
        <f>(1+($A$28*Баланс!$B$2))*G3</f>
        <v>48</v>
      </c>
      <c r="H30" s="6">
        <f>(1+($A$28*Баланс!$B$2))*H3</f>
        <v>16</v>
      </c>
      <c r="I30" s="6">
        <f>(1+($A$28*Баланс!$B$2))*I3</f>
        <v>24</v>
      </c>
      <c r="J30" s="6">
        <f>(1+($A$28*Баланс!$B$2))*J3</f>
        <v>3.2</v>
      </c>
      <c r="K30" s="6">
        <f>(1+($A$28*Баланс!$B$2))*K3</f>
        <v>4.8</v>
      </c>
    </row>
    <row r="31" spans="1:18" x14ac:dyDescent="0.25">
      <c r="A31" s="3" t="s">
        <v>3</v>
      </c>
      <c r="B31" s="6">
        <f>(1+($A$28*Баланс!$B$2))*B4</f>
        <v>20</v>
      </c>
      <c r="C31" s="6">
        <f>(1+($A$28*Баланс!$B$2))*C4</f>
        <v>40</v>
      </c>
      <c r="D31" s="6">
        <f>(1+($A$28*Баланс!$B$2))*D4</f>
        <v>2</v>
      </c>
      <c r="E31" s="8">
        <v>0.1</v>
      </c>
      <c r="F31" s="6">
        <f>(1+($A$28*Баланс!$B$2))*F4</f>
        <v>16</v>
      </c>
      <c r="G31" s="6">
        <f>(1+($A$28*Баланс!$B$2))*G4</f>
        <v>24</v>
      </c>
      <c r="H31" s="6">
        <f>(1+($A$28*Баланс!$B$2))*H4</f>
        <v>32</v>
      </c>
      <c r="I31" s="6">
        <f>(1+($A$28*Баланс!$B$2))*I4</f>
        <v>48</v>
      </c>
      <c r="J31" s="6">
        <f>(1+($A$28*Баланс!$B$2))*J4</f>
        <v>1.6</v>
      </c>
      <c r="K31" s="6">
        <f>(1+($A$28*Баланс!$B$2))*K4</f>
        <v>2.4</v>
      </c>
    </row>
    <row r="32" spans="1:18" x14ac:dyDescent="0.25">
      <c r="A32" s="3" t="s">
        <v>4</v>
      </c>
      <c r="B32" s="6">
        <f>(1+($A$28*Баланс!$B$2))*B5</f>
        <v>100</v>
      </c>
      <c r="C32" s="6">
        <f>(1+($A$28*Баланс!$B$2))*C5</f>
        <v>10</v>
      </c>
      <c r="D32" s="6">
        <f>(1+($A$28*Баланс!$B$2))*D5</f>
        <v>5</v>
      </c>
      <c r="E32" s="8">
        <v>0.25</v>
      </c>
      <c r="F32" s="6">
        <f>(1+($A$28*Баланс!$B$2))*F5</f>
        <v>80</v>
      </c>
      <c r="G32" s="6">
        <f>(1+($A$28*Баланс!$B$2))*G5</f>
        <v>120</v>
      </c>
      <c r="H32" s="6">
        <f>(1+($A$28*Баланс!$B$2))*H5</f>
        <v>8</v>
      </c>
      <c r="I32" s="6">
        <f>(1+($A$28*Баланс!$B$2))*I5</f>
        <v>12</v>
      </c>
      <c r="J32" s="6">
        <f>(1+($A$28*Баланс!$B$2))*J5</f>
        <v>4</v>
      </c>
      <c r="K32" s="6">
        <f>(1+($A$28*Баланс!$B$2))*K5</f>
        <v>6</v>
      </c>
    </row>
    <row r="33" spans="1:11" x14ac:dyDescent="0.25">
      <c r="A33" s="3" t="s">
        <v>5</v>
      </c>
      <c r="B33" s="6">
        <f>(1+($A$28*Баланс!$B$2))*B6</f>
        <v>30</v>
      </c>
      <c r="C33" s="6">
        <f>(1+($A$28*Баланс!$B$2))*C6</f>
        <v>30</v>
      </c>
      <c r="D33" s="6">
        <f>(1+($A$28*Баланс!$B$2))*D6</f>
        <v>0</v>
      </c>
      <c r="E33" s="8">
        <v>0.35</v>
      </c>
      <c r="F33" s="6">
        <f>(1+($A$28*Баланс!$B$2))*F6</f>
        <v>24</v>
      </c>
      <c r="G33" s="6">
        <f>(1+($A$28*Баланс!$B$2))*G6</f>
        <v>36</v>
      </c>
      <c r="H33" s="6">
        <f>(1+($A$28*Баланс!$B$2))*H6</f>
        <v>24</v>
      </c>
      <c r="I33" s="6">
        <f>(1+($A$28*Баланс!$B$2))*I6</f>
        <v>36</v>
      </c>
      <c r="J33" s="6">
        <f>(1+($A$28*Баланс!$B$2))*J6</f>
        <v>0</v>
      </c>
      <c r="K33" s="6">
        <f>(1+($A$28*Баланс!$B$2))*K6</f>
        <v>0</v>
      </c>
    </row>
    <row r="34" spans="1:11" x14ac:dyDescent="0.25">
      <c r="A34" s="3" t="s">
        <v>6</v>
      </c>
      <c r="B34" s="6">
        <f>(1+($A$28*Баланс!$B$2))*B7</f>
        <v>80</v>
      </c>
      <c r="C34" s="6">
        <f>(1+($A$28*Баланс!$B$2))*C7</f>
        <v>60</v>
      </c>
      <c r="D34" s="6">
        <f>(1+($A$28*Баланс!$B$2))*D7</f>
        <v>16</v>
      </c>
      <c r="E34" s="8">
        <v>0.25</v>
      </c>
      <c r="F34" s="6">
        <f>(1+($A$28*Баланс!$B$2))*F7</f>
        <v>64</v>
      </c>
      <c r="G34" s="6">
        <f>(1+($A$28*Баланс!$B$2))*G7</f>
        <v>96</v>
      </c>
      <c r="H34" s="6">
        <f>(1+($A$28*Баланс!$B$2))*H7</f>
        <v>48</v>
      </c>
      <c r="I34" s="6">
        <f>(1+($A$28*Баланс!$B$2))*I7</f>
        <v>72</v>
      </c>
      <c r="J34" s="6">
        <f>(1+($A$28*Баланс!$B$2))*J7</f>
        <v>12.8</v>
      </c>
      <c r="K34" s="6">
        <f>(1+($A$28*Баланс!$B$2))*K7</f>
        <v>19.2</v>
      </c>
    </row>
    <row r="35" spans="1:11" x14ac:dyDescent="0.25">
      <c r="A35" s="3" t="s">
        <v>7</v>
      </c>
      <c r="B35" s="6">
        <f>(1+($A$28*Баланс!$B$2))*B8</f>
        <v>30</v>
      </c>
      <c r="C35" s="6">
        <f>(1+($A$28*Баланс!$B$2))*C8</f>
        <v>20</v>
      </c>
      <c r="D35" s="6">
        <f>(1+($A$28*Баланс!$B$2))*D8</f>
        <v>9</v>
      </c>
      <c r="E35" s="3"/>
      <c r="F35" s="6">
        <f>(1+($A$28*Баланс!$B$2))*F8</f>
        <v>24</v>
      </c>
      <c r="G35" s="6">
        <f>(1+($A$28*Баланс!$B$2))*G8</f>
        <v>36</v>
      </c>
      <c r="H35" s="6">
        <f>(1+($A$28*Баланс!$B$2))*H8</f>
        <v>16</v>
      </c>
      <c r="I35" s="6">
        <f>(1+($A$28*Баланс!$B$2))*I8</f>
        <v>24</v>
      </c>
      <c r="J35" s="6">
        <f>(1+($A$28*Баланс!$B$2))*J8</f>
        <v>7.2</v>
      </c>
      <c r="K35" s="6">
        <f>(1+($A$28*Баланс!$B$2))*K8</f>
        <v>10.799999999999999</v>
      </c>
    </row>
  </sheetData>
  <mergeCells count="4">
    <mergeCell ref="B1:E1"/>
    <mergeCell ref="B10:E10"/>
    <mergeCell ref="B19:E19"/>
    <mergeCell ref="B28:E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5C88-78CF-41FA-ADC3-A5739524DA6F}">
  <dimension ref="A1:AA29"/>
  <sheetViews>
    <sheetView zoomScale="85" zoomScaleNormal="85" workbookViewId="0">
      <selection activeCell="L15" sqref="L15"/>
    </sheetView>
  </sheetViews>
  <sheetFormatPr defaultRowHeight="15" x14ac:dyDescent="0.25"/>
  <cols>
    <col min="1" max="1" width="19" bestFit="1" customWidth="1"/>
    <col min="2" max="2" width="5.5703125" bestFit="1" customWidth="1"/>
    <col min="3" max="3" width="10.7109375" bestFit="1" customWidth="1"/>
    <col min="4" max="4" width="5.28515625" bestFit="1" customWidth="1"/>
    <col min="5" max="5" width="5.85546875" bestFit="1" customWidth="1"/>
    <col min="6" max="6" width="5.28515625" bestFit="1" customWidth="1"/>
    <col min="7" max="7" width="5.85546875" bestFit="1" customWidth="1"/>
    <col min="8" max="8" width="5.28515625" bestFit="1" customWidth="1"/>
    <col min="9" max="9" width="5.85546875" bestFit="1" customWidth="1"/>
    <col min="10" max="10" width="8.85546875" bestFit="1" customWidth="1"/>
    <col min="11" max="11" width="7.42578125" bestFit="1" customWidth="1"/>
    <col min="12" max="12" width="11.28515625" customWidth="1"/>
    <col min="13" max="13" width="7.5703125" customWidth="1"/>
    <col min="14" max="14" width="19" bestFit="1" customWidth="1"/>
    <col min="16" max="17" width="11.7109375" bestFit="1" customWidth="1"/>
    <col min="18" max="18" width="6.140625" customWidth="1"/>
    <col min="19" max="19" width="19" bestFit="1" customWidth="1"/>
    <col min="21" max="22" width="11.140625" bestFit="1" customWidth="1"/>
    <col min="24" max="24" width="19" bestFit="1" customWidth="1"/>
    <col min="27" max="27" width="10.5703125" bestFit="1" customWidth="1"/>
  </cols>
  <sheetData>
    <row r="1" spans="1:27" x14ac:dyDescent="0.25">
      <c r="A1" s="4">
        <v>0</v>
      </c>
      <c r="B1" s="22" t="s">
        <v>12</v>
      </c>
      <c r="C1" s="24"/>
      <c r="D1" s="22" t="s">
        <v>8</v>
      </c>
      <c r="E1" s="24"/>
      <c r="F1" s="22" t="s">
        <v>24</v>
      </c>
      <c r="G1" s="24"/>
      <c r="H1" s="22" t="s">
        <v>25</v>
      </c>
      <c r="I1" s="24"/>
      <c r="J1" s="21" t="s">
        <v>32</v>
      </c>
      <c r="K1" s="21"/>
      <c r="L1" s="21"/>
      <c r="N1" s="3" t="s">
        <v>33</v>
      </c>
      <c r="O1" s="3">
        <v>0</v>
      </c>
      <c r="P1" s="3">
        <v>100</v>
      </c>
      <c r="S1" s="3" t="s">
        <v>34</v>
      </c>
      <c r="T1" s="3">
        <v>0</v>
      </c>
      <c r="U1" s="3">
        <v>100</v>
      </c>
      <c r="X1" s="25" t="s">
        <v>40</v>
      </c>
      <c r="Y1" s="3">
        <v>0</v>
      </c>
      <c r="Z1" s="3">
        <v>100</v>
      </c>
    </row>
    <row r="2" spans="1:27" x14ac:dyDescent="0.25">
      <c r="A2" s="3"/>
      <c r="B2" s="3" t="s">
        <v>8</v>
      </c>
      <c r="C2" s="3" t="s">
        <v>24</v>
      </c>
      <c r="D2" s="3" t="s">
        <v>10</v>
      </c>
      <c r="E2" s="3" t="s">
        <v>11</v>
      </c>
      <c r="F2" s="3" t="s">
        <v>10</v>
      </c>
      <c r="G2" s="3" t="s">
        <v>11</v>
      </c>
      <c r="H2" s="3" t="s">
        <v>10</v>
      </c>
      <c r="I2" s="3" t="s">
        <v>11</v>
      </c>
      <c r="J2" s="3" t="s">
        <v>33</v>
      </c>
      <c r="K2" s="3" t="s">
        <v>34</v>
      </c>
      <c r="L2" s="25" t="s">
        <v>40</v>
      </c>
      <c r="N2" s="3" t="s">
        <v>17</v>
      </c>
      <c r="O2" s="8">
        <f>J4</f>
        <v>0.89</v>
      </c>
      <c r="P2" s="8">
        <f>J14</f>
        <v>0.2</v>
      </c>
      <c r="Q2" t="str">
        <f t="shared" ref="Q2:Q7" si="0">"y="&amp;(P2-O2)&amp;"x"&amp;"+"&amp;O2*100</f>
        <v>y=-0,69x+89</v>
      </c>
      <c r="S2" s="3" t="s">
        <v>17</v>
      </c>
      <c r="T2" s="8">
        <f>K4</f>
        <v>0.4</v>
      </c>
      <c r="U2" s="8">
        <f>K14</f>
        <v>-0.4</v>
      </c>
      <c r="V2" t="str">
        <f t="shared" ref="V2:V7" si="1">"y="&amp;(U2-T2)&amp;"x"&amp;"+"&amp;T2*100</f>
        <v>y=-0,8x+40</v>
      </c>
      <c r="X2" s="3" t="s">
        <v>17</v>
      </c>
      <c r="Y2" s="8">
        <f>L4</f>
        <v>0.3</v>
      </c>
      <c r="Z2" s="8">
        <f>L14</f>
        <v>-0.7</v>
      </c>
      <c r="AA2" t="str">
        <f t="shared" ref="AA2:AA7" si="2">"y="&amp;(Z2-Y2)&amp;"x"&amp;"+"&amp;Y2*100</f>
        <v>y=-1x+30</v>
      </c>
    </row>
    <row r="3" spans="1:27" x14ac:dyDescent="0.25">
      <c r="A3" s="3" t="s">
        <v>16</v>
      </c>
      <c r="B3" s="6">
        <f>Противники!B4</f>
        <v>10</v>
      </c>
      <c r="C3" s="4" t="s">
        <v>26</v>
      </c>
      <c r="D3" s="14" t="s">
        <v>26</v>
      </c>
      <c r="E3" s="14" t="s">
        <v>26</v>
      </c>
      <c r="F3" s="14" t="s">
        <v>26</v>
      </c>
      <c r="G3" s="14" t="s">
        <v>26</v>
      </c>
      <c r="H3" s="14" t="s">
        <v>26</v>
      </c>
      <c r="I3" s="14" t="s">
        <v>26</v>
      </c>
      <c r="J3" s="15"/>
      <c r="K3" s="18"/>
      <c r="L3" s="3"/>
      <c r="N3" s="3" t="s">
        <v>18</v>
      </c>
      <c r="O3" s="8">
        <f>J5</f>
        <v>0.05</v>
      </c>
      <c r="P3" s="8">
        <f>J15</f>
        <v>0.3</v>
      </c>
      <c r="Q3" t="str">
        <f t="shared" si="0"/>
        <v>y=0,25x+5</v>
      </c>
      <c r="S3" s="3" t="s">
        <v>18</v>
      </c>
      <c r="T3" s="8">
        <f>K5</f>
        <v>0.15</v>
      </c>
      <c r="U3" s="8">
        <f>K15</f>
        <v>0.4</v>
      </c>
      <c r="V3" t="str">
        <f t="shared" si="1"/>
        <v>y=0,25x+15</v>
      </c>
      <c r="X3" s="3" t="s">
        <v>18</v>
      </c>
      <c r="Y3" s="8">
        <f t="shared" ref="Y3:Y7" si="3">L5</f>
        <v>0.2</v>
      </c>
      <c r="Z3" s="8">
        <f t="shared" ref="Z3:Z7" si="4">L15</f>
        <v>0.35</v>
      </c>
      <c r="AA3" t="str">
        <f t="shared" si="2"/>
        <v>y=0,15x+20</v>
      </c>
    </row>
    <row r="4" spans="1:27" x14ac:dyDescent="0.25">
      <c r="A4" s="3" t="s">
        <v>17</v>
      </c>
      <c r="B4" s="6">
        <f>Противники!B3*0.75</f>
        <v>15</v>
      </c>
      <c r="C4" s="6">
        <f>B4/2</f>
        <v>7.5</v>
      </c>
      <c r="D4" s="6">
        <f>$B4*(1-Баланс!$B$1)</f>
        <v>12</v>
      </c>
      <c r="E4" s="6">
        <f>$B4*(1 +Баланс!$B$1)</f>
        <v>18</v>
      </c>
      <c r="F4" s="6">
        <f>$C4*(1-Баланс!$B$1)</f>
        <v>6</v>
      </c>
      <c r="G4" s="6">
        <f>$C4*(1+Баланс!$B$1)</f>
        <v>9</v>
      </c>
      <c r="H4" s="6">
        <f t="shared" ref="H4:I8" si="5">IF($C4&lt;&gt;"",(D4*F4)/10,D4*2)</f>
        <v>7.2</v>
      </c>
      <c r="I4" s="6">
        <f t="shared" si="5"/>
        <v>16.2</v>
      </c>
      <c r="J4" s="8">
        <v>0.89</v>
      </c>
      <c r="K4" s="8">
        <v>0.4</v>
      </c>
      <c r="L4" s="8">
        <v>0.3</v>
      </c>
      <c r="N4" s="3" t="s">
        <v>19</v>
      </c>
      <c r="O4" s="8">
        <f>J6</f>
        <v>0</v>
      </c>
      <c r="P4" s="8">
        <f>J16</f>
        <v>0.15</v>
      </c>
      <c r="Q4" t="str">
        <f t="shared" si="0"/>
        <v>y=0,15x+0</v>
      </c>
      <c r="S4" s="3" t="s">
        <v>19</v>
      </c>
      <c r="T4" s="8">
        <f>K6</f>
        <v>0.05</v>
      </c>
      <c r="U4" s="8">
        <f>K16</f>
        <v>0.15</v>
      </c>
      <c r="V4" t="str">
        <f t="shared" si="1"/>
        <v>y=0,1x+5</v>
      </c>
      <c r="X4" s="3" t="s">
        <v>19</v>
      </c>
      <c r="Y4" s="8">
        <f t="shared" si="3"/>
        <v>0.05</v>
      </c>
      <c r="Z4" s="8">
        <f t="shared" si="4"/>
        <v>0.2</v>
      </c>
      <c r="AA4" t="str">
        <f t="shared" si="2"/>
        <v>y=0,15x+5</v>
      </c>
    </row>
    <row r="5" spans="1:27" x14ac:dyDescent="0.25">
      <c r="A5" s="3" t="s">
        <v>18</v>
      </c>
      <c r="B5" s="6">
        <f>B4*1.75</f>
        <v>26.25</v>
      </c>
      <c r="C5" s="6">
        <f>B5/1.5</f>
        <v>17.5</v>
      </c>
      <c r="D5" s="6">
        <f>$B5*(1-Баланс!$B$1)</f>
        <v>21</v>
      </c>
      <c r="E5" s="6">
        <f>$B5*(1 +Баланс!$B$1)</f>
        <v>31.5</v>
      </c>
      <c r="F5" s="6">
        <f>$C5*(1-Баланс!$B$1)</f>
        <v>14</v>
      </c>
      <c r="G5" s="6">
        <f>$C5*(1+Баланс!$B$1)</f>
        <v>21</v>
      </c>
      <c r="H5" s="6">
        <f t="shared" si="5"/>
        <v>29.4</v>
      </c>
      <c r="I5" s="6">
        <f t="shared" si="5"/>
        <v>66.150000000000006</v>
      </c>
      <c r="J5" s="8">
        <v>0.05</v>
      </c>
      <c r="K5" s="8">
        <v>0.15</v>
      </c>
      <c r="L5" s="8">
        <v>0.2</v>
      </c>
      <c r="N5" s="3" t="s">
        <v>20</v>
      </c>
      <c r="O5" s="8">
        <f>J7</f>
        <v>0.01</v>
      </c>
      <c r="P5" s="8">
        <f>J17</f>
        <v>0.01</v>
      </c>
      <c r="Q5" t="str">
        <f t="shared" si="0"/>
        <v>y=0x+1</v>
      </c>
      <c r="S5" s="3" t="s">
        <v>20</v>
      </c>
      <c r="T5" s="8">
        <f>K7</f>
        <v>0.05</v>
      </c>
      <c r="U5" s="8">
        <f>K17</f>
        <v>0.05</v>
      </c>
      <c r="V5" t="str">
        <f t="shared" si="1"/>
        <v>y=0x+5</v>
      </c>
      <c r="X5" s="3" t="s">
        <v>20</v>
      </c>
      <c r="Y5" s="8">
        <f t="shared" si="3"/>
        <v>0</v>
      </c>
      <c r="Z5" s="8">
        <f t="shared" si="4"/>
        <v>0</v>
      </c>
      <c r="AA5" t="str">
        <f t="shared" si="2"/>
        <v>y=0x+0</v>
      </c>
    </row>
    <row r="6" spans="1:27" x14ac:dyDescent="0.25">
      <c r="A6" s="3" t="s">
        <v>19</v>
      </c>
      <c r="B6" s="6">
        <f>B5*2</f>
        <v>52.5</v>
      </c>
      <c r="C6" s="6">
        <f>B6/4</f>
        <v>13.125</v>
      </c>
      <c r="D6" s="6">
        <f>$B6*(1-Баланс!$B$1)</f>
        <v>42</v>
      </c>
      <c r="E6" s="6">
        <f>$B6*(1 +Баланс!$B$1)</f>
        <v>63</v>
      </c>
      <c r="F6" s="6">
        <f>$C6*(1-Баланс!$B$1)</f>
        <v>10.5</v>
      </c>
      <c r="G6" s="6">
        <f>$C6*(1+Баланс!$B$1)</f>
        <v>15.75</v>
      </c>
      <c r="H6" s="6">
        <f t="shared" si="5"/>
        <v>44.1</v>
      </c>
      <c r="I6" s="6">
        <f t="shared" si="5"/>
        <v>99.224999999999994</v>
      </c>
      <c r="J6" s="8">
        <v>0</v>
      </c>
      <c r="K6" s="8">
        <v>0.05</v>
      </c>
      <c r="L6" s="8">
        <v>0.05</v>
      </c>
      <c r="N6" s="3" t="s">
        <v>21</v>
      </c>
      <c r="O6" s="8">
        <f>J8</f>
        <v>0.05</v>
      </c>
      <c r="P6" s="8">
        <f>J18</f>
        <v>0.3</v>
      </c>
      <c r="Q6" t="str">
        <f t="shared" si="0"/>
        <v>y=0,25x+5</v>
      </c>
      <c r="S6" s="3" t="s">
        <v>21</v>
      </c>
      <c r="T6" s="8">
        <f>K8</f>
        <v>0.25</v>
      </c>
      <c r="U6" s="8">
        <f>K18</f>
        <v>0.3</v>
      </c>
      <c r="V6" t="str">
        <f t="shared" si="1"/>
        <v>y=0,05x+25</v>
      </c>
      <c r="X6" s="3" t="s">
        <v>21</v>
      </c>
      <c r="Y6" s="8">
        <f t="shared" si="3"/>
        <v>0.3</v>
      </c>
      <c r="Z6" s="8">
        <f t="shared" si="4"/>
        <v>0.3</v>
      </c>
      <c r="AA6" t="str">
        <f t="shared" si="2"/>
        <v>y=0x+30</v>
      </c>
    </row>
    <row r="7" spans="1:27" x14ac:dyDescent="0.25">
      <c r="A7" s="3" t="s">
        <v>20</v>
      </c>
      <c r="B7" s="6">
        <f>(Противники!G7+Противники!K7)*2</f>
        <v>115.2</v>
      </c>
      <c r="C7" s="3">
        <v>1</v>
      </c>
      <c r="D7" s="6">
        <f>$B7*(1-Баланс!$B$1)</f>
        <v>92.160000000000011</v>
      </c>
      <c r="E7" s="6">
        <f>$B7*(1 +Баланс!$B$1)</f>
        <v>138.24</v>
      </c>
      <c r="F7" s="6">
        <f>$C7*(1-Баланс!$B$1)</f>
        <v>0.8</v>
      </c>
      <c r="G7" s="6">
        <f>$C7*(1+Баланс!$B$1)</f>
        <v>1.2</v>
      </c>
      <c r="H7" s="6">
        <f t="shared" si="5"/>
        <v>7.3728000000000007</v>
      </c>
      <c r="I7" s="6">
        <f t="shared" si="5"/>
        <v>16.588799999999999</v>
      </c>
      <c r="J7" s="8">
        <v>0.01</v>
      </c>
      <c r="K7" s="8">
        <v>0.05</v>
      </c>
      <c r="L7" s="8">
        <v>0</v>
      </c>
      <c r="N7" s="3" t="s">
        <v>22</v>
      </c>
      <c r="O7" s="8">
        <f>J9</f>
        <v>0</v>
      </c>
      <c r="P7" s="8">
        <f>J19</f>
        <v>0.04</v>
      </c>
      <c r="Q7" t="str">
        <f t="shared" si="0"/>
        <v>y=0,04x+0</v>
      </c>
      <c r="S7" s="3" t="s">
        <v>22</v>
      </c>
      <c r="T7" s="8">
        <f>K9</f>
        <v>0.1</v>
      </c>
      <c r="U7" s="8">
        <f>K19</f>
        <v>0.1</v>
      </c>
      <c r="V7" t="str">
        <f t="shared" si="1"/>
        <v>y=0x+10</v>
      </c>
      <c r="X7" s="3" t="s">
        <v>22</v>
      </c>
      <c r="Y7" s="8">
        <f t="shared" si="3"/>
        <v>0.15</v>
      </c>
      <c r="Z7" s="8">
        <f t="shared" si="4"/>
        <v>0.15</v>
      </c>
      <c r="AA7" t="str">
        <f t="shared" si="2"/>
        <v>y=0x+15</v>
      </c>
    </row>
    <row r="8" spans="1:27" x14ac:dyDescent="0.25">
      <c r="A8" s="3" t="s">
        <v>21</v>
      </c>
      <c r="B8" s="6">
        <f>(B4+B5)/2</f>
        <v>20.625</v>
      </c>
      <c r="C8" s="4"/>
      <c r="D8" s="6">
        <f>$B8*(1-Баланс!$B$1)</f>
        <v>16.5</v>
      </c>
      <c r="E8" s="6">
        <f>$B8*(1 +Баланс!$B$1)</f>
        <v>24.75</v>
      </c>
      <c r="F8" s="6">
        <f>$C8*(1-Баланс!$B$1)</f>
        <v>0</v>
      </c>
      <c r="G8" s="6">
        <f>$C8*(1+Баланс!$B$1)</f>
        <v>0</v>
      </c>
      <c r="H8" s="6">
        <f t="shared" si="5"/>
        <v>33</v>
      </c>
      <c r="I8" s="6">
        <f t="shared" si="5"/>
        <v>49.5</v>
      </c>
      <c r="J8" s="8">
        <v>0.05</v>
      </c>
      <c r="K8" s="8">
        <v>0.25</v>
      </c>
      <c r="L8" s="8">
        <v>0.3</v>
      </c>
    </row>
    <row r="9" spans="1:27" x14ac:dyDescent="0.25">
      <c r="A9" s="3" t="s">
        <v>22</v>
      </c>
      <c r="B9" s="6">
        <f>B8*2</f>
        <v>41.25</v>
      </c>
      <c r="C9" s="4"/>
      <c r="D9" s="6">
        <v>0</v>
      </c>
      <c r="E9" s="6">
        <f>B9</f>
        <v>41.25</v>
      </c>
      <c r="F9" s="6">
        <f>$C9*(1-Баланс!$B$1)</f>
        <v>0</v>
      </c>
      <c r="G9" s="6">
        <f>$C9*(1+Баланс!$B$1)</f>
        <v>0</v>
      </c>
      <c r="H9" s="13">
        <f>B9</f>
        <v>41.25</v>
      </c>
      <c r="I9" s="13">
        <f>B9</f>
        <v>41.25</v>
      </c>
      <c r="J9" s="8">
        <v>0</v>
      </c>
      <c r="K9" s="8">
        <v>0.1</v>
      </c>
      <c r="L9" s="8">
        <v>0.15</v>
      </c>
    </row>
    <row r="10" spans="1:27" x14ac:dyDescent="0.25">
      <c r="L10" s="20">
        <f>SUM(L4:L9)</f>
        <v>1</v>
      </c>
    </row>
    <row r="11" spans="1:27" x14ac:dyDescent="0.25">
      <c r="A11" s="4">
        <v>100</v>
      </c>
      <c r="B11" s="22" t="s">
        <v>12</v>
      </c>
      <c r="C11" s="24"/>
      <c r="D11" s="22" t="s">
        <v>8</v>
      </c>
      <c r="E11" s="24"/>
      <c r="F11" s="22" t="s">
        <v>24</v>
      </c>
      <c r="G11" s="24"/>
      <c r="H11" s="22" t="s">
        <v>25</v>
      </c>
      <c r="I11" s="24"/>
      <c r="J11" s="21" t="s">
        <v>32</v>
      </c>
      <c r="K11" s="21"/>
      <c r="L11" s="21"/>
    </row>
    <row r="12" spans="1:27" x14ac:dyDescent="0.25">
      <c r="A12" s="3"/>
      <c r="B12" s="3" t="s">
        <v>8</v>
      </c>
      <c r="C12" s="3" t="s">
        <v>24</v>
      </c>
      <c r="D12" s="3" t="s">
        <v>10</v>
      </c>
      <c r="E12" s="3" t="s">
        <v>11</v>
      </c>
      <c r="F12" s="3" t="s">
        <v>10</v>
      </c>
      <c r="G12" s="3" t="s">
        <v>11</v>
      </c>
      <c r="H12" s="3" t="s">
        <v>10</v>
      </c>
      <c r="I12" s="3" t="s">
        <v>11</v>
      </c>
      <c r="J12" s="3" t="s">
        <v>33</v>
      </c>
      <c r="K12" s="3" t="s">
        <v>34</v>
      </c>
      <c r="L12" s="25" t="s">
        <v>40</v>
      </c>
    </row>
    <row r="13" spans="1:27" x14ac:dyDescent="0.25">
      <c r="A13" s="3" t="s">
        <v>16</v>
      </c>
      <c r="B13" s="6">
        <f>(1+(Баланс!$B$2 *Оружие!$A$11))*B3</f>
        <v>20</v>
      </c>
      <c r="C13" s="6"/>
      <c r="D13" s="14" t="s">
        <v>26</v>
      </c>
      <c r="E13" s="14" t="s">
        <v>26</v>
      </c>
      <c r="F13" s="14" t="s">
        <v>26</v>
      </c>
      <c r="G13" s="14" t="s">
        <v>26</v>
      </c>
      <c r="H13" s="14" t="s">
        <v>26</v>
      </c>
      <c r="I13" s="14" t="s">
        <v>26</v>
      </c>
      <c r="J13" s="8"/>
      <c r="K13" s="18"/>
      <c r="L13" s="3"/>
    </row>
    <row r="14" spans="1:27" x14ac:dyDescent="0.25">
      <c r="A14" s="3" t="s">
        <v>17</v>
      </c>
      <c r="B14" s="6">
        <f>(1+(Баланс!$B$2 *Оружие!$A$11))*B4</f>
        <v>30</v>
      </c>
      <c r="C14" s="6">
        <f>C4</f>
        <v>7.5</v>
      </c>
      <c r="D14" s="6">
        <f>$B14*(1-Баланс!$B$1)</f>
        <v>24</v>
      </c>
      <c r="E14" s="6">
        <f>$B14*(1 +Баланс!$B$1)</f>
        <v>36</v>
      </c>
      <c r="F14" s="6">
        <f>$C14*(1-Баланс!$B$1)</f>
        <v>6</v>
      </c>
      <c r="G14" s="6">
        <f>$C14*(1+Баланс!$B$1)</f>
        <v>9</v>
      </c>
      <c r="H14" s="6">
        <f t="shared" ref="H14:I18" si="6">IF($C14&lt;&gt;"",(D14*F14)/10,D14*2)</f>
        <v>14.4</v>
      </c>
      <c r="I14" s="6">
        <f t="shared" si="6"/>
        <v>32.4</v>
      </c>
      <c r="J14" s="8">
        <v>0.2</v>
      </c>
      <c r="K14" s="8">
        <v>-0.4</v>
      </c>
      <c r="L14" s="8">
        <v>-0.7</v>
      </c>
    </row>
    <row r="15" spans="1:27" x14ac:dyDescent="0.25">
      <c r="A15" s="3" t="s">
        <v>18</v>
      </c>
      <c r="B15" s="6">
        <f>(1+(Баланс!$B$2 *Оружие!$A$11))*B5</f>
        <v>52.5</v>
      </c>
      <c r="C15" s="6">
        <f t="shared" ref="C15:C19" si="7">C5</f>
        <v>17.5</v>
      </c>
      <c r="D15" s="6">
        <f>$B15*(1-Баланс!$B$1)</f>
        <v>42</v>
      </c>
      <c r="E15" s="6">
        <f>$B15*(1 +Баланс!$B$1)</f>
        <v>63</v>
      </c>
      <c r="F15" s="6">
        <f>$C15*(1-Баланс!$B$1)</f>
        <v>14</v>
      </c>
      <c r="G15" s="6">
        <f>$C15*(1+Баланс!$B$1)</f>
        <v>21</v>
      </c>
      <c r="H15" s="6">
        <f t="shared" si="6"/>
        <v>58.8</v>
      </c>
      <c r="I15" s="6">
        <f t="shared" si="6"/>
        <v>132.30000000000001</v>
      </c>
      <c r="J15" s="8">
        <v>0.3</v>
      </c>
      <c r="K15" s="8">
        <v>0.4</v>
      </c>
      <c r="L15" s="8">
        <v>0.35</v>
      </c>
    </row>
    <row r="16" spans="1:27" x14ac:dyDescent="0.25">
      <c r="A16" s="3" t="s">
        <v>19</v>
      </c>
      <c r="B16" s="6">
        <f>(1+(Баланс!$B$2 *Оружие!$A$11))*B6</f>
        <v>105</v>
      </c>
      <c r="C16" s="6">
        <f t="shared" si="7"/>
        <v>13.125</v>
      </c>
      <c r="D16" s="6">
        <f>$B16*(1-Баланс!$B$1)</f>
        <v>84</v>
      </c>
      <c r="E16" s="6">
        <f>$B16*(1 +Баланс!$B$1)</f>
        <v>126</v>
      </c>
      <c r="F16" s="6">
        <f>$C16*(1-Баланс!$B$1)</f>
        <v>10.5</v>
      </c>
      <c r="G16" s="6">
        <f>$C16*(1+Баланс!$B$1)</f>
        <v>15.75</v>
      </c>
      <c r="H16" s="6">
        <f t="shared" si="6"/>
        <v>88.2</v>
      </c>
      <c r="I16" s="6">
        <f t="shared" si="6"/>
        <v>198.45</v>
      </c>
      <c r="J16" s="8">
        <v>0.15</v>
      </c>
      <c r="K16" s="8">
        <v>0.15</v>
      </c>
      <c r="L16" s="8">
        <v>0.2</v>
      </c>
    </row>
    <row r="17" spans="1:12" x14ac:dyDescent="0.25">
      <c r="A17" s="3" t="s">
        <v>20</v>
      </c>
      <c r="B17" s="6">
        <f>(1+(Баланс!$B$2 *Оружие!$A$11))*B7</f>
        <v>230.4</v>
      </c>
      <c r="C17" s="6">
        <f t="shared" si="7"/>
        <v>1</v>
      </c>
      <c r="D17" s="6">
        <f>$B17*(1-Баланс!$B$1)</f>
        <v>184.32000000000002</v>
      </c>
      <c r="E17" s="6">
        <f>$B17*(1 +Баланс!$B$1)</f>
        <v>276.48</v>
      </c>
      <c r="F17" s="6">
        <f>$C17*(1-Баланс!$B$1)</f>
        <v>0.8</v>
      </c>
      <c r="G17" s="6">
        <f>$C17*(1+Баланс!$B$1)</f>
        <v>1.2</v>
      </c>
      <c r="H17" s="6">
        <f t="shared" si="6"/>
        <v>14.745600000000001</v>
      </c>
      <c r="I17" s="6">
        <f t="shared" si="6"/>
        <v>33.177599999999998</v>
      </c>
      <c r="J17" s="8">
        <v>0.01</v>
      </c>
      <c r="K17" s="8">
        <v>0.05</v>
      </c>
      <c r="L17" s="8">
        <v>0</v>
      </c>
    </row>
    <row r="18" spans="1:12" x14ac:dyDescent="0.25">
      <c r="A18" s="3" t="s">
        <v>21</v>
      </c>
      <c r="B18" s="6">
        <f>(1+(Баланс!$B$2 *Оружие!$A$11))*B8</f>
        <v>41.25</v>
      </c>
      <c r="C18" s="6">
        <f t="shared" si="7"/>
        <v>0</v>
      </c>
      <c r="D18" s="6">
        <f>$B18*(1-Баланс!$B$1)</f>
        <v>33</v>
      </c>
      <c r="E18" s="6">
        <f>$B18*(1 +Баланс!$B$1)</f>
        <v>49.5</v>
      </c>
      <c r="F18" s="6">
        <f>$C18*(1-Баланс!$B$1)</f>
        <v>0</v>
      </c>
      <c r="G18" s="6">
        <f>$C18*(1+Баланс!$B$1)</f>
        <v>0</v>
      </c>
      <c r="H18" s="6">
        <f t="shared" si="6"/>
        <v>0</v>
      </c>
      <c r="I18" s="6">
        <f t="shared" si="6"/>
        <v>0</v>
      </c>
      <c r="J18" s="8">
        <v>0.3</v>
      </c>
      <c r="K18" s="8">
        <v>0.3</v>
      </c>
      <c r="L18" s="8">
        <v>0.3</v>
      </c>
    </row>
    <row r="19" spans="1:12" x14ac:dyDescent="0.25">
      <c r="A19" s="3" t="s">
        <v>22</v>
      </c>
      <c r="B19" s="6">
        <f>(1+(Баланс!$B$2 *Оружие!$A$11))*B9</f>
        <v>82.5</v>
      </c>
      <c r="C19" s="6">
        <f t="shared" si="7"/>
        <v>0</v>
      </c>
      <c r="D19" s="6">
        <v>0</v>
      </c>
      <c r="E19" s="6">
        <f>B19</f>
        <v>82.5</v>
      </c>
      <c r="F19" s="6">
        <f>$C19*(1-Баланс!$B$1)</f>
        <v>0</v>
      </c>
      <c r="G19" s="6">
        <f>$C19*(1+Баланс!$B$1)</f>
        <v>0</v>
      </c>
      <c r="H19" s="13">
        <f>B19</f>
        <v>82.5</v>
      </c>
      <c r="I19" s="13">
        <f>B19</f>
        <v>82.5</v>
      </c>
      <c r="J19" s="8">
        <v>0.04</v>
      </c>
      <c r="K19" s="8">
        <v>0.1</v>
      </c>
      <c r="L19" s="8">
        <v>0.15</v>
      </c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L20" s="20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</row>
  </sheetData>
  <mergeCells count="10">
    <mergeCell ref="J11:L11"/>
    <mergeCell ref="J1:L1"/>
    <mergeCell ref="B1:C1"/>
    <mergeCell ref="D1:E1"/>
    <mergeCell ref="F1:G1"/>
    <mergeCell ref="H1:I1"/>
    <mergeCell ref="B11:C11"/>
    <mergeCell ref="D11:E11"/>
    <mergeCell ref="F11:G11"/>
    <mergeCell ref="H11:I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D9FF-C807-4A2F-A500-2F255D657DD7}">
  <dimension ref="A1:AA15"/>
  <sheetViews>
    <sheetView zoomScaleNormal="100" workbookViewId="0">
      <selection activeCell="J12" sqref="J12"/>
    </sheetView>
  </sheetViews>
  <sheetFormatPr defaultRowHeight="15" x14ac:dyDescent="0.25"/>
  <cols>
    <col min="1" max="1" width="16.85546875" bestFit="1" customWidth="1"/>
    <col min="2" max="2" width="5.42578125" bestFit="1" customWidth="1"/>
    <col min="3" max="3" width="10.5703125" bestFit="1" customWidth="1"/>
    <col min="4" max="4" width="5" bestFit="1" customWidth="1"/>
    <col min="5" max="5" width="5.5703125" bestFit="1" customWidth="1"/>
    <col min="6" max="6" width="5" bestFit="1" customWidth="1"/>
    <col min="7" max="7" width="5.5703125" bestFit="1" customWidth="1"/>
    <col min="8" max="8" width="5" bestFit="1" customWidth="1"/>
    <col min="9" max="9" width="5.5703125" bestFit="1" customWidth="1"/>
    <col min="10" max="10" width="8.7109375" bestFit="1" customWidth="1"/>
    <col min="11" max="11" width="7.42578125" bestFit="1" customWidth="1"/>
    <col min="12" max="12" width="8.5703125" bestFit="1" customWidth="1"/>
    <col min="13" max="13" width="8.42578125" customWidth="1"/>
    <col min="14" max="14" width="16.85546875" bestFit="1" customWidth="1"/>
    <col min="16" max="17" width="11.28515625" bestFit="1" customWidth="1"/>
    <col min="18" max="18" width="7.140625" customWidth="1"/>
    <col min="19" max="19" width="16.85546875" bestFit="1" customWidth="1"/>
    <col min="21" max="21" width="10.85546875" bestFit="1" customWidth="1"/>
    <col min="22" max="22" width="11.28515625" bestFit="1" customWidth="1"/>
    <col min="23" max="23" width="6.42578125" customWidth="1"/>
    <col min="24" max="24" width="16.85546875" bestFit="1" customWidth="1"/>
    <col min="27" max="27" width="13.28515625" bestFit="1" customWidth="1"/>
  </cols>
  <sheetData>
    <row r="1" spans="1:27" x14ac:dyDescent="0.25">
      <c r="A1" s="3">
        <v>0</v>
      </c>
      <c r="B1" s="22" t="s">
        <v>12</v>
      </c>
      <c r="C1" s="24"/>
      <c r="D1" s="22" t="s">
        <v>9</v>
      </c>
      <c r="E1" s="24"/>
      <c r="F1" s="22" t="s">
        <v>24</v>
      </c>
      <c r="G1" s="24"/>
      <c r="H1" s="22" t="s">
        <v>25</v>
      </c>
      <c r="I1" s="24"/>
      <c r="J1" s="21" t="s">
        <v>32</v>
      </c>
      <c r="K1" s="21"/>
      <c r="L1" s="21"/>
      <c r="N1" s="3" t="s">
        <v>33</v>
      </c>
      <c r="O1" s="3">
        <v>0</v>
      </c>
      <c r="P1" s="3">
        <v>100</v>
      </c>
      <c r="S1" s="3" t="s">
        <v>34</v>
      </c>
      <c r="T1" s="3">
        <v>0</v>
      </c>
      <c r="U1" s="3">
        <v>100</v>
      </c>
      <c r="X1" s="3" t="s">
        <v>40</v>
      </c>
      <c r="Y1" s="3">
        <v>0</v>
      </c>
      <c r="Z1" s="3">
        <v>100</v>
      </c>
    </row>
    <row r="2" spans="1:27" x14ac:dyDescent="0.25">
      <c r="A2" s="3"/>
      <c r="B2" s="3" t="s">
        <v>9</v>
      </c>
      <c r="C2" s="3" t="s">
        <v>24</v>
      </c>
      <c r="D2" s="3" t="s">
        <v>10</v>
      </c>
      <c r="E2" s="3" t="s">
        <v>11</v>
      </c>
      <c r="F2" s="3" t="s">
        <v>10</v>
      </c>
      <c r="G2" s="3" t="s">
        <v>11</v>
      </c>
      <c r="H2" s="3" t="s">
        <v>10</v>
      </c>
      <c r="I2" s="3" t="s">
        <v>11</v>
      </c>
      <c r="J2" s="3" t="s">
        <v>33</v>
      </c>
      <c r="K2" s="3" t="s">
        <v>34</v>
      </c>
      <c r="L2" s="3" t="s">
        <v>40</v>
      </c>
      <c r="N2" s="3" t="s">
        <v>27</v>
      </c>
      <c r="O2" s="8">
        <f>J3</f>
        <v>0.85</v>
      </c>
      <c r="P2" s="8">
        <f>J11</f>
        <v>-0.85</v>
      </c>
      <c r="Q2" t="str">
        <f>"y="&amp;(P2-O2)&amp;"x"&amp;"+"&amp;O2*100</f>
        <v>y=-1,7x+85</v>
      </c>
      <c r="S2" s="3" t="s">
        <v>28</v>
      </c>
      <c r="T2" s="8">
        <f>K4</f>
        <v>0.55000000000000004</v>
      </c>
      <c r="U2" s="8">
        <f>K12</f>
        <v>0.4</v>
      </c>
      <c r="V2" t="str">
        <f>"y="&amp;ROUND(U2-T2,5)&amp;"x"&amp;"+"&amp;ROUND(T2*100,5)</f>
        <v>y=-0,15x+55</v>
      </c>
      <c r="X2" s="3" t="s">
        <v>27</v>
      </c>
      <c r="Y2" s="8">
        <v>0.5</v>
      </c>
      <c r="Z2" s="8">
        <v>-1.17</v>
      </c>
      <c r="AA2" t="str">
        <f>"y="&amp;(Z2-Y2)&amp;"x"&amp;"+"&amp;Y2*100</f>
        <v>y=-1,67x+50</v>
      </c>
    </row>
    <row r="3" spans="1:27" x14ac:dyDescent="0.25">
      <c r="A3" s="3" t="s">
        <v>27</v>
      </c>
      <c r="B3" s="6">
        <f>Противники!C3/5</f>
        <v>2</v>
      </c>
      <c r="C3" s="6">
        <f>B3*1.5</f>
        <v>3</v>
      </c>
      <c r="D3" s="6">
        <f>$B3*(1-Баланс!$B$1)</f>
        <v>1.6</v>
      </c>
      <c r="E3" s="6">
        <f>$B3*(1+Баланс!$B$1)</f>
        <v>2.4</v>
      </c>
      <c r="F3" s="6">
        <f>$C3*(1-Баланс!$B$1)</f>
        <v>2.4000000000000004</v>
      </c>
      <c r="G3" s="6">
        <f>$C3*(1+Баланс!$B$1)</f>
        <v>3.5999999999999996</v>
      </c>
      <c r="H3" s="6">
        <f>(D3*F3)/10</f>
        <v>0.38400000000000006</v>
      </c>
      <c r="I3" s="6">
        <f>(E3*G3)/10</f>
        <v>0.86399999999999988</v>
      </c>
      <c r="J3" s="8">
        <v>0.85</v>
      </c>
      <c r="K3" s="8">
        <v>0</v>
      </c>
      <c r="L3" s="8">
        <v>0.5</v>
      </c>
      <c r="N3" s="3" t="s">
        <v>28</v>
      </c>
      <c r="O3" s="8">
        <f>J4</f>
        <v>0.1</v>
      </c>
      <c r="P3" s="8">
        <f>J12</f>
        <v>0.45</v>
      </c>
      <c r="Q3" t="str">
        <f>"y="&amp;(P3-O3)&amp;"x"&amp;"+"&amp;O3*100</f>
        <v>y=0,35x+10</v>
      </c>
      <c r="S3" s="3" t="s">
        <v>29</v>
      </c>
      <c r="T3" s="8">
        <f>K5</f>
        <v>0.25</v>
      </c>
      <c r="U3" s="8">
        <f>K13</f>
        <v>0.4</v>
      </c>
      <c r="V3" t="str">
        <f t="shared" ref="V3:V5" si="0">"y="&amp;ROUND(U3-T3,5)&amp;"x"&amp;"+"&amp;ROUND(T3*100,5)</f>
        <v>y=0,15x+25</v>
      </c>
      <c r="X3" s="3" t="s">
        <v>28</v>
      </c>
      <c r="Y3" s="8">
        <v>0.27500000000000002</v>
      </c>
      <c r="Z3" s="8">
        <v>0.3</v>
      </c>
      <c r="AA3" t="str">
        <f>"y="&amp;(Z3-Y3)&amp;"x"&amp;"+"&amp;Y3*100</f>
        <v>y=0,025x+27,5</v>
      </c>
    </row>
    <row r="4" spans="1:27" x14ac:dyDescent="0.25">
      <c r="A4" s="3" t="s">
        <v>28</v>
      </c>
      <c r="B4" s="6">
        <f>Противники!C5*0.8</f>
        <v>4</v>
      </c>
      <c r="C4" s="6">
        <f>B4*3</f>
        <v>12</v>
      </c>
      <c r="D4" s="6">
        <f>$B4*(1-Баланс!$B$1)</f>
        <v>3.2</v>
      </c>
      <c r="E4" s="6">
        <f>$B4*(1+Баланс!$B$1)</f>
        <v>4.8</v>
      </c>
      <c r="F4" s="6">
        <f>$C4*(1-Баланс!$B$1)</f>
        <v>9.6000000000000014</v>
      </c>
      <c r="G4" s="6">
        <f>$C4*(1+Баланс!$B$1)</f>
        <v>14.399999999999999</v>
      </c>
      <c r="H4" s="6">
        <f t="shared" ref="H4:H7" si="1">(D4*F4)/10</f>
        <v>3.0720000000000005</v>
      </c>
      <c r="I4" s="6">
        <f t="shared" ref="I4:I7" si="2">(E4*G4)/10</f>
        <v>6.911999999999999</v>
      </c>
      <c r="J4" s="8">
        <v>0.1</v>
      </c>
      <c r="K4" s="8">
        <v>0.55000000000000004</v>
      </c>
      <c r="L4" s="8">
        <f>K4*0.5</f>
        <v>0.27500000000000002</v>
      </c>
      <c r="N4" s="3" t="s">
        <v>29</v>
      </c>
      <c r="O4" s="8">
        <f>J5</f>
        <v>0</v>
      </c>
      <c r="P4" s="8">
        <f>J13</f>
        <v>0.2</v>
      </c>
      <c r="Q4" t="str">
        <f>"y="&amp;(P4-O4)&amp;"x"&amp;"+"&amp;O4*100</f>
        <v>y=0,2x+0</v>
      </c>
      <c r="S4" s="3" t="s">
        <v>30</v>
      </c>
      <c r="T4" s="8">
        <f>K6</f>
        <v>0.14000000000000001</v>
      </c>
      <c r="U4" s="8">
        <f>K14</f>
        <v>0.1</v>
      </c>
      <c r="V4" t="str">
        <f t="shared" si="0"/>
        <v>y=-0,04x+14</v>
      </c>
      <c r="X4" s="3" t="s">
        <v>29</v>
      </c>
      <c r="Y4" s="8">
        <v>0.125</v>
      </c>
      <c r="Z4" s="8">
        <v>0.5</v>
      </c>
      <c r="AA4" t="str">
        <f>"y="&amp;(Z4-Y4)&amp;"x"&amp;"+"&amp;Y4*100</f>
        <v>y=0,375x+12,5</v>
      </c>
    </row>
    <row r="5" spans="1:27" x14ac:dyDescent="0.25">
      <c r="A5" s="3" t="s">
        <v>29</v>
      </c>
      <c r="B5" s="6">
        <f>Противники!C7/5</f>
        <v>6</v>
      </c>
      <c r="C5" s="6">
        <f>B5*3</f>
        <v>18</v>
      </c>
      <c r="D5" s="6">
        <f>$B5*(1-Баланс!$B$1)</f>
        <v>4.8000000000000007</v>
      </c>
      <c r="E5" s="6">
        <f>$B5*(1+Баланс!$B$1)</f>
        <v>7.1999999999999993</v>
      </c>
      <c r="F5" s="6">
        <f>$C5*(1-Баланс!$B$1)</f>
        <v>14.4</v>
      </c>
      <c r="G5" s="6">
        <f>$C5*(1+Баланс!$B$1)</f>
        <v>21.599999999999998</v>
      </c>
      <c r="H5" s="6">
        <f t="shared" si="1"/>
        <v>6.9120000000000017</v>
      </c>
      <c r="I5" s="6">
        <f t="shared" si="2"/>
        <v>15.551999999999998</v>
      </c>
      <c r="J5" s="8">
        <v>0</v>
      </c>
      <c r="K5" s="8">
        <v>0.25</v>
      </c>
      <c r="L5" s="8">
        <f t="shared" ref="L5:L7" si="3">K5*0.5</f>
        <v>0.125</v>
      </c>
      <c r="N5" s="3" t="s">
        <v>30</v>
      </c>
      <c r="O5" s="8">
        <f>J6</f>
        <v>0.05</v>
      </c>
      <c r="P5" s="8">
        <f>J14</f>
        <v>0.25</v>
      </c>
      <c r="Q5" t="str">
        <f>"y="&amp;(P5-O5)&amp;"x"&amp;"+"&amp;O5*100</f>
        <v>y=0,2x+5</v>
      </c>
      <c r="S5" s="3" t="s">
        <v>31</v>
      </c>
      <c r="T5" s="8">
        <f>K7</f>
        <v>0.06</v>
      </c>
      <c r="U5" s="8">
        <f>K15</f>
        <v>0.1</v>
      </c>
      <c r="V5" t="str">
        <f t="shared" si="0"/>
        <v>y=0,04x+6</v>
      </c>
      <c r="X5" s="3" t="s">
        <v>30</v>
      </c>
      <c r="Y5" s="8">
        <v>7.0000000000000007E-2</v>
      </c>
      <c r="Z5" s="8">
        <v>0.08</v>
      </c>
      <c r="AA5" t="str">
        <f>"y="&amp;(Z5-Y5)&amp;"x"&amp;"+"&amp;Y5*100</f>
        <v>y=0,01x+7</v>
      </c>
    </row>
    <row r="6" spans="1:27" x14ac:dyDescent="0.25">
      <c r="A6" s="3" t="s">
        <v>30</v>
      </c>
      <c r="B6" s="6">
        <f>B4*2</f>
        <v>8</v>
      </c>
      <c r="C6" s="6">
        <f>B6*3</f>
        <v>24</v>
      </c>
      <c r="D6" s="6">
        <f>$B6*(1-Баланс!$B$1)</f>
        <v>6.4</v>
      </c>
      <c r="E6" s="6">
        <f>$B6*(1+Баланс!$B$1)</f>
        <v>9.6</v>
      </c>
      <c r="F6" s="6">
        <f>$C6*(1-Баланс!$B$1)</f>
        <v>19.200000000000003</v>
      </c>
      <c r="G6" s="6">
        <f>$C6*(1+Баланс!$B$1)</f>
        <v>28.799999999999997</v>
      </c>
      <c r="H6" s="6">
        <f t="shared" si="1"/>
        <v>12.288000000000002</v>
      </c>
      <c r="I6" s="6">
        <f t="shared" si="2"/>
        <v>27.647999999999996</v>
      </c>
      <c r="J6" s="8">
        <v>0.05</v>
      </c>
      <c r="K6" s="8">
        <v>0.14000000000000001</v>
      </c>
      <c r="L6" s="8">
        <f t="shared" si="3"/>
        <v>7.0000000000000007E-2</v>
      </c>
      <c r="N6" s="3" t="s">
        <v>31</v>
      </c>
      <c r="O6" s="8">
        <f>J7</f>
        <v>0</v>
      </c>
      <c r="P6" s="8">
        <f>J15</f>
        <v>0.1</v>
      </c>
      <c r="Q6" t="str">
        <f>"y="&amp;(P6-O6)&amp;"x"&amp;"+"&amp;O6*100</f>
        <v>y=0,1x+0</v>
      </c>
      <c r="X6" s="3" t="s">
        <v>31</v>
      </c>
      <c r="Y6" s="8">
        <v>0.03</v>
      </c>
      <c r="Z6" s="8">
        <v>0.12</v>
      </c>
      <c r="AA6" t="str">
        <f>"y="&amp;(Z6-Y6)&amp;"x"&amp;"+"&amp;Y6*100</f>
        <v>y=0,09x+3</v>
      </c>
    </row>
    <row r="7" spans="1:27" x14ac:dyDescent="0.25">
      <c r="A7" s="3" t="s">
        <v>31</v>
      </c>
      <c r="B7" s="6">
        <f>B5*2</f>
        <v>12</v>
      </c>
      <c r="C7" s="6">
        <f>B7*3</f>
        <v>36</v>
      </c>
      <c r="D7" s="6">
        <f>$B7*(1-Баланс!$B$1)</f>
        <v>9.6000000000000014</v>
      </c>
      <c r="E7" s="6">
        <f>$B7*(1+Баланс!$B$1)</f>
        <v>14.399999999999999</v>
      </c>
      <c r="F7" s="6">
        <f>$C7*(1-Баланс!$B$1)</f>
        <v>28.8</v>
      </c>
      <c r="G7" s="6">
        <f>$C7*(1+Баланс!$B$1)</f>
        <v>43.199999999999996</v>
      </c>
      <c r="H7" s="6">
        <f t="shared" si="1"/>
        <v>27.648000000000007</v>
      </c>
      <c r="I7" s="6">
        <f t="shared" si="2"/>
        <v>62.207999999999991</v>
      </c>
      <c r="J7" s="8">
        <v>0</v>
      </c>
      <c r="K7" s="8">
        <v>0.06</v>
      </c>
      <c r="L7" s="8">
        <f t="shared" si="3"/>
        <v>0.03</v>
      </c>
    </row>
    <row r="9" spans="1:27" x14ac:dyDescent="0.25">
      <c r="A9" s="3">
        <v>100</v>
      </c>
      <c r="B9" s="22" t="s">
        <v>12</v>
      </c>
      <c r="C9" s="24"/>
      <c r="D9" s="22" t="s">
        <v>9</v>
      </c>
      <c r="E9" s="24"/>
      <c r="F9" s="22" t="s">
        <v>24</v>
      </c>
      <c r="G9" s="24"/>
      <c r="H9" s="22" t="s">
        <v>25</v>
      </c>
      <c r="I9" s="24"/>
      <c r="J9" s="21" t="s">
        <v>32</v>
      </c>
      <c r="K9" s="21"/>
      <c r="L9" s="21"/>
    </row>
    <row r="10" spans="1:27" x14ac:dyDescent="0.25">
      <c r="A10" s="3"/>
      <c r="B10" s="3" t="s">
        <v>9</v>
      </c>
      <c r="C10" s="3" t="s">
        <v>24</v>
      </c>
      <c r="D10" s="3" t="s">
        <v>10</v>
      </c>
      <c r="E10" s="3" t="s">
        <v>11</v>
      </c>
      <c r="F10" s="3" t="s">
        <v>10</v>
      </c>
      <c r="G10" s="3" t="s">
        <v>11</v>
      </c>
      <c r="H10" s="3" t="s">
        <v>10</v>
      </c>
      <c r="I10" s="3" t="s">
        <v>11</v>
      </c>
      <c r="J10" s="3" t="s">
        <v>33</v>
      </c>
      <c r="K10" s="3" t="s">
        <v>34</v>
      </c>
      <c r="L10" s="3" t="s">
        <v>40</v>
      </c>
    </row>
    <row r="11" spans="1:27" x14ac:dyDescent="0.25">
      <c r="A11" s="3" t="s">
        <v>27</v>
      </c>
      <c r="B11" s="6">
        <f>(1+(Баланс!$B$2 *$A$9))*B3</f>
        <v>4</v>
      </c>
      <c r="C11" s="6">
        <f>C3</f>
        <v>3</v>
      </c>
      <c r="D11" s="6">
        <f>$B11*(1-Баланс!$B$1)</f>
        <v>3.2</v>
      </c>
      <c r="E11" s="6">
        <f>$B11*(1+Баланс!$B$1)</f>
        <v>4.8</v>
      </c>
      <c r="F11" s="6">
        <f>$C11*(1-Баланс!$B$1)</f>
        <v>2.4000000000000004</v>
      </c>
      <c r="G11" s="6">
        <f>$C11*(1+Баланс!$B$1)</f>
        <v>3.5999999999999996</v>
      </c>
      <c r="H11" s="6">
        <f>(D11*F11)/10</f>
        <v>0.76800000000000013</v>
      </c>
      <c r="I11" s="6">
        <f>(E11*G11)/10</f>
        <v>1.7279999999999998</v>
      </c>
      <c r="J11" s="8">
        <v>-0.85</v>
      </c>
      <c r="K11" s="8">
        <v>0</v>
      </c>
      <c r="L11" s="8">
        <v>-1.17</v>
      </c>
    </row>
    <row r="12" spans="1:27" x14ac:dyDescent="0.25">
      <c r="A12" s="3" t="s">
        <v>28</v>
      </c>
      <c r="B12" s="6">
        <f>(1+(Баланс!$B$2 *$A$9))*B4</f>
        <v>8</v>
      </c>
      <c r="C12" s="6">
        <f t="shared" ref="C12:C15" si="4">C4</f>
        <v>12</v>
      </c>
      <c r="D12" s="6">
        <f>$B12*(1-Баланс!$B$1)</f>
        <v>6.4</v>
      </c>
      <c r="E12" s="6">
        <f>$B12*(1+Баланс!$B$1)</f>
        <v>9.6</v>
      </c>
      <c r="F12" s="6">
        <f>$C12*(1-Баланс!$B$1)</f>
        <v>9.6000000000000014</v>
      </c>
      <c r="G12" s="6">
        <f>$C12*(1+Баланс!$B$1)</f>
        <v>14.399999999999999</v>
      </c>
      <c r="H12" s="6">
        <f t="shared" ref="H12:H15" si="5">(D12*F12)/10</f>
        <v>6.144000000000001</v>
      </c>
      <c r="I12" s="6">
        <f t="shared" ref="I12:I15" si="6">(E12*G12)/10</f>
        <v>13.823999999999998</v>
      </c>
      <c r="J12" s="8">
        <v>0.45</v>
      </c>
      <c r="K12" s="8">
        <v>0.4</v>
      </c>
      <c r="L12" s="8">
        <v>0.3</v>
      </c>
    </row>
    <row r="13" spans="1:27" x14ac:dyDescent="0.25">
      <c r="A13" s="3" t="s">
        <v>29</v>
      </c>
      <c r="B13" s="6">
        <f>(1+(Баланс!$B$2 *$A$9))*B5</f>
        <v>12</v>
      </c>
      <c r="C13" s="6">
        <f t="shared" si="4"/>
        <v>18</v>
      </c>
      <c r="D13" s="6">
        <f>$B13*(1-Баланс!$B$1)</f>
        <v>9.6000000000000014</v>
      </c>
      <c r="E13" s="6">
        <f>$B13*(1+Баланс!$B$1)</f>
        <v>14.399999999999999</v>
      </c>
      <c r="F13" s="6">
        <f>$C13*(1-Баланс!$B$1)</f>
        <v>14.4</v>
      </c>
      <c r="G13" s="6">
        <f>$C13*(1+Баланс!$B$1)</f>
        <v>21.599999999999998</v>
      </c>
      <c r="H13" s="6">
        <f t="shared" si="5"/>
        <v>13.824000000000003</v>
      </c>
      <c r="I13" s="6">
        <f t="shared" si="6"/>
        <v>31.103999999999996</v>
      </c>
      <c r="J13" s="8">
        <v>0.2</v>
      </c>
      <c r="K13" s="8">
        <v>0.4</v>
      </c>
      <c r="L13" s="8">
        <v>0.5</v>
      </c>
    </row>
    <row r="14" spans="1:27" x14ac:dyDescent="0.25">
      <c r="A14" s="3" t="s">
        <v>30</v>
      </c>
      <c r="B14" s="6">
        <f>(1+(Баланс!$B$2 *$A$9))*B6</f>
        <v>16</v>
      </c>
      <c r="C14" s="6">
        <f t="shared" si="4"/>
        <v>24</v>
      </c>
      <c r="D14" s="6">
        <f>$B14*(1-Баланс!$B$1)</f>
        <v>12.8</v>
      </c>
      <c r="E14" s="6">
        <f>$B14*(1+Баланс!$B$1)</f>
        <v>19.2</v>
      </c>
      <c r="F14" s="6">
        <f>$C14*(1-Баланс!$B$1)</f>
        <v>19.200000000000003</v>
      </c>
      <c r="G14" s="6">
        <f>$C14*(1+Баланс!$B$1)</f>
        <v>28.799999999999997</v>
      </c>
      <c r="H14" s="6">
        <f t="shared" si="5"/>
        <v>24.576000000000004</v>
      </c>
      <c r="I14" s="6">
        <f t="shared" si="6"/>
        <v>55.295999999999992</v>
      </c>
      <c r="J14" s="8">
        <v>0.25</v>
      </c>
      <c r="K14" s="8">
        <v>0.1</v>
      </c>
      <c r="L14" s="8">
        <v>0.08</v>
      </c>
    </row>
    <row r="15" spans="1:27" x14ac:dyDescent="0.25">
      <c r="A15" s="3" t="s">
        <v>31</v>
      </c>
      <c r="B15" s="6">
        <f>(1+(Баланс!$B$2 *$A$9))*B7</f>
        <v>24</v>
      </c>
      <c r="C15" s="6">
        <f t="shared" si="4"/>
        <v>36</v>
      </c>
      <c r="D15" s="6">
        <f>$B15*(1-Баланс!$B$1)</f>
        <v>19.200000000000003</v>
      </c>
      <c r="E15" s="6">
        <f>$B15*(1+Баланс!$B$1)</f>
        <v>28.799999999999997</v>
      </c>
      <c r="F15" s="6">
        <f>$C15*(1-Баланс!$B$1)</f>
        <v>28.8</v>
      </c>
      <c r="G15" s="6">
        <f>$C15*(1+Баланс!$B$1)</f>
        <v>43.199999999999996</v>
      </c>
      <c r="H15" s="6">
        <f t="shared" si="5"/>
        <v>55.296000000000014</v>
      </c>
      <c r="I15" s="6">
        <f t="shared" si="6"/>
        <v>124.41599999999998</v>
      </c>
      <c r="J15" s="8">
        <v>0.1</v>
      </c>
      <c r="K15" s="8">
        <v>0.1</v>
      </c>
      <c r="L15" s="8">
        <v>0.12</v>
      </c>
    </row>
  </sheetData>
  <mergeCells count="10">
    <mergeCell ref="H9:I9"/>
    <mergeCell ref="J1:L1"/>
    <mergeCell ref="J9:L9"/>
    <mergeCell ref="B1:C1"/>
    <mergeCell ref="B9:C9"/>
    <mergeCell ref="D1:E1"/>
    <mergeCell ref="F1:G1"/>
    <mergeCell ref="H1:I1"/>
    <mergeCell ref="D9:E9"/>
    <mergeCell ref="F9:G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4E99-011F-49E2-A8A1-00960F03427B}">
  <dimension ref="A1:AA14"/>
  <sheetViews>
    <sheetView zoomScale="115" zoomScaleNormal="115" workbookViewId="0">
      <selection activeCell="S26" sqref="S26"/>
    </sheetView>
  </sheetViews>
  <sheetFormatPr defaultRowHeight="15" x14ac:dyDescent="0.25"/>
  <cols>
    <col min="1" max="1" width="8" bestFit="1" customWidth="1"/>
    <col min="2" max="2" width="6" bestFit="1" customWidth="1"/>
    <col min="3" max="3" width="9" bestFit="1" customWidth="1"/>
    <col min="4" max="4" width="5" bestFit="1" customWidth="1"/>
    <col min="5" max="5" width="5.5703125" bestFit="1" customWidth="1"/>
    <col min="6" max="6" width="5" bestFit="1" customWidth="1"/>
    <col min="7" max="7" width="5.5703125" bestFit="1" customWidth="1"/>
    <col min="8" max="8" width="5" bestFit="1" customWidth="1"/>
    <col min="9" max="9" width="5.5703125" bestFit="1" customWidth="1"/>
    <col min="10" max="10" width="8.7109375" bestFit="1" customWidth="1"/>
    <col min="11" max="11" width="8.28515625" bestFit="1" customWidth="1"/>
    <col min="17" max="17" width="11.7109375" bestFit="1" customWidth="1"/>
    <col min="22" max="22" width="8.28515625" bestFit="1" customWidth="1"/>
    <col min="27" max="27" width="11.7109375" bestFit="1" customWidth="1"/>
  </cols>
  <sheetData>
    <row r="1" spans="1:27" x14ac:dyDescent="0.25">
      <c r="A1" s="3">
        <v>0</v>
      </c>
      <c r="B1" s="21" t="s">
        <v>12</v>
      </c>
      <c r="C1" s="21"/>
      <c r="D1" s="21" t="s">
        <v>11</v>
      </c>
      <c r="E1" s="21"/>
      <c r="F1" s="21" t="s">
        <v>35</v>
      </c>
      <c r="G1" s="21"/>
      <c r="H1" s="21" t="s">
        <v>25</v>
      </c>
      <c r="I1" s="21"/>
      <c r="J1" s="21" t="s">
        <v>32</v>
      </c>
      <c r="K1" s="21"/>
      <c r="L1" s="21"/>
      <c r="M1" s="10"/>
      <c r="N1" s="17" t="s">
        <v>33</v>
      </c>
      <c r="O1" s="3">
        <v>0</v>
      </c>
      <c r="P1" s="3">
        <v>100</v>
      </c>
      <c r="S1" s="17" t="s">
        <v>34</v>
      </c>
      <c r="T1" s="3">
        <v>0</v>
      </c>
      <c r="U1" s="3">
        <v>100</v>
      </c>
      <c r="X1" s="17" t="s">
        <v>40</v>
      </c>
      <c r="Y1" s="3">
        <v>0</v>
      </c>
      <c r="Z1" s="3">
        <v>100</v>
      </c>
    </row>
    <row r="2" spans="1:27" x14ac:dyDescent="0.25">
      <c r="A2" s="3"/>
      <c r="B2" s="3" t="s">
        <v>11</v>
      </c>
      <c r="C2" s="3" t="s">
        <v>35</v>
      </c>
      <c r="D2" s="3" t="s">
        <v>10</v>
      </c>
      <c r="E2" s="3" t="s">
        <v>11</v>
      </c>
      <c r="F2" s="3" t="s">
        <v>10</v>
      </c>
      <c r="G2" s="3" t="s">
        <v>11</v>
      </c>
      <c r="H2" s="3" t="s">
        <v>10</v>
      </c>
      <c r="I2" s="3" t="s">
        <v>11</v>
      </c>
      <c r="J2" s="17" t="s">
        <v>33</v>
      </c>
      <c r="K2" s="17" t="s">
        <v>34</v>
      </c>
      <c r="L2" s="17" t="s">
        <v>40</v>
      </c>
      <c r="M2" s="10"/>
      <c r="N2" s="3" t="s">
        <v>36</v>
      </c>
      <c r="O2" s="8">
        <v>0.67</v>
      </c>
      <c r="P2" s="8">
        <v>0.33</v>
      </c>
      <c r="Q2" t="str">
        <f>"y="&amp;(P2-O2)&amp;"x"&amp;"+"&amp;O2*100</f>
        <v>y=-0,34x+67</v>
      </c>
      <c r="S2" s="3" t="s">
        <v>36</v>
      </c>
      <c r="T2" s="8">
        <v>0</v>
      </c>
      <c r="U2" s="8">
        <v>0</v>
      </c>
      <c r="V2" t="str">
        <f>"y="&amp;(U2-T2)&amp;"x"&amp;"+"&amp;T2*100</f>
        <v>y=0x+0</v>
      </c>
      <c r="X2" s="3" t="s">
        <v>36</v>
      </c>
      <c r="Y2" s="8">
        <v>0.3</v>
      </c>
      <c r="Z2" s="8">
        <v>0.15</v>
      </c>
      <c r="AA2" t="str">
        <f>"y="&amp;(Z2-Y2)&amp;"x"&amp;"+"&amp;Y2*100</f>
        <v>y=-0,15x+30</v>
      </c>
    </row>
    <row r="3" spans="1:27" x14ac:dyDescent="0.25">
      <c r="A3" s="3" t="s">
        <v>36</v>
      </c>
      <c r="B3" s="3">
        <v>0</v>
      </c>
      <c r="C3" s="3">
        <f>Игрок!B1*0.2</f>
        <v>20</v>
      </c>
      <c r="D3" s="3">
        <f>$B3*(1-Баланс!$B$1)</f>
        <v>0</v>
      </c>
      <c r="E3" s="3">
        <f>$B3*(1+Баланс!$B$1)</f>
        <v>0</v>
      </c>
      <c r="F3" s="3">
        <f>$C3*(1-Баланс!$B$1)</f>
        <v>16</v>
      </c>
      <c r="G3" s="3">
        <f>$C3*(1+Баланс!$B$1)</f>
        <v>24</v>
      </c>
      <c r="H3" s="3">
        <f>(D3*5)+(F3*0.5)</f>
        <v>8</v>
      </c>
      <c r="I3" s="3">
        <f>(E3*5)+(G3*0.5)</f>
        <v>12</v>
      </c>
      <c r="J3" s="8">
        <v>0.67</v>
      </c>
      <c r="K3" s="8">
        <v>0</v>
      </c>
      <c r="L3" s="8">
        <v>0.3</v>
      </c>
      <c r="M3" s="11"/>
      <c r="N3" s="3" t="s">
        <v>39</v>
      </c>
      <c r="O3" s="8">
        <v>0.22</v>
      </c>
      <c r="P3" s="8">
        <v>0.44</v>
      </c>
      <c r="Q3" t="str">
        <f t="shared" ref="Q3:Q5" si="0">"y="&amp;(P3-O3)&amp;"x"&amp;"+"&amp;O3*100</f>
        <v>y=0,22x+22</v>
      </c>
      <c r="S3" s="3" t="s">
        <v>39</v>
      </c>
      <c r="T3" s="8">
        <v>0.6</v>
      </c>
      <c r="U3" s="8">
        <v>0.6</v>
      </c>
      <c r="V3" t="str">
        <f t="shared" ref="V3:V5" si="1">"y="&amp;(U3-T3)&amp;"x"&amp;"+"&amp;T3*100</f>
        <v>y=0x+60</v>
      </c>
      <c r="X3" s="3" t="s">
        <v>39</v>
      </c>
      <c r="Y3" s="8">
        <v>0.4</v>
      </c>
      <c r="Z3" s="8">
        <v>0.5</v>
      </c>
      <c r="AA3" t="str">
        <f t="shared" ref="AA3:AA5" si="2">"y="&amp;(Z3-Y3)&amp;"x"&amp;"+"&amp;Y3*100</f>
        <v>y=0,1x+40</v>
      </c>
    </row>
    <row r="4" spans="1:27" x14ac:dyDescent="0.25">
      <c r="A4" s="3" t="s">
        <v>39</v>
      </c>
      <c r="B4" s="3">
        <v>0</v>
      </c>
      <c r="C4" s="3">
        <f>C3*3</f>
        <v>60</v>
      </c>
      <c r="D4" s="3">
        <f>$B4*(1-Баланс!$B$1)</f>
        <v>0</v>
      </c>
      <c r="E4" s="3">
        <f>$B4*(1+Баланс!$B$1)</f>
        <v>0</v>
      </c>
      <c r="F4" s="3">
        <f>$C4*(1-Баланс!$B$1)</f>
        <v>48</v>
      </c>
      <c r="G4" s="3">
        <f>$C4*(1+Баланс!$B$1)</f>
        <v>72</v>
      </c>
      <c r="H4" s="3">
        <f t="shared" ref="H4:H5" si="3">(D4*5)+(F4*0.5)</f>
        <v>24</v>
      </c>
      <c r="I4" s="3">
        <f t="shared" ref="I4:I5" si="4">(E4*5)+(G4*0.5)</f>
        <v>36</v>
      </c>
      <c r="J4" s="8">
        <v>0.22</v>
      </c>
      <c r="K4" s="8">
        <v>0.6</v>
      </c>
      <c r="L4" s="8">
        <v>0.4</v>
      </c>
      <c r="M4" s="11"/>
      <c r="N4" s="3" t="s">
        <v>37</v>
      </c>
      <c r="O4" s="8">
        <v>0.1</v>
      </c>
      <c r="P4" s="8">
        <v>0.21</v>
      </c>
      <c r="Q4" t="str">
        <f t="shared" si="0"/>
        <v>y=0,11x+10</v>
      </c>
      <c r="S4" s="3" t="s">
        <v>37</v>
      </c>
      <c r="T4" s="8">
        <v>0.3</v>
      </c>
      <c r="U4" s="8">
        <v>0.3</v>
      </c>
      <c r="V4" t="str">
        <f t="shared" si="1"/>
        <v>y=0x+30</v>
      </c>
      <c r="X4" s="3" t="s">
        <v>37</v>
      </c>
      <c r="Y4" s="8">
        <v>0.2</v>
      </c>
      <c r="Z4" s="8">
        <v>0.25</v>
      </c>
      <c r="AA4" t="str">
        <f t="shared" si="2"/>
        <v>y=0,05x+20</v>
      </c>
    </row>
    <row r="5" spans="1:27" x14ac:dyDescent="0.25">
      <c r="A5" s="3" t="s">
        <v>37</v>
      </c>
      <c r="B5" s="3">
        <f>Игрок!B1*0.1</f>
        <v>10</v>
      </c>
      <c r="C5" s="3">
        <f>C4*0.5</f>
        <v>30</v>
      </c>
      <c r="D5" s="3">
        <f>$B5*(1-Баланс!$B$1)</f>
        <v>8</v>
      </c>
      <c r="E5" s="3">
        <f>$B5*(1+Баланс!$B$1)</f>
        <v>12</v>
      </c>
      <c r="F5" s="3">
        <f>$C5*(1-Баланс!$B$1)</f>
        <v>24</v>
      </c>
      <c r="G5" s="3">
        <f>$C5*(1+Баланс!$B$1)</f>
        <v>36</v>
      </c>
      <c r="H5" s="3">
        <f t="shared" si="3"/>
        <v>52</v>
      </c>
      <c r="I5" s="3">
        <f t="shared" si="4"/>
        <v>78</v>
      </c>
      <c r="J5" s="8">
        <v>0.1</v>
      </c>
      <c r="K5" s="8">
        <v>0.3</v>
      </c>
      <c r="L5" s="8">
        <v>0.2</v>
      </c>
      <c r="M5" s="11"/>
      <c r="N5" s="3" t="s">
        <v>38</v>
      </c>
      <c r="O5" s="8">
        <v>0.01</v>
      </c>
      <c r="P5" s="8">
        <v>0.02</v>
      </c>
      <c r="Q5" t="str">
        <f t="shared" si="0"/>
        <v>y=0,01x+1</v>
      </c>
      <c r="S5" s="3" t="s">
        <v>38</v>
      </c>
      <c r="T5" s="8">
        <v>0.1</v>
      </c>
      <c r="U5" s="8">
        <v>0.1</v>
      </c>
      <c r="V5" t="str">
        <f t="shared" si="1"/>
        <v>y=0x+10</v>
      </c>
      <c r="X5" s="3" t="s">
        <v>38</v>
      </c>
      <c r="Y5" s="8">
        <v>0.1</v>
      </c>
      <c r="Z5" s="8">
        <v>0.1</v>
      </c>
      <c r="AA5" t="str">
        <f t="shared" si="2"/>
        <v>y=0x+10</v>
      </c>
    </row>
    <row r="6" spans="1:27" x14ac:dyDescent="0.25">
      <c r="A6" s="3" t="s">
        <v>38</v>
      </c>
      <c r="B6" s="3">
        <f>Игрок!B1*0.25</f>
        <v>25</v>
      </c>
      <c r="C6" s="3">
        <f>Игрок!B1*0.5</f>
        <v>50</v>
      </c>
      <c r="D6" s="3">
        <f>-B6</f>
        <v>-25</v>
      </c>
      <c r="E6" s="3">
        <f>B6</f>
        <v>25</v>
      </c>
      <c r="F6" s="3">
        <f>-C6</f>
        <v>-50</v>
      </c>
      <c r="G6" s="3">
        <f>C6</f>
        <v>50</v>
      </c>
      <c r="H6" s="19">
        <f>AVERAGE(H3:I3)*2</f>
        <v>20</v>
      </c>
      <c r="I6" s="19">
        <f>H6</f>
        <v>20</v>
      </c>
      <c r="J6" s="8">
        <v>0.01</v>
      </c>
      <c r="K6" s="8">
        <v>0.1</v>
      </c>
      <c r="L6" s="8">
        <v>0.1</v>
      </c>
      <c r="M6" s="11"/>
      <c r="N6" s="11"/>
    </row>
    <row r="8" spans="1:27" x14ac:dyDescent="0.25">
      <c r="A8" s="3">
        <v>100</v>
      </c>
      <c r="B8" s="21" t="s">
        <v>12</v>
      </c>
      <c r="C8" s="21"/>
      <c r="D8" s="21" t="s">
        <v>11</v>
      </c>
      <c r="E8" s="21"/>
      <c r="F8" s="21" t="s">
        <v>35</v>
      </c>
      <c r="G8" s="21"/>
      <c r="H8" s="21" t="s">
        <v>25</v>
      </c>
      <c r="I8" s="21"/>
      <c r="J8" s="21" t="s">
        <v>32</v>
      </c>
      <c r="K8" s="21"/>
      <c r="L8" s="21"/>
    </row>
    <row r="9" spans="1:27" x14ac:dyDescent="0.25">
      <c r="A9" s="3"/>
      <c r="B9" s="3" t="s">
        <v>11</v>
      </c>
      <c r="C9" s="3" t="s">
        <v>35</v>
      </c>
      <c r="D9" s="3" t="s">
        <v>10</v>
      </c>
      <c r="E9" s="3" t="s">
        <v>11</v>
      </c>
      <c r="F9" s="3" t="s">
        <v>10</v>
      </c>
      <c r="G9" s="3" t="s">
        <v>11</v>
      </c>
      <c r="H9" s="3" t="s">
        <v>10</v>
      </c>
      <c r="I9" s="3" t="s">
        <v>11</v>
      </c>
      <c r="J9" s="17" t="s">
        <v>33</v>
      </c>
      <c r="K9" s="17" t="s">
        <v>34</v>
      </c>
      <c r="L9" s="17" t="s">
        <v>40</v>
      </c>
    </row>
    <row r="10" spans="1:27" x14ac:dyDescent="0.25">
      <c r="A10" s="3" t="s">
        <v>36</v>
      </c>
      <c r="B10" s="3">
        <f>(1+Баланс!$B$2*$A$8)*B3</f>
        <v>0</v>
      </c>
      <c r="C10" s="3">
        <f>C3</f>
        <v>20</v>
      </c>
      <c r="D10" s="3">
        <f>$B10*(1-Баланс!$B$1)</f>
        <v>0</v>
      </c>
      <c r="E10" s="3">
        <f>$B10*(1+Баланс!$B$1)</f>
        <v>0</v>
      </c>
      <c r="F10" s="3">
        <f>$C10*(1-Баланс!$B$1)</f>
        <v>16</v>
      </c>
      <c r="G10" s="3">
        <f>$C10*(1+Баланс!$B$1)</f>
        <v>24</v>
      </c>
      <c r="H10" s="3">
        <f>(D10*5)+(F10*0.5)</f>
        <v>8</v>
      </c>
      <c r="I10" s="3">
        <f>(E10*5)+(G10*0.5)</f>
        <v>12</v>
      </c>
      <c r="J10" s="8">
        <v>0.33</v>
      </c>
      <c r="K10" s="8">
        <v>0</v>
      </c>
      <c r="L10" s="8">
        <v>0.15</v>
      </c>
    </row>
    <row r="11" spans="1:27" x14ac:dyDescent="0.25">
      <c r="A11" s="3" t="s">
        <v>39</v>
      </c>
      <c r="B11" s="3">
        <f>(1+Баланс!$B$2*$A$8)*B4</f>
        <v>0</v>
      </c>
      <c r="C11" s="3">
        <f>(1+Баланс!$B$2*$A$8)*C4</f>
        <v>120</v>
      </c>
      <c r="D11" s="3">
        <f>$B11*(1-Баланс!$B$1)</f>
        <v>0</v>
      </c>
      <c r="E11" s="3">
        <f>$B11*(1+Баланс!$B$1)</f>
        <v>0</v>
      </c>
      <c r="F11" s="3">
        <f>$C11*(1-Баланс!$B$1)</f>
        <v>96</v>
      </c>
      <c r="G11" s="3">
        <f>$C11*(1+Баланс!$B$1)</f>
        <v>144</v>
      </c>
      <c r="H11" s="3">
        <f t="shared" ref="H11:H12" si="5">(D11*5)+(F11*0.5)</f>
        <v>48</v>
      </c>
      <c r="I11" s="3">
        <f t="shared" ref="I11:I12" si="6">(E11*5)+(G11*0.5)</f>
        <v>72</v>
      </c>
      <c r="J11" s="8">
        <v>0.44</v>
      </c>
      <c r="K11" s="8">
        <v>0.6</v>
      </c>
      <c r="L11" s="8">
        <v>0.5</v>
      </c>
    </row>
    <row r="12" spans="1:27" x14ac:dyDescent="0.25">
      <c r="A12" s="3" t="s">
        <v>37</v>
      </c>
      <c r="B12" s="3">
        <f>(1+Баланс!$B$2*$A$8)*B5</f>
        <v>20</v>
      </c>
      <c r="C12" s="3">
        <f>(1+Баланс!$B$2*$A$8)*C5</f>
        <v>60</v>
      </c>
      <c r="D12" s="3">
        <f>$B12*(1-Баланс!$B$1)</f>
        <v>16</v>
      </c>
      <c r="E12" s="3">
        <f>$B12*(1+Баланс!$B$1)</f>
        <v>24</v>
      </c>
      <c r="F12" s="3">
        <f>$C12*(1-Баланс!$B$1)</f>
        <v>48</v>
      </c>
      <c r="G12" s="3">
        <f>$C12*(1+Баланс!$B$1)</f>
        <v>72</v>
      </c>
      <c r="H12" s="3">
        <f t="shared" si="5"/>
        <v>104</v>
      </c>
      <c r="I12" s="3">
        <f t="shared" si="6"/>
        <v>156</v>
      </c>
      <c r="J12" s="8">
        <v>0.21</v>
      </c>
      <c r="K12" s="8">
        <v>0.3</v>
      </c>
      <c r="L12" s="8">
        <v>0.25</v>
      </c>
    </row>
    <row r="13" spans="1:27" x14ac:dyDescent="0.25">
      <c r="A13" s="3" t="s">
        <v>38</v>
      </c>
      <c r="B13" s="3">
        <f>(1+Баланс!$B$2*$A$8)*B6</f>
        <v>50</v>
      </c>
      <c r="C13" s="3">
        <f>(1+Баланс!$B$2*$A$8)*C6</f>
        <v>100</v>
      </c>
      <c r="D13" s="3">
        <f>-B13</f>
        <v>-50</v>
      </c>
      <c r="E13" s="3">
        <f>B13</f>
        <v>50</v>
      </c>
      <c r="F13" s="3">
        <f>-C13</f>
        <v>-100</v>
      </c>
      <c r="G13" s="3">
        <f>C13</f>
        <v>100</v>
      </c>
      <c r="H13" s="19">
        <f>AVERAGE(H10:I10)*2</f>
        <v>20</v>
      </c>
      <c r="I13" s="19">
        <f>H13</f>
        <v>20</v>
      </c>
      <c r="J13" s="8">
        <v>0.02</v>
      </c>
      <c r="K13" s="8">
        <v>0.1</v>
      </c>
      <c r="L13" s="8">
        <v>0.1</v>
      </c>
    </row>
    <row r="14" spans="1:27" x14ac:dyDescent="0.25">
      <c r="J14" s="20"/>
    </row>
  </sheetData>
  <mergeCells count="10">
    <mergeCell ref="B8:C8"/>
    <mergeCell ref="D8:E8"/>
    <mergeCell ref="F8:G8"/>
    <mergeCell ref="H8:I8"/>
    <mergeCell ref="J1:L1"/>
    <mergeCell ref="J8:L8"/>
    <mergeCell ref="B1:C1"/>
    <mergeCell ref="D1:E1"/>
    <mergeCell ref="F1:G1"/>
    <mergeCell ref="H1:I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Баланс</vt:lpstr>
      <vt:lpstr>Общее</vt:lpstr>
      <vt:lpstr>Игрок</vt:lpstr>
      <vt:lpstr>Противники</vt:lpstr>
      <vt:lpstr>Оружие</vt:lpstr>
      <vt:lpstr>Броня</vt:lpstr>
      <vt:lpstr>Хил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Хорошев</dc:creator>
  <cp:lastModifiedBy>Дмитрий Хорошев</cp:lastModifiedBy>
  <dcterms:created xsi:type="dcterms:W3CDTF">2025-08-15T15:32:47Z</dcterms:created>
  <dcterms:modified xsi:type="dcterms:W3CDTF">2025-08-16T16:18:25Z</dcterms:modified>
</cp:coreProperties>
</file>