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\source\repos\TextGame\"/>
    </mc:Choice>
  </mc:AlternateContent>
  <xr:revisionPtr revIDLastSave="0" documentId="13_ncr:1_{4D829DDD-EEB0-4FEA-9718-12A0B5D8595C}" xr6:coauthVersionLast="47" xr6:coauthVersionMax="47" xr10:uidLastSave="{00000000-0000-0000-0000-000000000000}"/>
  <bookViews>
    <workbookView xWindow="-120" yWindow="-120" windowWidth="29040" windowHeight="15840" activeTab="2" xr2:uid="{4E46E8D9-8B4F-4CE6-92DC-8BA3C6E9B9B2}"/>
  </bookViews>
  <sheets>
    <sheet name="Баланс" sheetId="7" r:id="rId1"/>
    <sheet name="Игрок" sheetId="1" r:id="rId2"/>
    <sheet name="Комнаты" sheetId="9" r:id="rId3"/>
    <sheet name="Предметы" sheetId="8" r:id="rId4"/>
    <sheet name="Противники" sheetId="2" r:id="rId5"/>
    <sheet name="Оружие" sheetId="3" r:id="rId6"/>
    <sheet name="Броня" sheetId="5" r:id="rId7"/>
    <sheet name="Хил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8" i="2" l="1"/>
  <c r="P8" i="2"/>
  <c r="O8" i="2"/>
  <c r="N8" i="2"/>
  <c r="V39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B38" i="2"/>
  <c r="U2" i="2"/>
  <c r="S2" i="2"/>
  <c r="I22" i="8"/>
  <c r="I23" i="8"/>
  <c r="I24" i="8"/>
  <c r="I21" i="8"/>
  <c r="F13" i="8"/>
  <c r="E13" i="8"/>
  <c r="N3" i="8"/>
  <c r="N4" i="8" s="1"/>
  <c r="J3" i="8"/>
  <c r="J4" i="8" s="1"/>
  <c r="K3" i="8"/>
  <c r="K4" i="8" s="1"/>
  <c r="L3" i="8"/>
  <c r="L4" i="8" s="1"/>
  <c r="M3" i="8"/>
  <c r="M4" i="8" s="1"/>
  <c r="I3" i="8"/>
  <c r="I4" i="8" s="1"/>
  <c r="F14" i="8"/>
  <c r="C10" i="8"/>
  <c r="B10" i="8"/>
  <c r="G2" i="8"/>
  <c r="G3" i="8"/>
  <c r="G4" i="8"/>
  <c r="G6" i="8"/>
  <c r="G7" i="8"/>
  <c r="G8" i="8"/>
  <c r="G9" i="8"/>
  <c r="G5" i="8"/>
  <c r="D10" i="8"/>
  <c r="AJ2" i="9"/>
  <c r="AJ3" i="9" s="1"/>
  <c r="AJ4" i="9" s="1"/>
  <c r="AI2" i="9"/>
  <c r="AI3" i="9" s="1"/>
  <c r="AI4" i="9" s="1"/>
  <c r="AH2" i="9"/>
  <c r="AH3" i="9" s="1"/>
  <c r="AH4" i="9" s="1"/>
  <c r="AG2" i="9"/>
  <c r="AF2" i="9"/>
  <c r="AF3" i="9" s="1"/>
  <c r="AF4" i="9" s="1"/>
  <c r="AE2" i="9"/>
  <c r="AE3" i="9" s="1"/>
  <c r="AE4" i="9" s="1"/>
  <c r="AD2" i="9"/>
  <c r="AD3" i="9" s="1"/>
  <c r="AD4" i="9" s="1"/>
  <c r="AC2" i="9"/>
  <c r="AB2" i="9"/>
  <c r="AB3" i="9" s="1"/>
  <c r="AB4" i="9" s="1"/>
  <c r="AA2" i="9"/>
  <c r="AA3" i="9" s="1"/>
  <c r="AA4" i="9" s="1"/>
  <c r="Z2" i="9"/>
  <c r="Z3" i="9" s="1"/>
  <c r="Z4" i="9" s="1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H3" i="9" s="1"/>
  <c r="H4" i="9" s="1"/>
  <c r="G2" i="9"/>
  <c r="G3" i="9" s="1"/>
  <c r="G4" i="9" s="1"/>
  <c r="F2" i="9"/>
  <c r="F3" i="9" s="1"/>
  <c r="F4" i="9" s="1"/>
  <c r="AC3" i="9"/>
  <c r="AC4" i="9" s="1"/>
  <c r="E2" i="9"/>
  <c r="E3" i="9" s="1"/>
  <c r="E4" i="9" s="1"/>
  <c r="AG3" i="9"/>
  <c r="AG4" i="9" s="1"/>
  <c r="W7" i="2"/>
  <c r="W6" i="2"/>
  <c r="W5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B43" i="2"/>
  <c r="U7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B42" i="2"/>
  <c r="U6" i="2"/>
  <c r="U5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B41" i="2"/>
  <c r="S5" i="2"/>
  <c r="U4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B40" i="2"/>
  <c r="S4" i="2"/>
  <c r="C39" i="2"/>
  <c r="D39" i="2"/>
  <c r="F39" i="2"/>
  <c r="G39" i="2"/>
  <c r="H39" i="2"/>
  <c r="I39" i="2"/>
  <c r="J39" i="2"/>
  <c r="K39" i="2"/>
  <c r="L39" i="2"/>
  <c r="M39" i="2"/>
  <c r="N39" i="2"/>
  <c r="N44" i="2" s="1"/>
  <c r="O39" i="2"/>
  <c r="O44" i="2" s="1"/>
  <c r="P39" i="2"/>
  <c r="Q39" i="2"/>
  <c r="R39" i="2"/>
  <c r="S39" i="2"/>
  <c r="T39" i="2"/>
  <c r="U39" i="2"/>
  <c r="Z3" i="3"/>
  <c r="Z4" i="3"/>
  <c r="Z5" i="3"/>
  <c r="Z6" i="3"/>
  <c r="Z7" i="3"/>
  <c r="Z2" i="3"/>
  <c r="Y3" i="3"/>
  <c r="Y4" i="3"/>
  <c r="Y5" i="3"/>
  <c r="Y6" i="3"/>
  <c r="Y7" i="3"/>
  <c r="Y2" i="3"/>
  <c r="AA7" i="3"/>
  <c r="AA6" i="3"/>
  <c r="AA5" i="3"/>
  <c r="AA4" i="3"/>
  <c r="AA3" i="3"/>
  <c r="L10" i="3"/>
  <c r="AA6" i="5"/>
  <c r="AA5" i="5"/>
  <c r="AA4" i="5"/>
  <c r="AA3" i="5"/>
  <c r="AA2" i="5"/>
  <c r="L5" i="5"/>
  <c r="L6" i="5"/>
  <c r="L7" i="5"/>
  <c r="L4" i="5"/>
  <c r="AA2" i="6"/>
  <c r="V2" i="6"/>
  <c r="AA5" i="6"/>
  <c r="AA4" i="6"/>
  <c r="AA3" i="6"/>
  <c r="V5" i="6"/>
  <c r="V4" i="6"/>
  <c r="V3" i="6"/>
  <c r="Q3" i="6"/>
  <c r="Q4" i="6"/>
  <c r="Q5" i="6"/>
  <c r="Q2" i="6"/>
  <c r="C10" i="6"/>
  <c r="G10" i="6" s="1"/>
  <c r="B11" i="6"/>
  <c r="E11" i="6" s="1"/>
  <c r="C11" i="6"/>
  <c r="B12" i="6"/>
  <c r="E12" i="6" s="1"/>
  <c r="B10" i="6"/>
  <c r="E10" i="6" s="1"/>
  <c r="C6" i="6"/>
  <c r="C13" i="6" s="1"/>
  <c r="G13" i="6" s="1"/>
  <c r="B6" i="6"/>
  <c r="B13" i="6" s="1"/>
  <c r="E13" i="6" s="1"/>
  <c r="I3" i="6"/>
  <c r="H3" i="6"/>
  <c r="H6" i="6" s="1"/>
  <c r="I6" i="6" s="1"/>
  <c r="B5" i="6"/>
  <c r="E5" i="6" s="1"/>
  <c r="C4" i="6"/>
  <c r="F4" i="6" s="1"/>
  <c r="H4" i="6" s="1"/>
  <c r="C3" i="6"/>
  <c r="D4" i="6"/>
  <c r="E4" i="6"/>
  <c r="G3" i="6"/>
  <c r="F3" i="6"/>
  <c r="E3" i="6"/>
  <c r="D3" i="6"/>
  <c r="U4" i="5"/>
  <c r="U5" i="5"/>
  <c r="U2" i="5"/>
  <c r="T2" i="5"/>
  <c r="T4" i="5"/>
  <c r="T5" i="5"/>
  <c r="T3" i="5"/>
  <c r="U3" i="5"/>
  <c r="P3" i="5"/>
  <c r="P4" i="5"/>
  <c r="Q4" i="5" s="1"/>
  <c r="P5" i="5"/>
  <c r="P6" i="5"/>
  <c r="P2" i="5"/>
  <c r="Q2" i="5" s="1"/>
  <c r="O3" i="5"/>
  <c r="O4" i="5"/>
  <c r="O5" i="5"/>
  <c r="O6" i="5"/>
  <c r="O2" i="5"/>
  <c r="U3" i="3"/>
  <c r="U4" i="3"/>
  <c r="U5" i="3"/>
  <c r="U6" i="3"/>
  <c r="U7" i="3"/>
  <c r="U2" i="3"/>
  <c r="T3" i="3"/>
  <c r="T4" i="3"/>
  <c r="T5" i="3"/>
  <c r="T6" i="3"/>
  <c r="T7" i="3"/>
  <c r="T2" i="3"/>
  <c r="V7" i="3"/>
  <c r="P3" i="3"/>
  <c r="Q3" i="3" s="1"/>
  <c r="P4" i="3"/>
  <c r="P5" i="3"/>
  <c r="Q5" i="3" s="1"/>
  <c r="P6" i="3"/>
  <c r="P7" i="3"/>
  <c r="O3" i="3"/>
  <c r="O4" i="3"/>
  <c r="O5" i="3"/>
  <c r="O6" i="3"/>
  <c r="O7" i="3"/>
  <c r="O2" i="3"/>
  <c r="Q2" i="3" s="1"/>
  <c r="C17" i="3"/>
  <c r="C18" i="3"/>
  <c r="F18" i="3" s="1"/>
  <c r="C19" i="3"/>
  <c r="G19" i="3" s="1"/>
  <c r="B3" i="5"/>
  <c r="B11" i="5" s="1"/>
  <c r="E11" i="5" s="1"/>
  <c r="S6" i="2"/>
  <c r="S3" i="2"/>
  <c r="F7" i="3"/>
  <c r="G7" i="3"/>
  <c r="F8" i="3"/>
  <c r="G8" i="3"/>
  <c r="F9" i="3"/>
  <c r="G9" i="3"/>
  <c r="B4" i="3"/>
  <c r="B5" i="3" s="1"/>
  <c r="S7" i="2"/>
  <c r="E5" i="2"/>
  <c r="E4" i="2"/>
  <c r="E3" i="2"/>
  <c r="D33" i="2"/>
  <c r="D24" i="2"/>
  <c r="D15" i="2"/>
  <c r="B5" i="7"/>
  <c r="B4" i="7"/>
  <c r="B3" i="7"/>
  <c r="B5" i="2"/>
  <c r="F5" i="2" s="1"/>
  <c r="F14" i="2" s="1"/>
  <c r="C5" i="2"/>
  <c r="C32" i="2" s="1"/>
  <c r="C4" i="2"/>
  <c r="C31" i="2" s="1"/>
  <c r="B4" i="2"/>
  <c r="B31" i="2" s="1"/>
  <c r="F4" i="2"/>
  <c r="F31" i="2" s="1"/>
  <c r="G4" i="2"/>
  <c r="G31" i="2" s="1"/>
  <c r="H4" i="2"/>
  <c r="H31" i="2" s="1"/>
  <c r="J6" i="2"/>
  <c r="J33" i="2" s="1"/>
  <c r="K6" i="2"/>
  <c r="K24" i="2" s="1"/>
  <c r="C8" i="2"/>
  <c r="C17" i="2" s="1"/>
  <c r="H8" i="2"/>
  <c r="H17" i="2" s="1"/>
  <c r="I8" i="2"/>
  <c r="I26" i="2" s="1"/>
  <c r="C3" i="2"/>
  <c r="I3" i="2" s="1"/>
  <c r="I30" i="2" s="1"/>
  <c r="B3" i="2"/>
  <c r="B30" i="2" s="1"/>
  <c r="B4" i="5" l="1"/>
  <c r="D4" i="5" s="1"/>
  <c r="H13" i="2"/>
  <c r="F13" i="2"/>
  <c r="C13" i="2"/>
  <c r="C14" i="2"/>
  <c r="H5" i="2"/>
  <c r="H14" i="2" s="1"/>
  <c r="B14" i="2"/>
  <c r="G5" i="2"/>
  <c r="G14" i="2" s="1"/>
  <c r="I5" i="2"/>
  <c r="I14" i="2" s="1"/>
  <c r="I4" i="2"/>
  <c r="I22" i="2" s="1"/>
  <c r="B3" i="3"/>
  <c r="B13" i="3" s="1"/>
  <c r="R44" i="2"/>
  <c r="I44" i="2"/>
  <c r="D44" i="2"/>
  <c r="E39" i="2"/>
  <c r="E44" i="2" s="1"/>
  <c r="B39" i="2"/>
  <c r="B44" i="2" s="1"/>
  <c r="I20" i="8"/>
  <c r="O4" i="8"/>
  <c r="F15" i="8" s="1"/>
  <c r="E14" i="8" s="1"/>
  <c r="F5" i="9"/>
  <c r="E5" i="9"/>
  <c r="E7" i="9" s="1"/>
  <c r="H5" i="9"/>
  <c r="I5" i="9"/>
  <c r="G5" i="9"/>
  <c r="G7" i="9" s="1"/>
  <c r="K3" i="9"/>
  <c r="K4" i="9" s="1"/>
  <c r="N3" i="9" s="1"/>
  <c r="N4" i="9" s="1"/>
  <c r="Q3" i="9" s="1"/>
  <c r="Q4" i="9" s="1"/>
  <c r="T3" i="9"/>
  <c r="T4" i="9" s="1"/>
  <c r="J3" i="9"/>
  <c r="J4" i="9" s="1"/>
  <c r="M3" i="9" s="1"/>
  <c r="M4" i="9" s="1"/>
  <c r="P3" i="9" s="1"/>
  <c r="P4" i="9" s="1"/>
  <c r="S3" i="9" s="1"/>
  <c r="S4" i="9" s="1"/>
  <c r="V3" i="9" s="1"/>
  <c r="V4" i="9" s="1"/>
  <c r="Y3" i="9" s="1"/>
  <c r="Y4" i="9" s="1"/>
  <c r="W3" i="9"/>
  <c r="W4" i="9" s="1"/>
  <c r="I3" i="9"/>
  <c r="I4" i="9" s="1"/>
  <c r="L3" i="9"/>
  <c r="L4" i="9" s="1"/>
  <c r="O3" i="9" s="1"/>
  <c r="O4" i="9" s="1"/>
  <c r="R3" i="9" s="1"/>
  <c r="R4" i="9" s="1"/>
  <c r="U3" i="9" s="1"/>
  <c r="U4" i="9" s="1"/>
  <c r="X3" i="9" s="1"/>
  <c r="X4" i="9" s="1"/>
  <c r="C44" i="2"/>
  <c r="M44" i="2"/>
  <c r="H44" i="2"/>
  <c r="G44" i="2"/>
  <c r="P44" i="2"/>
  <c r="F44" i="2"/>
  <c r="S44" i="2"/>
  <c r="L44" i="2"/>
  <c r="K44" i="2"/>
  <c r="J44" i="2"/>
  <c r="U44" i="2"/>
  <c r="T44" i="2"/>
  <c r="V44" i="2"/>
  <c r="Q44" i="2"/>
  <c r="D3" i="5"/>
  <c r="E3" i="5"/>
  <c r="AA2" i="3"/>
  <c r="G18" i="3"/>
  <c r="Q7" i="3"/>
  <c r="F19" i="3"/>
  <c r="Q6" i="3"/>
  <c r="Q3" i="5"/>
  <c r="D11" i="5"/>
  <c r="Q5" i="5"/>
  <c r="Q6" i="5"/>
  <c r="E4" i="5"/>
  <c r="F10" i="6"/>
  <c r="D11" i="6"/>
  <c r="D12" i="6"/>
  <c r="D6" i="6"/>
  <c r="F6" i="6"/>
  <c r="E6" i="6"/>
  <c r="G6" i="6"/>
  <c r="C5" i="6"/>
  <c r="I10" i="6"/>
  <c r="D10" i="6"/>
  <c r="H10" i="6" s="1"/>
  <c r="F13" i="6"/>
  <c r="D13" i="6"/>
  <c r="G11" i="6"/>
  <c r="I11" i="6" s="1"/>
  <c r="F11" i="6"/>
  <c r="H11" i="6" s="1"/>
  <c r="D5" i="6"/>
  <c r="G4" i="6"/>
  <c r="I4" i="6" s="1"/>
  <c r="V4" i="5"/>
  <c r="V3" i="5"/>
  <c r="V5" i="5"/>
  <c r="V2" i="5"/>
  <c r="B12" i="5"/>
  <c r="C3" i="5"/>
  <c r="G3" i="5" s="1"/>
  <c r="B6" i="5"/>
  <c r="C4" i="5"/>
  <c r="V3" i="3"/>
  <c r="V2" i="3"/>
  <c r="V5" i="3"/>
  <c r="V6" i="3"/>
  <c r="V4" i="3"/>
  <c r="B6" i="3"/>
  <c r="E6" i="3" s="1"/>
  <c r="B15" i="3"/>
  <c r="C5" i="3"/>
  <c r="B8" i="3"/>
  <c r="B14" i="3"/>
  <c r="F17" i="3"/>
  <c r="G17" i="3"/>
  <c r="Q4" i="3"/>
  <c r="E5" i="3"/>
  <c r="D5" i="3"/>
  <c r="E4" i="3"/>
  <c r="C4" i="3"/>
  <c r="B19" i="8" s="1"/>
  <c r="D4" i="3"/>
  <c r="H35" i="2"/>
  <c r="K33" i="2"/>
  <c r="C35" i="2"/>
  <c r="I35" i="2"/>
  <c r="I12" i="2"/>
  <c r="K15" i="2"/>
  <c r="J15" i="2"/>
  <c r="B12" i="2"/>
  <c r="I23" i="2"/>
  <c r="H26" i="2"/>
  <c r="C26" i="2"/>
  <c r="J24" i="2"/>
  <c r="H23" i="2"/>
  <c r="G23" i="2"/>
  <c r="D5" i="2"/>
  <c r="F23" i="2"/>
  <c r="C23" i="2"/>
  <c r="B23" i="2"/>
  <c r="C30" i="2"/>
  <c r="F3" i="2"/>
  <c r="H3" i="2"/>
  <c r="B13" i="2"/>
  <c r="F32" i="2"/>
  <c r="B21" i="2"/>
  <c r="G22" i="2"/>
  <c r="B6" i="2"/>
  <c r="C12" i="2"/>
  <c r="F22" i="2"/>
  <c r="B32" i="2"/>
  <c r="G3" i="2"/>
  <c r="C6" i="2"/>
  <c r="I21" i="2"/>
  <c r="C22" i="2"/>
  <c r="D3" i="2"/>
  <c r="I17" i="2"/>
  <c r="B22" i="2"/>
  <c r="G13" i="2"/>
  <c r="I32" i="2"/>
  <c r="H22" i="2"/>
  <c r="D4" i="2"/>
  <c r="K4" i="2" s="1"/>
  <c r="B7" i="2"/>
  <c r="C7" i="2"/>
  <c r="C21" i="2"/>
  <c r="B8" i="2"/>
  <c r="I31" i="2" l="1"/>
  <c r="I13" i="2"/>
  <c r="H32" i="2"/>
  <c r="G32" i="2"/>
  <c r="I7" i="2"/>
  <c r="B5" i="5"/>
  <c r="D19" i="8"/>
  <c r="C19" i="8"/>
  <c r="B24" i="8"/>
  <c r="N5" i="9"/>
  <c r="AI5" i="9"/>
  <c r="U5" i="9"/>
  <c r="L5" i="9"/>
  <c r="AE5" i="9"/>
  <c r="M5" i="9"/>
  <c r="M7" i="9" s="1"/>
  <c r="W5" i="9"/>
  <c r="K5" i="9"/>
  <c r="K7" i="9" s="1"/>
  <c r="AD5" i="9"/>
  <c r="AD7" i="9" s="1"/>
  <c r="AH5" i="9"/>
  <c r="AH7" i="9" s="1"/>
  <c r="Q5" i="9"/>
  <c r="P5" i="9"/>
  <c r="AC5" i="9"/>
  <c r="AC7" i="9" s="1"/>
  <c r="AA5" i="9"/>
  <c r="J5" i="9"/>
  <c r="I7" i="9" s="1"/>
  <c r="AG5" i="9"/>
  <c r="AG7" i="9" s="1"/>
  <c r="AB5" i="9"/>
  <c r="AB7" i="9" s="1"/>
  <c r="R5" i="9"/>
  <c r="Q7" i="9" s="1"/>
  <c r="V5" i="9"/>
  <c r="U7" i="9" s="1"/>
  <c r="T5" i="9"/>
  <c r="T7" i="9" s="1"/>
  <c r="S5" i="9"/>
  <c r="AJ5" i="9"/>
  <c r="X5" i="9"/>
  <c r="Z5" i="9"/>
  <c r="AF5" i="9"/>
  <c r="Y5" i="9"/>
  <c r="O5" i="9"/>
  <c r="H7" i="9"/>
  <c r="F7" i="9"/>
  <c r="D6" i="3"/>
  <c r="F3" i="5"/>
  <c r="H3" i="5" s="1"/>
  <c r="H21" i="8" s="1"/>
  <c r="C11" i="5"/>
  <c r="E12" i="5"/>
  <c r="D12" i="5"/>
  <c r="F5" i="6"/>
  <c r="H5" i="6" s="1"/>
  <c r="G5" i="6"/>
  <c r="I5" i="6" s="1"/>
  <c r="C12" i="6"/>
  <c r="H13" i="6"/>
  <c r="I13" i="6" s="1"/>
  <c r="I3" i="5"/>
  <c r="F4" i="5"/>
  <c r="G4" i="5"/>
  <c r="C12" i="5"/>
  <c r="B14" i="5"/>
  <c r="E6" i="5"/>
  <c r="D6" i="5"/>
  <c r="C6" i="5"/>
  <c r="B18" i="3"/>
  <c r="D8" i="3"/>
  <c r="H8" i="3" s="1"/>
  <c r="G25" i="8" s="1"/>
  <c r="E8" i="3"/>
  <c r="I8" i="3" s="1"/>
  <c r="B9" i="3"/>
  <c r="D14" i="3"/>
  <c r="E14" i="3"/>
  <c r="C14" i="3"/>
  <c r="C15" i="3"/>
  <c r="E15" i="3"/>
  <c r="D15" i="3"/>
  <c r="C6" i="3"/>
  <c r="B16" i="3"/>
  <c r="G4" i="3"/>
  <c r="I4" i="3" s="1"/>
  <c r="F4" i="3"/>
  <c r="H4" i="3" s="1"/>
  <c r="G21" i="8" s="1"/>
  <c r="G5" i="3"/>
  <c r="I5" i="3" s="1"/>
  <c r="F5" i="3"/>
  <c r="H5" i="3" s="1"/>
  <c r="G22" i="8" s="1"/>
  <c r="D23" i="2"/>
  <c r="J5" i="2"/>
  <c r="D14" i="2"/>
  <c r="D32" i="2"/>
  <c r="K5" i="2"/>
  <c r="K14" i="2" s="1"/>
  <c r="I16" i="2"/>
  <c r="I34" i="2"/>
  <c r="I25" i="2"/>
  <c r="D21" i="2"/>
  <c r="K3" i="2"/>
  <c r="D30" i="2"/>
  <c r="D12" i="2"/>
  <c r="J3" i="2"/>
  <c r="C24" i="2"/>
  <c r="C15" i="2"/>
  <c r="I6" i="2"/>
  <c r="C33" i="2"/>
  <c r="H6" i="2"/>
  <c r="G30" i="2"/>
  <c r="G21" i="2"/>
  <c r="G12" i="2"/>
  <c r="F6" i="2"/>
  <c r="B24" i="2"/>
  <c r="B15" i="2"/>
  <c r="G6" i="2"/>
  <c r="B33" i="2"/>
  <c r="K31" i="2"/>
  <c r="K13" i="2"/>
  <c r="K22" i="2"/>
  <c r="K32" i="2"/>
  <c r="B17" i="2"/>
  <c r="F8" i="2"/>
  <c r="B26" i="2"/>
  <c r="G8" i="2"/>
  <c r="B35" i="2"/>
  <c r="D8" i="2"/>
  <c r="H30" i="2"/>
  <c r="H21" i="2"/>
  <c r="H12" i="2"/>
  <c r="H7" i="2"/>
  <c r="C34" i="2"/>
  <c r="C25" i="2"/>
  <c r="C16" i="2"/>
  <c r="B34" i="2"/>
  <c r="G7" i="2"/>
  <c r="D7" i="2"/>
  <c r="F7" i="2"/>
  <c r="B25" i="2"/>
  <c r="B16" i="2"/>
  <c r="F21" i="2"/>
  <c r="F12" i="2"/>
  <c r="F30" i="2"/>
  <c r="D31" i="2"/>
  <c r="D22" i="2"/>
  <c r="J4" i="2"/>
  <c r="D13" i="2"/>
  <c r="K23" i="2" l="1"/>
  <c r="D5" i="5"/>
  <c r="E5" i="5"/>
  <c r="B13" i="5"/>
  <c r="B7" i="5"/>
  <c r="C5" i="5"/>
  <c r="B28" i="8"/>
  <c r="D24" i="8"/>
  <c r="C24" i="8"/>
  <c r="AF7" i="9"/>
  <c r="Z7" i="9"/>
  <c r="W7" i="9"/>
  <c r="P7" i="9"/>
  <c r="AI7" i="9"/>
  <c r="S7" i="9"/>
  <c r="L7" i="9"/>
  <c r="O7" i="9"/>
  <c r="Y7" i="9"/>
  <c r="X7" i="9"/>
  <c r="R7" i="9"/>
  <c r="J7" i="9"/>
  <c r="AE7" i="9"/>
  <c r="V7" i="9"/>
  <c r="N7" i="9"/>
  <c r="AA7" i="9"/>
  <c r="F11" i="5"/>
  <c r="H11" i="5" s="1"/>
  <c r="G11" i="5"/>
  <c r="I11" i="5" s="1"/>
  <c r="E14" i="5"/>
  <c r="D14" i="5"/>
  <c r="G12" i="5"/>
  <c r="I12" i="5" s="1"/>
  <c r="F12" i="5"/>
  <c r="H12" i="5" s="1"/>
  <c r="G12" i="6"/>
  <c r="I12" i="6" s="1"/>
  <c r="F12" i="6"/>
  <c r="H12" i="6" s="1"/>
  <c r="F6" i="5"/>
  <c r="C14" i="5"/>
  <c r="G6" i="5"/>
  <c r="I6" i="5" s="1"/>
  <c r="I4" i="5"/>
  <c r="H4" i="5"/>
  <c r="H22" i="8" s="1"/>
  <c r="E16" i="3"/>
  <c r="D16" i="3"/>
  <c r="F6" i="3"/>
  <c r="H6" i="3" s="1"/>
  <c r="G23" i="8" s="1"/>
  <c r="C16" i="3"/>
  <c r="G6" i="3"/>
  <c r="I6" i="3" s="1"/>
  <c r="G15" i="3"/>
  <c r="I15" i="3" s="1"/>
  <c r="F15" i="3"/>
  <c r="H15" i="3" s="1"/>
  <c r="G14" i="3"/>
  <c r="I14" i="3" s="1"/>
  <c r="F14" i="3"/>
  <c r="H14" i="3" s="1"/>
  <c r="I9" i="3"/>
  <c r="H9" i="3"/>
  <c r="G26" i="8" s="1"/>
  <c r="B19" i="3"/>
  <c r="E9" i="3"/>
  <c r="D18" i="3"/>
  <c r="H18" i="3" s="1"/>
  <c r="E18" i="3"/>
  <c r="I18" i="3" s="1"/>
  <c r="J14" i="2"/>
  <c r="J23" i="2"/>
  <c r="J32" i="2"/>
  <c r="G24" i="2"/>
  <c r="G15" i="2"/>
  <c r="G33" i="2"/>
  <c r="J31" i="2"/>
  <c r="J13" i="2"/>
  <c r="J22" i="2"/>
  <c r="F34" i="2"/>
  <c r="F16" i="2"/>
  <c r="F25" i="2"/>
  <c r="G16" i="2"/>
  <c r="G34" i="2"/>
  <c r="G25" i="2"/>
  <c r="F24" i="2"/>
  <c r="F33" i="2"/>
  <c r="F15" i="2"/>
  <c r="H24" i="2"/>
  <c r="H15" i="2"/>
  <c r="H33" i="2"/>
  <c r="I33" i="2"/>
  <c r="I24" i="2"/>
  <c r="I15" i="2"/>
  <c r="J8" i="2"/>
  <c r="D17" i="2"/>
  <c r="D26" i="2"/>
  <c r="K8" i="2"/>
  <c r="D35" i="2"/>
  <c r="G17" i="2"/>
  <c r="G35" i="2"/>
  <c r="G26" i="2"/>
  <c r="K7" i="2"/>
  <c r="B7" i="3" s="1"/>
  <c r="D34" i="2"/>
  <c r="D16" i="2"/>
  <c r="D25" i="2"/>
  <c r="J7" i="2"/>
  <c r="H16" i="2"/>
  <c r="H34" i="2"/>
  <c r="H25" i="2"/>
  <c r="J30" i="2"/>
  <c r="J12" i="2"/>
  <c r="J21" i="2"/>
  <c r="F17" i="2"/>
  <c r="F35" i="2"/>
  <c r="F26" i="2"/>
  <c r="K30" i="2"/>
  <c r="K21" i="2"/>
  <c r="K12" i="2"/>
  <c r="D7" i="3" l="1"/>
  <c r="H7" i="3" s="1"/>
  <c r="G24" i="8" s="1"/>
  <c r="E7" i="3"/>
  <c r="I7" i="3" s="1"/>
  <c r="B17" i="3"/>
  <c r="E13" i="5"/>
  <c r="D13" i="5"/>
  <c r="G20" i="8"/>
  <c r="F5" i="5"/>
  <c r="H5" i="5" s="1"/>
  <c r="H23" i="8" s="1"/>
  <c r="G5" i="5"/>
  <c r="I5" i="5" s="1"/>
  <c r="C13" i="5"/>
  <c r="B15" i="5"/>
  <c r="C7" i="5"/>
  <c r="D7" i="5"/>
  <c r="E7" i="5"/>
  <c r="G14" i="5"/>
  <c r="I14" i="5" s="1"/>
  <c r="F14" i="5"/>
  <c r="H14" i="5" s="1"/>
  <c r="H6" i="5"/>
  <c r="H24" i="8" s="1"/>
  <c r="I19" i="3"/>
  <c r="H19" i="3"/>
  <c r="E19" i="3"/>
  <c r="G16" i="3"/>
  <c r="I16" i="3" s="1"/>
  <c r="F16" i="3"/>
  <c r="H16" i="3" s="1"/>
  <c r="J17" i="2"/>
  <c r="J26" i="2"/>
  <c r="J35" i="2"/>
  <c r="J34" i="2"/>
  <c r="J16" i="2"/>
  <c r="J25" i="2"/>
  <c r="K34" i="2"/>
  <c r="K25" i="2"/>
  <c r="K16" i="2"/>
  <c r="K26" i="2"/>
  <c r="K17" i="2"/>
  <c r="K35" i="2"/>
  <c r="G7" i="5" l="1"/>
  <c r="I7" i="5" s="1"/>
  <c r="F7" i="5"/>
  <c r="H7" i="5" s="1"/>
  <c r="H25" i="8" s="1"/>
  <c r="H20" i="8" s="1"/>
  <c r="B20" i="8" s="1"/>
  <c r="C15" i="5"/>
  <c r="G13" i="5"/>
  <c r="I13" i="5" s="1"/>
  <c r="F13" i="5"/>
  <c r="H13" i="5" s="1"/>
  <c r="E17" i="3"/>
  <c r="I17" i="3" s="1"/>
  <c r="D17" i="3"/>
  <c r="H17" i="3" s="1"/>
  <c r="D15" i="5"/>
  <c r="E15" i="5"/>
  <c r="B25" i="8" l="1"/>
  <c r="D20" i="8"/>
  <c r="C20" i="8"/>
  <c r="G15" i="5"/>
  <c r="I15" i="5" s="1"/>
  <c r="F15" i="5"/>
  <c r="H15" i="5" s="1"/>
  <c r="C25" i="8"/>
  <c r="B29" i="8"/>
  <c r="D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 Хорошев</author>
  </authors>
  <commentList>
    <comment ref="O2" authorId="0" shapeId="0" xr:uid="{E3D1B9BC-3C6A-4293-BD80-E1569AAE6CD4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P2" authorId="0" shapeId="0" xr:uid="{4095F4AE-1648-45B8-B0FC-F538287748B6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J3" authorId="0" shapeId="0" xr:uid="{518227FE-57D2-4AEB-9D71-9C0BCA15BB25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  <comment ref="J10" authorId="0" shapeId="0" xr:uid="{6B5E11C6-71CE-4F3C-B475-A7F8ADA4ACD5}">
      <text>
        <r>
          <rPr>
            <b/>
            <sz val="9"/>
            <color indexed="81"/>
            <rFont val="Tahoma"/>
            <family val="2"/>
            <charset val="204"/>
          </rPr>
          <t>Дмитрий Хорошев:</t>
        </r>
        <r>
          <rPr>
            <sz val="9"/>
            <color indexed="81"/>
            <rFont val="Tahoma"/>
            <family val="2"/>
            <charset val="204"/>
          </rPr>
          <t xml:space="preserve">
=(1/I3) / СУММПРОИЗВ(1/($I$3:$I$5))</t>
        </r>
      </text>
    </comment>
  </commentList>
</comments>
</file>

<file path=xl/sharedStrings.xml><?xml version="1.0" encoding="utf-8"?>
<sst xmlns="http://schemas.openxmlformats.org/spreadsheetml/2006/main" count="336" uniqueCount="58">
  <si>
    <t>ХП</t>
  </si>
  <si>
    <t>Здоровье</t>
  </si>
  <si>
    <t>Скелетор</t>
  </si>
  <si>
    <t>Лучник</t>
  </si>
  <si>
    <t>Зомба</t>
  </si>
  <si>
    <t>Призрак</t>
  </si>
  <si>
    <t>Лич</t>
  </si>
  <si>
    <t>Мимик</t>
  </si>
  <si>
    <t>Урон</t>
  </si>
  <si>
    <t>Блок</t>
  </si>
  <si>
    <t>Мин</t>
  </si>
  <si>
    <t>Макс</t>
  </si>
  <si>
    <t>База</t>
  </si>
  <si>
    <t>Вероятность</t>
  </si>
  <si>
    <t>и</t>
  </si>
  <si>
    <t>Кулаки</t>
  </si>
  <si>
    <t>Ржавый меч</t>
  </si>
  <si>
    <t>Железный меч</t>
  </si>
  <si>
    <t>Серебрянный меч</t>
  </si>
  <si>
    <t>Стеклянный меч</t>
  </si>
  <si>
    <t>Волшебный жезл</t>
  </si>
  <si>
    <t>Желз случайностей</t>
  </si>
  <si>
    <t>Разброс характеристик</t>
  </si>
  <si>
    <t>Прочность</t>
  </si>
  <si>
    <t>Стоимость</t>
  </si>
  <si>
    <t>-</t>
  </si>
  <si>
    <t>Ведро</t>
  </si>
  <si>
    <t>Кожанный шлем</t>
  </si>
  <si>
    <t>Железный шлем</t>
  </si>
  <si>
    <t>Кожанная куртка</t>
  </si>
  <si>
    <t>Железная кираса</t>
  </si>
  <si>
    <t>Вероятности</t>
  </si>
  <si>
    <t>Комната</t>
  </si>
  <si>
    <t>Сундук</t>
  </si>
  <si>
    <t>Текущее</t>
  </si>
  <si>
    <t>Бинт</t>
  </si>
  <si>
    <t>Сила</t>
  </si>
  <si>
    <t>Рандом</t>
  </si>
  <si>
    <t>Реген</t>
  </si>
  <si>
    <t>Магазин</t>
  </si>
  <si>
    <t>Пустая</t>
  </si>
  <si>
    <t>Маленькая</t>
  </si>
  <si>
    <t>Большая</t>
  </si>
  <si>
    <t>Выход</t>
  </si>
  <si>
    <t>№</t>
  </si>
  <si>
    <t>Вероятность дойти до</t>
  </si>
  <si>
    <t>Ключ</t>
  </si>
  <si>
    <t>Монеты</t>
  </si>
  <si>
    <t>Карта</t>
  </si>
  <si>
    <t>Оружие</t>
  </si>
  <si>
    <t>Броня</t>
  </si>
  <si>
    <t>Хил</t>
  </si>
  <si>
    <t>Ничего</t>
  </si>
  <si>
    <t>Заперт</t>
  </si>
  <si>
    <t>Нехватка ключей</t>
  </si>
  <si>
    <t>СРЗНАЧ(Оружие!H4:I4)</t>
  </si>
  <si>
    <t>Рассчёт стоимости</t>
  </si>
  <si>
    <t>Процент усиления за 1 комнату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</si>
</sst>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1" fontId="0" fillId="0" borderId="1" xfId="0" applyNumberFormat="1" applyBorder="1"/>
    <xf numFmtId="9" fontId="0" fillId="0" borderId="0" xfId="1" applyFont="1"/>
    <xf numFmtId="9" fontId="0" fillId="0" borderId="1" xfId="1" applyFont="1" applyBorder="1"/>
    <xf numFmtId="0" fontId="0" fillId="0" borderId="0" xfId="0" applyNumberFormat="1"/>
    <xf numFmtId="0" fontId="0" fillId="0" borderId="0" xfId="0" applyBorder="1"/>
    <xf numFmtId="9" fontId="0" fillId="0" borderId="0" xfId="1" applyFont="1" applyBorder="1"/>
    <xf numFmtId="0" fontId="0" fillId="0" borderId="0" xfId="0" applyNumberFormat="1" applyAlignment="1">
      <alignment horizontal="center"/>
    </xf>
    <xf numFmtId="1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5" xfId="0" applyBorder="1"/>
    <xf numFmtId="9" fontId="0" fillId="0" borderId="1" xfId="0" applyNumberFormat="1" applyBorder="1"/>
    <xf numFmtId="0" fontId="0" fillId="0" borderId="2" xfId="0" applyBorder="1" applyAlignment="1"/>
    <xf numFmtId="9" fontId="0" fillId="0" borderId="0" xfId="0" applyNumberFormat="1"/>
    <xf numFmtId="0" fontId="0" fillId="0" borderId="1" xfId="0" applyFill="1" applyBorder="1"/>
    <xf numFmtId="1" fontId="0" fillId="0" borderId="1" xfId="1" applyNumberFormat="1" applyFont="1" applyBorder="1"/>
    <xf numFmtId="2" fontId="0" fillId="0" borderId="0" xfId="0" applyNumberFormat="1"/>
    <xf numFmtId="9" fontId="0" fillId="0" borderId="1" xfId="1" applyFont="1" applyBorder="1" applyAlignment="1">
      <alignment horizontal="right"/>
    </xf>
    <xf numFmtId="10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10" fontId="0" fillId="0" borderId="7" xfId="1" applyNumberFormat="1" applyFont="1" applyBorder="1"/>
    <xf numFmtId="0" fontId="0" fillId="0" borderId="8" xfId="0" applyBorder="1"/>
    <xf numFmtId="10" fontId="0" fillId="0" borderId="9" xfId="0" applyNumberFormat="1" applyBorder="1"/>
    <xf numFmtId="10" fontId="0" fillId="0" borderId="6" xfId="0" applyNumberFormat="1" applyBorder="1"/>
    <xf numFmtId="164" fontId="0" fillId="0" borderId="5" xfId="0" applyNumberFormat="1" applyBorder="1"/>
    <xf numFmtId="10" fontId="0" fillId="2" borderId="0" xfId="0" applyNumberFormat="1" applyFill="1" applyBorder="1"/>
    <xf numFmtId="1" fontId="0" fillId="0" borderId="0" xfId="0" applyNumberFormat="1"/>
    <xf numFmtId="0" fontId="0" fillId="0" borderId="9" xfId="0" applyBorder="1"/>
    <xf numFmtId="0" fontId="0" fillId="0" borderId="9" xfId="0" applyBorder="1" applyAlignment="1">
      <alignment horizontal="right"/>
    </xf>
    <xf numFmtId="9" fontId="0" fillId="0" borderId="6" xfId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Комнаты!$E$1:$AI$1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Комнаты!$E$7:$AI$7</c:f>
              <c:numCache>
                <c:formatCode>0.00%</c:formatCode>
                <c:ptCount val="31"/>
                <c:pt idx="0">
                  <c:v>0</c:v>
                </c:pt>
                <c:pt idx="1">
                  <c:v>9.9551197902516542E-3</c:v>
                </c:pt>
                <c:pt idx="2">
                  <c:v>1.9623636650261789E-2</c:v>
                </c:pt>
                <c:pt idx="3">
                  <c:v>2.8722744420383139E-2</c:v>
                </c:pt>
                <c:pt idx="4">
                  <c:v>3.6997098907141313E-2</c:v>
                </c:pt>
                <c:pt idx="5">
                  <c:v>4.4230733424774016E-2</c:v>
                </c:pt>
                <c:pt idx="6">
                  <c:v>5.0256348419925656E-2</c:v>
                </c:pt>
                <c:pt idx="7">
                  <c:v>5.4961423029862955E-2</c:v>
                </c:pt>
                <c:pt idx="8">
                  <c:v>5.8290862584663761E-2</c:v>
                </c:pt>
                <c:pt idx="9">
                  <c:v>6.0246176591111644E-2</c:v>
                </c:pt>
                <c:pt idx="10">
                  <c:v>6.0881448977079478E-2</c:v>
                </c:pt>
                <c:pt idx="11">
                  <c:v>6.0296591407831834E-2</c:v>
                </c:pt>
                <c:pt idx="12">
                  <c:v>5.8628541836451609E-2</c:v>
                </c:pt>
                <c:pt idx="13">
                  <c:v>5.6041171983725768E-2</c:v>
                </c:pt>
                <c:pt idx="14">
                  <c:v>5.2714695220114849E-2</c:v>
                </c:pt>
                <c:pt idx="15">
                  <c:v>4.88353243916958E-2</c:v>
                </c:pt>
                <c:pt idx="16">
                  <c:v>4.4585828357467494E-2</c:v>
                </c:pt>
                <c:pt idx="17">
                  <c:v>4.0137492177562795E-2</c:v>
                </c:pt>
                <c:pt idx="18">
                  <c:v>3.5643817433779784E-2</c:v>
                </c:pt>
                <c:pt idx="19">
                  <c:v>3.1236124775313373E-2</c:v>
                </c:pt>
                <c:pt idx="20">
                  <c:v>2.7021057334308957E-2</c:v>
                </c:pt>
                <c:pt idx="21">
                  <c:v>2.3079844573610925E-2</c:v>
                </c:pt>
                <c:pt idx="22">
                  <c:v>1.9469080410360884E-2</c:v>
                </c:pt>
                <c:pt idx="23">
                  <c:v>1.5585975409486044E-2</c:v>
                </c:pt>
                <c:pt idx="24">
                  <c:v>1.2987086144885918E-2</c:v>
                </c:pt>
                <c:pt idx="25">
                  <c:v>1.0691203074563414E-2</c:v>
                </c:pt>
                <c:pt idx="26">
                  <c:v>8.6964324311748914E-3</c:v>
                </c:pt>
                <c:pt idx="27">
                  <c:v>6.9905287160963968E-3</c:v>
                </c:pt>
                <c:pt idx="28">
                  <c:v>5.5536846092125343E-3</c:v>
                </c:pt>
                <c:pt idx="29">
                  <c:v>4.361108541677006E-3</c:v>
                </c:pt>
                <c:pt idx="30">
                  <c:v>3.3852780139973365E-3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9-4C93-B480-7F8F226A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86655"/>
        <c:axId val="1014587487"/>
      </c:lineChart>
      <c:catAx>
        <c:axId val="10145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87487"/>
        <c:crosses val="autoZero"/>
        <c:auto val="1"/>
        <c:lblAlgn val="ctr"/>
        <c:lblOffset val="100"/>
        <c:noMultiLvlLbl val="0"/>
      </c:catAx>
      <c:valAx>
        <c:axId val="10145874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458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Хил!$S$2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Хил!$T$2:$U$2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3-46F3-99AD-36B4DC1EF5B2}"/>
            </c:ext>
          </c:extLst>
        </c:ser>
        <c:ser>
          <c:idx val="1"/>
          <c:order val="1"/>
          <c:tx>
            <c:strRef>
              <c:f>Хил!$S$3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Хил!$T$3:$U$3</c:f>
              <c:numCache>
                <c:formatCode>0%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3-46F3-99AD-36B4DC1EF5B2}"/>
            </c:ext>
          </c:extLst>
        </c:ser>
        <c:ser>
          <c:idx val="2"/>
          <c:order val="2"/>
          <c:tx>
            <c:strRef>
              <c:f>Хил!$S$4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Хил!$T$4:$U$4</c:f>
              <c:numCache>
                <c:formatCode>0%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23-46F3-99AD-36B4DC1EF5B2}"/>
            </c:ext>
          </c:extLst>
        </c:ser>
        <c:ser>
          <c:idx val="3"/>
          <c:order val="3"/>
          <c:tx>
            <c:strRef>
              <c:f>Хил!$S$5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Хил!$T$5:$U$5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23-46F3-99AD-36B4DC1E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/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Хил!$X$2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Хил!$Y$2:$Z$2</c:f>
              <c:numCache>
                <c:formatCode>0%</c:formatCode>
                <c:ptCount val="2"/>
                <c:pt idx="0">
                  <c:v>0.3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B-44C7-8B1C-53B4A2B4D2F6}"/>
            </c:ext>
          </c:extLst>
        </c:ser>
        <c:ser>
          <c:idx val="1"/>
          <c:order val="1"/>
          <c:tx>
            <c:strRef>
              <c:f>Хил!$X$3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Хил!$Y$3:$Z$3</c:f>
              <c:numCache>
                <c:formatCode>0%</c:formatCode>
                <c:ptCount val="2"/>
                <c:pt idx="0">
                  <c:v>0.4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CB-44C7-8B1C-53B4A2B4D2F6}"/>
            </c:ext>
          </c:extLst>
        </c:ser>
        <c:ser>
          <c:idx val="2"/>
          <c:order val="2"/>
          <c:tx>
            <c:strRef>
              <c:f>Хил!$X$4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Хил!$Y$4:$Z$4</c:f>
              <c:numCache>
                <c:formatCode>0%</c:formatCode>
                <c:ptCount val="2"/>
                <c:pt idx="0">
                  <c:v>0.2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CB-44C7-8B1C-53B4A2B4D2F6}"/>
            </c:ext>
          </c:extLst>
        </c:ser>
        <c:ser>
          <c:idx val="3"/>
          <c:order val="3"/>
          <c:tx>
            <c:strRef>
              <c:f>Хил!$X$5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Хил!$Y$5:$Z$5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CB-44C7-8B1C-53B4A2B4D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/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Противники!$A$38</c:f>
              <c:strCache>
                <c:ptCount val="1"/>
                <c:pt idx="0">
                  <c:v>Ничего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Противники!$B$38:$V$38</c:f>
              <c:numCache>
                <c:formatCode>0</c:formatCode>
                <c:ptCount val="21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28.000000000000004</c:v>
                </c:pt>
                <c:pt idx="9">
                  <c:v>24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85-471B-8135-6DFA23E710B1}"/>
            </c:ext>
          </c:extLst>
        </c:ser>
        <c:ser>
          <c:idx val="0"/>
          <c:order val="1"/>
          <c:tx>
            <c:strRef>
              <c:f>Противники!$A$39</c:f>
              <c:strCache>
                <c:ptCount val="1"/>
                <c:pt idx="0">
                  <c:v>Скелетор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Противники!$B$39:$V$39</c:f>
              <c:numCache>
                <c:formatCode>0</c:formatCode>
                <c:ptCount val="21"/>
                <c:pt idx="0">
                  <c:v>24</c:v>
                </c:pt>
                <c:pt idx="1">
                  <c:v>19.2</c:v>
                </c:pt>
                <c:pt idx="2">
                  <c:v>14.4</c:v>
                </c:pt>
                <c:pt idx="3">
                  <c:v>9.6000000000000014</c:v>
                </c:pt>
                <c:pt idx="4">
                  <c:v>4.8000000000000007</c:v>
                </c:pt>
                <c:pt idx="5">
                  <c:v>0</c:v>
                </c:pt>
                <c:pt idx="6">
                  <c:v>-4.7999999999999972</c:v>
                </c:pt>
                <c:pt idx="7">
                  <c:v>-9.6000000000000014</c:v>
                </c:pt>
                <c:pt idx="8">
                  <c:v>-14.399999999999999</c:v>
                </c:pt>
                <c:pt idx="9">
                  <c:v>-19.199999999999996</c:v>
                </c:pt>
                <c:pt idx="10">
                  <c:v>-24</c:v>
                </c:pt>
                <c:pt idx="11">
                  <c:v>-28.799999999999997</c:v>
                </c:pt>
                <c:pt idx="12">
                  <c:v>-33.599999999999994</c:v>
                </c:pt>
                <c:pt idx="13">
                  <c:v>-38.4</c:v>
                </c:pt>
                <c:pt idx="14">
                  <c:v>-43.2</c:v>
                </c:pt>
                <c:pt idx="15">
                  <c:v>-48</c:v>
                </c:pt>
                <c:pt idx="16">
                  <c:v>-52.8</c:v>
                </c:pt>
                <c:pt idx="17">
                  <c:v>-57.599999999999994</c:v>
                </c:pt>
                <c:pt idx="18">
                  <c:v>-62.399999999999991</c:v>
                </c:pt>
                <c:pt idx="19">
                  <c:v>-67.2</c:v>
                </c:pt>
                <c:pt idx="20">
                  <c:v>-72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5-471B-8135-6DFA23E710B1}"/>
            </c:ext>
          </c:extLst>
        </c:ser>
        <c:ser>
          <c:idx val="1"/>
          <c:order val="2"/>
          <c:tx>
            <c:strRef>
              <c:f>Противники!$A$40</c:f>
              <c:strCache>
                <c:ptCount val="1"/>
                <c:pt idx="0">
                  <c:v>Лучник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Противники!$B$40:$V$40</c:f>
              <c:numCache>
                <c:formatCode>0</c:formatCode>
                <c:ptCount val="21"/>
                <c:pt idx="0">
                  <c:v>12</c:v>
                </c:pt>
                <c:pt idx="1">
                  <c:v>15</c:v>
                </c:pt>
                <c:pt idx="2">
                  <c:v>12.5</c:v>
                </c:pt>
                <c:pt idx="3">
                  <c:v>10</c:v>
                </c:pt>
                <c:pt idx="4">
                  <c:v>7.5</c:v>
                </c:pt>
                <c:pt idx="5">
                  <c:v>5</c:v>
                </c:pt>
                <c:pt idx="6">
                  <c:v>2.5</c:v>
                </c:pt>
                <c:pt idx="7">
                  <c:v>0</c:v>
                </c:pt>
                <c:pt idx="8">
                  <c:v>-2.5</c:v>
                </c:pt>
                <c:pt idx="9">
                  <c:v>-5</c:v>
                </c:pt>
                <c:pt idx="10">
                  <c:v>-7.5</c:v>
                </c:pt>
                <c:pt idx="11">
                  <c:v>-10</c:v>
                </c:pt>
                <c:pt idx="12">
                  <c:v>-12.5</c:v>
                </c:pt>
                <c:pt idx="13">
                  <c:v>-15</c:v>
                </c:pt>
                <c:pt idx="14">
                  <c:v>-17.5</c:v>
                </c:pt>
                <c:pt idx="15">
                  <c:v>-20</c:v>
                </c:pt>
                <c:pt idx="16">
                  <c:v>-22.5</c:v>
                </c:pt>
                <c:pt idx="17">
                  <c:v>-25</c:v>
                </c:pt>
                <c:pt idx="18">
                  <c:v>-27.5</c:v>
                </c:pt>
                <c:pt idx="19">
                  <c:v>-30</c:v>
                </c:pt>
                <c:pt idx="20">
                  <c:v>-32.5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5-471B-8135-6DFA23E710B1}"/>
            </c:ext>
          </c:extLst>
        </c:ser>
        <c:ser>
          <c:idx val="2"/>
          <c:order val="3"/>
          <c:tx>
            <c:strRef>
              <c:f>Противники!$A$41</c:f>
              <c:strCache>
                <c:ptCount val="1"/>
                <c:pt idx="0">
                  <c:v>Зомба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Противники!$B$41:$V$41</c:f>
              <c:numCache>
                <c:formatCode>0</c:formatCode>
                <c:ptCount val="2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15.999999999999998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23.2</c:v>
                </c:pt>
                <c:pt idx="12">
                  <c:v>22.4</c:v>
                </c:pt>
                <c:pt idx="13">
                  <c:v>21.6</c:v>
                </c:pt>
                <c:pt idx="14">
                  <c:v>20.8</c:v>
                </c:pt>
                <c:pt idx="15">
                  <c:v>20</c:v>
                </c:pt>
                <c:pt idx="16">
                  <c:v>19.200000000000003</c:v>
                </c:pt>
                <c:pt idx="17">
                  <c:v>18.400000000000002</c:v>
                </c:pt>
                <c:pt idx="18">
                  <c:v>17.600000000000001</c:v>
                </c:pt>
                <c:pt idx="19">
                  <c:v>16.8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5-471B-8135-6DFA23E710B1}"/>
            </c:ext>
          </c:extLst>
        </c:ser>
        <c:ser>
          <c:idx val="3"/>
          <c:order val="4"/>
          <c:tx>
            <c:strRef>
              <c:f>Противники!$A$42</c:f>
              <c:strCache>
                <c:ptCount val="1"/>
                <c:pt idx="0">
                  <c:v>Призрак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Противники!$B$42:$V$42</c:f>
              <c:numCache>
                <c:formatCode>0</c:formatCode>
                <c:ptCount val="21"/>
                <c:pt idx="0">
                  <c:v>0</c:v>
                </c:pt>
                <c:pt idx="1">
                  <c:v>3.2</c:v>
                </c:pt>
                <c:pt idx="2">
                  <c:v>6.4</c:v>
                </c:pt>
                <c:pt idx="3">
                  <c:v>9.6</c:v>
                </c:pt>
                <c:pt idx="4">
                  <c:v>12.8</c:v>
                </c:pt>
                <c:pt idx="5">
                  <c:v>16</c:v>
                </c:pt>
                <c:pt idx="6">
                  <c:v>19.2</c:v>
                </c:pt>
                <c:pt idx="7">
                  <c:v>22.400000000000002</c:v>
                </c:pt>
                <c:pt idx="8">
                  <c:v>25.6</c:v>
                </c:pt>
                <c:pt idx="9">
                  <c:v>28.8</c:v>
                </c:pt>
                <c:pt idx="10">
                  <c:v>32</c:v>
                </c:pt>
                <c:pt idx="11">
                  <c:v>31.2</c:v>
                </c:pt>
                <c:pt idx="12">
                  <c:v>30.4</c:v>
                </c:pt>
                <c:pt idx="13">
                  <c:v>29.6</c:v>
                </c:pt>
                <c:pt idx="14">
                  <c:v>28.8</c:v>
                </c:pt>
                <c:pt idx="15">
                  <c:v>28</c:v>
                </c:pt>
                <c:pt idx="16">
                  <c:v>27.2</c:v>
                </c:pt>
                <c:pt idx="17">
                  <c:v>26.4</c:v>
                </c:pt>
                <c:pt idx="18">
                  <c:v>25.599999999999998</c:v>
                </c:pt>
                <c:pt idx="19">
                  <c:v>24.799999999999997</c:v>
                </c:pt>
                <c:pt idx="2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5-471B-8135-6DFA23E710B1}"/>
            </c:ext>
          </c:extLst>
        </c:ser>
        <c:ser>
          <c:idx val="4"/>
          <c:order val="5"/>
          <c:tx>
            <c:strRef>
              <c:f>Противники!$A$43</c:f>
              <c:strCache>
                <c:ptCount val="1"/>
                <c:pt idx="0">
                  <c:v>Лич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Противники!$B$37:$V$37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Противники!$B$43:$V$43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2.1052631578947367</c:v>
                </c:pt>
                <c:pt idx="3">
                  <c:v>4.2105263157894735</c:v>
                </c:pt>
                <c:pt idx="4">
                  <c:v>6.3157894736842106</c:v>
                </c:pt>
                <c:pt idx="5">
                  <c:v>8.4210526315789469</c:v>
                </c:pt>
                <c:pt idx="6">
                  <c:v>10.526315789473683</c:v>
                </c:pt>
                <c:pt idx="7">
                  <c:v>12.631578947368421</c:v>
                </c:pt>
                <c:pt idx="8">
                  <c:v>14.736842105263158</c:v>
                </c:pt>
                <c:pt idx="9">
                  <c:v>16.842105263157894</c:v>
                </c:pt>
                <c:pt idx="10">
                  <c:v>18.94736842105263</c:v>
                </c:pt>
                <c:pt idx="11">
                  <c:v>21.052631578947366</c:v>
                </c:pt>
                <c:pt idx="12">
                  <c:v>23.157894736842103</c:v>
                </c:pt>
                <c:pt idx="13">
                  <c:v>25.263157894736842</c:v>
                </c:pt>
                <c:pt idx="14">
                  <c:v>27.368421052631579</c:v>
                </c:pt>
                <c:pt idx="15">
                  <c:v>29.473684210526315</c:v>
                </c:pt>
                <c:pt idx="16">
                  <c:v>31.578947368421051</c:v>
                </c:pt>
                <c:pt idx="17">
                  <c:v>33.684210526315788</c:v>
                </c:pt>
                <c:pt idx="18">
                  <c:v>35.789473684210527</c:v>
                </c:pt>
                <c:pt idx="19">
                  <c:v>37.89473684210526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85-471B-8135-6DFA23E7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472271"/>
        <c:axId val="976472687"/>
      </c:lineChart>
      <c:catAx>
        <c:axId val="9764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472687"/>
        <c:crosses val="autoZero"/>
        <c:auto val="1"/>
        <c:lblAlgn val="ctr"/>
        <c:lblOffset val="100"/>
        <c:noMultiLvlLbl val="0"/>
      </c:catAx>
      <c:valAx>
        <c:axId val="9764726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64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Оружие!$N$2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Оружие!$O$2:$P$2</c:f>
              <c:numCache>
                <c:formatCode>0%</c:formatCode>
                <c:ptCount val="2"/>
                <c:pt idx="0">
                  <c:v>0.89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B-4FCC-9DE2-861135CD7913}"/>
            </c:ext>
          </c:extLst>
        </c:ser>
        <c:ser>
          <c:idx val="1"/>
          <c:order val="1"/>
          <c:tx>
            <c:strRef>
              <c:f>Оружие!$N$3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Оружие!$O$3:$P$3</c:f>
              <c:numCache>
                <c:formatCode>0%</c:formatCode>
                <c:ptCount val="2"/>
                <c:pt idx="0">
                  <c:v>0.05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B-4FCC-9DE2-861135CD7913}"/>
            </c:ext>
          </c:extLst>
        </c:ser>
        <c:ser>
          <c:idx val="2"/>
          <c:order val="2"/>
          <c:tx>
            <c:strRef>
              <c:f>Оружие!$N$4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Оружие!$O$4:$P$4</c:f>
              <c:numCache>
                <c:formatCode>0%</c:formatCode>
                <c:ptCount val="2"/>
                <c:pt idx="0">
                  <c:v>0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B-4FCC-9DE2-861135CD7913}"/>
            </c:ext>
          </c:extLst>
        </c:ser>
        <c:ser>
          <c:idx val="3"/>
          <c:order val="3"/>
          <c:tx>
            <c:strRef>
              <c:f>Оружие!$N$5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Оружие!$O$5:$P$5</c:f>
              <c:numCache>
                <c:formatCode>0%</c:formatCode>
                <c:ptCount val="2"/>
                <c:pt idx="0">
                  <c:v>0.01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B-4FCC-9DE2-861135CD7913}"/>
            </c:ext>
          </c:extLst>
        </c:ser>
        <c:ser>
          <c:idx val="4"/>
          <c:order val="4"/>
          <c:tx>
            <c:strRef>
              <c:f>Оружие!$N$6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Оружие!$O$6:$P$6</c:f>
              <c:numCache>
                <c:formatCode>0%</c:formatCode>
                <c:ptCount val="2"/>
                <c:pt idx="0">
                  <c:v>0.05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B-4FCC-9DE2-861135CD7913}"/>
            </c:ext>
          </c:extLst>
        </c:ser>
        <c:ser>
          <c:idx val="5"/>
          <c:order val="5"/>
          <c:tx>
            <c:strRef>
              <c:f>Оружие!$N$7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Оружие!$O$7:$P$7</c:f>
              <c:numCache>
                <c:formatCode>0%</c:formatCode>
                <c:ptCount val="2"/>
                <c:pt idx="0">
                  <c:v>0</c:v>
                </c:pt>
                <c:pt idx="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B-4FCC-9DE2-861135CD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25696"/>
        <c:axId val="295622368"/>
      </c:lineChart>
      <c:catAx>
        <c:axId val="295625696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622368"/>
        <c:crosses val="autoZero"/>
        <c:auto val="0"/>
        <c:lblAlgn val="ctr"/>
        <c:lblOffset val="100"/>
        <c:noMultiLvlLbl val="0"/>
      </c:catAx>
      <c:valAx>
        <c:axId val="2956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62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Оружие!$S$2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Оружие!$T$2:$U$2</c:f>
              <c:numCache>
                <c:formatCode>0%</c:formatCode>
                <c:ptCount val="2"/>
                <c:pt idx="0">
                  <c:v>0.4</c:v>
                </c:pt>
                <c:pt idx="1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0-4045-855F-BF1528D7F74C}"/>
            </c:ext>
          </c:extLst>
        </c:ser>
        <c:ser>
          <c:idx val="2"/>
          <c:order val="2"/>
          <c:tx>
            <c:strRef>
              <c:f>Оружие!$S$3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Оружие!$T$3:$U$3</c:f>
              <c:numCache>
                <c:formatCode>0%</c:formatCode>
                <c:ptCount val="2"/>
                <c:pt idx="0">
                  <c:v>0.15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0-4045-855F-BF1528D7F74C}"/>
            </c:ext>
          </c:extLst>
        </c:ser>
        <c:ser>
          <c:idx val="3"/>
          <c:order val="3"/>
          <c:tx>
            <c:strRef>
              <c:f>Оружие!$S$4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Оружие!$T$4:$U$4</c:f>
              <c:numCache>
                <c:formatCode>0%</c:formatCode>
                <c:ptCount val="2"/>
                <c:pt idx="0">
                  <c:v>0.05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F0-4045-855F-BF1528D7F74C}"/>
            </c:ext>
          </c:extLst>
        </c:ser>
        <c:ser>
          <c:idx val="4"/>
          <c:order val="4"/>
          <c:tx>
            <c:strRef>
              <c:f>Оружие!$S$5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Оружие!$T$5:$U$5</c:f>
              <c:numCache>
                <c:formatCode>0%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F0-4045-855F-BF1528D7F74C}"/>
            </c:ext>
          </c:extLst>
        </c:ser>
        <c:ser>
          <c:idx val="5"/>
          <c:order val="5"/>
          <c:tx>
            <c:strRef>
              <c:f>Оружие!$S$6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Оружие!$T$6:$U$6</c:f>
              <c:numCache>
                <c:formatCode>0%</c:formatCode>
                <c:ptCount val="2"/>
                <c:pt idx="0">
                  <c:v>0.25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F0-4045-855F-BF1528D7F74C}"/>
            </c:ext>
          </c:extLst>
        </c:ser>
        <c:ser>
          <c:idx val="6"/>
          <c:order val="6"/>
          <c:tx>
            <c:strRef>
              <c:f>Оружие!$S$7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Оружие!$T$1:$U$1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Оружие!$T$7:$U$7</c:f>
              <c:numCache>
                <c:formatCode>0%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F0-4045-855F-BF1528D7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9439"/>
        <c:axId val="155810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Оружие!$S$1</c15:sqref>
                        </c15:formulaRef>
                      </c:ext>
                    </c:extLst>
                    <c:strCache>
                      <c:ptCount val="1"/>
                      <c:pt idx="0">
                        <c:v>Сундук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Оружие!$T$1:$U$1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Оружие!$T$1:$U$1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AF0-4045-855F-BF1528D7F74C}"/>
                  </c:ext>
                </c:extLst>
              </c15:ser>
            </c15:filteredLineSeries>
          </c:ext>
        </c:extLst>
      </c:lineChart>
      <c:catAx>
        <c:axId val="1558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0271"/>
        <c:crosses val="autoZero"/>
        <c:auto val="1"/>
        <c:lblAlgn val="ctr"/>
        <c:lblOffset val="100"/>
        <c:noMultiLvlLbl val="0"/>
      </c:catAx>
      <c:valAx>
        <c:axId val="15581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Оружие!$X$2</c:f>
              <c:strCache>
                <c:ptCount val="1"/>
                <c:pt idx="0">
                  <c:v>Ржавый меч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Оружие!$Y$2:$Z$2</c:f>
              <c:numCache>
                <c:formatCode>0%</c:formatCode>
                <c:ptCount val="2"/>
                <c:pt idx="0">
                  <c:v>0.3</c:v>
                </c:pt>
                <c:pt idx="1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52-423E-8827-03B58550361F}"/>
            </c:ext>
          </c:extLst>
        </c:ser>
        <c:ser>
          <c:idx val="1"/>
          <c:order val="1"/>
          <c:tx>
            <c:strRef>
              <c:f>Оружие!$X$3</c:f>
              <c:strCache>
                <c:ptCount val="1"/>
                <c:pt idx="0">
                  <c:v>Железный меч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Оружие!$Y$3:$Z$3</c:f>
              <c:numCache>
                <c:formatCode>0%</c:formatCode>
                <c:ptCount val="2"/>
                <c:pt idx="0">
                  <c:v>0.2</c:v>
                </c:pt>
                <c:pt idx="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52-423E-8827-03B58550361F}"/>
            </c:ext>
          </c:extLst>
        </c:ser>
        <c:ser>
          <c:idx val="2"/>
          <c:order val="2"/>
          <c:tx>
            <c:strRef>
              <c:f>Оружие!$X$4</c:f>
              <c:strCache>
                <c:ptCount val="1"/>
                <c:pt idx="0">
                  <c:v>Серебрянный меч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Оружие!$Y$4:$Z$4</c:f>
              <c:numCache>
                <c:formatCode>0%</c:formatCode>
                <c:ptCount val="2"/>
                <c:pt idx="0">
                  <c:v>0.05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52-423E-8827-03B58550361F}"/>
            </c:ext>
          </c:extLst>
        </c:ser>
        <c:ser>
          <c:idx val="3"/>
          <c:order val="3"/>
          <c:tx>
            <c:strRef>
              <c:f>Оружие!$X$5</c:f>
              <c:strCache>
                <c:ptCount val="1"/>
                <c:pt idx="0">
                  <c:v>Стеклянный меч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Оружие!$Y$5:$Z$5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52-423E-8827-03B58550361F}"/>
            </c:ext>
          </c:extLst>
        </c:ser>
        <c:ser>
          <c:idx val="4"/>
          <c:order val="4"/>
          <c:tx>
            <c:strRef>
              <c:f>Оружие!$X$6</c:f>
              <c:strCache>
                <c:ptCount val="1"/>
                <c:pt idx="0">
                  <c:v>Волшебный жезл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Оружие!$Y$6:$Z$6</c:f>
              <c:numCache>
                <c:formatCode>0%</c:formatCode>
                <c:ptCount val="2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52-423E-8827-03B58550361F}"/>
            </c:ext>
          </c:extLst>
        </c:ser>
        <c:ser>
          <c:idx val="5"/>
          <c:order val="5"/>
          <c:tx>
            <c:strRef>
              <c:f>Оружие!$X$7</c:f>
              <c:strCache>
                <c:ptCount val="1"/>
                <c:pt idx="0">
                  <c:v>Желз случайностей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Оружие!$Y$1:$Z$1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Оружие!$Y$7:$Z$7</c:f>
              <c:numCache>
                <c:formatCode>0%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52-423E-8827-03B58550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09439"/>
        <c:axId val="155810271"/>
        <c:extLst/>
      </c:lineChart>
      <c:catAx>
        <c:axId val="1558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10271"/>
        <c:crosses val="autoZero"/>
        <c:auto val="1"/>
        <c:lblAlgn val="ctr"/>
        <c:lblOffset val="100"/>
        <c:noMultiLvlLbl val="0"/>
      </c:catAx>
      <c:valAx>
        <c:axId val="155810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0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Броня!$N$2</c:f>
              <c:strCache>
                <c:ptCount val="1"/>
                <c:pt idx="0">
                  <c:v>Ведро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Броня!$O$2:$P$2</c:f>
              <c:numCache>
                <c:formatCode>0%</c:formatCode>
                <c:ptCount val="2"/>
                <c:pt idx="0">
                  <c:v>0.85</c:v>
                </c:pt>
                <c:pt idx="1">
                  <c:v>-0.85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0-4065-A6F6-7FB185C7B0EC}"/>
            </c:ext>
          </c:extLst>
        </c:ser>
        <c:ser>
          <c:idx val="1"/>
          <c:order val="1"/>
          <c:tx>
            <c:strRef>
              <c:f>Броня!$N$3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Броня!$O$3:$P$3</c:f>
              <c:numCache>
                <c:formatCode>0%</c:formatCode>
                <c:ptCount val="2"/>
                <c:pt idx="0">
                  <c:v>0.1</c:v>
                </c:pt>
                <c:pt idx="1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0-4065-A6F6-7FB185C7B0EC}"/>
            </c:ext>
          </c:extLst>
        </c:ser>
        <c:ser>
          <c:idx val="2"/>
          <c:order val="2"/>
          <c:tx>
            <c:strRef>
              <c:f>Броня!$N$4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Броня!$O$4:$P$4</c:f>
              <c:numCache>
                <c:formatCode>0%</c:formatCode>
                <c:ptCount val="2"/>
                <c:pt idx="0">
                  <c:v>0</c:v>
                </c:pt>
                <c:pt idx="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0-4065-A6F6-7FB185C7B0EC}"/>
            </c:ext>
          </c:extLst>
        </c:ser>
        <c:ser>
          <c:idx val="3"/>
          <c:order val="3"/>
          <c:tx>
            <c:strRef>
              <c:f>Броня!$N$5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Броня!$O$5:$P$5</c:f>
              <c:numCache>
                <c:formatCode>0%</c:formatCode>
                <c:ptCount val="2"/>
                <c:pt idx="0">
                  <c:v>0.05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0-4065-A6F6-7FB185C7B0EC}"/>
            </c:ext>
          </c:extLst>
        </c:ser>
        <c:ser>
          <c:idx val="4"/>
          <c:order val="4"/>
          <c:tx>
            <c:strRef>
              <c:f>Броня!$N$6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Броня!$O$6:$P$6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0-4065-A6F6-7FB185C7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351055"/>
        <c:axId val="1496356879"/>
      </c:lineChart>
      <c:catAx>
        <c:axId val="149635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356879"/>
        <c:crosses val="autoZero"/>
        <c:auto val="1"/>
        <c:lblAlgn val="ctr"/>
        <c:lblOffset val="100"/>
        <c:noMultiLvlLbl val="0"/>
      </c:catAx>
      <c:valAx>
        <c:axId val="1496356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35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Броня!$S$2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Броня!$T$2:$U$2</c:f>
              <c:numCache>
                <c:formatCode>0%</c:formatCode>
                <c:ptCount val="2"/>
                <c:pt idx="0">
                  <c:v>0.55000000000000004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A-41CE-8615-2142B2E95908}"/>
            </c:ext>
          </c:extLst>
        </c:ser>
        <c:ser>
          <c:idx val="2"/>
          <c:order val="2"/>
          <c:tx>
            <c:strRef>
              <c:f>Броня!$S$3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Броня!$T$3:$U$3</c:f>
              <c:numCache>
                <c:formatCode>0%</c:formatCode>
                <c:ptCount val="2"/>
                <c:pt idx="0">
                  <c:v>0.25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A-41CE-8615-2142B2E95908}"/>
            </c:ext>
          </c:extLst>
        </c:ser>
        <c:ser>
          <c:idx val="3"/>
          <c:order val="3"/>
          <c:tx>
            <c:strRef>
              <c:f>Броня!$S$4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Броня!$T$4:$U$4</c:f>
              <c:numCache>
                <c:formatCode>0%</c:formatCode>
                <c:ptCount val="2"/>
                <c:pt idx="0">
                  <c:v>0.14000000000000001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A-41CE-8615-2142B2E95908}"/>
            </c:ext>
          </c:extLst>
        </c:ser>
        <c:ser>
          <c:idx val="4"/>
          <c:order val="4"/>
          <c:tx>
            <c:strRef>
              <c:f>Броня!$S$5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Броня!$T$1:$U$1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Броня!$T$5:$U$5</c:f>
              <c:numCache>
                <c:formatCode>0%</c:formatCode>
                <c:ptCount val="2"/>
                <c:pt idx="0">
                  <c:v>0.06</c:v>
                </c:pt>
                <c:pt idx="1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A-41CE-8615-2142B2E9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99983"/>
        <c:axId val="2657110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Броня!$S$1</c15:sqref>
                        </c15:formulaRef>
                      </c:ext>
                    </c:extLst>
                    <c:strCache>
                      <c:ptCount val="1"/>
                      <c:pt idx="0">
                        <c:v>Сундук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Броня!$T$1:$U$1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Броня!$T$1:$U$1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FA-41CE-8615-2142B2E95908}"/>
                  </c:ext>
                </c:extLst>
              </c15:ser>
            </c15:filteredLineSeries>
          </c:ext>
        </c:extLst>
      </c:lineChart>
      <c:catAx>
        <c:axId val="289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11087"/>
        <c:crosses val="autoZero"/>
        <c:auto val="1"/>
        <c:lblAlgn val="ctr"/>
        <c:lblOffset val="100"/>
        <c:noMultiLvlLbl val="0"/>
      </c:catAx>
      <c:valAx>
        <c:axId val="2657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Броня!$X$2</c:f>
              <c:strCache>
                <c:ptCount val="1"/>
                <c:pt idx="0">
                  <c:v>Ведро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Броня!$Y$2:$Z$2</c:f>
              <c:numCache>
                <c:formatCode>0%</c:formatCode>
                <c:ptCount val="2"/>
                <c:pt idx="0">
                  <c:v>0.5</c:v>
                </c:pt>
                <c:pt idx="1">
                  <c:v>-1.17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15-49E8-82BA-E4298EF823A6}"/>
            </c:ext>
          </c:extLst>
        </c:ser>
        <c:ser>
          <c:idx val="1"/>
          <c:order val="1"/>
          <c:tx>
            <c:strRef>
              <c:f>Броня!$X$3</c:f>
              <c:strCache>
                <c:ptCount val="1"/>
                <c:pt idx="0">
                  <c:v>Кожанный шлем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Броня!$Y$3:$Z$3</c:f>
              <c:numCache>
                <c:formatCode>0%</c:formatCode>
                <c:ptCount val="2"/>
                <c:pt idx="0">
                  <c:v>0.27500000000000002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15-49E8-82BA-E4298EF823A6}"/>
            </c:ext>
          </c:extLst>
        </c:ser>
        <c:ser>
          <c:idx val="2"/>
          <c:order val="2"/>
          <c:tx>
            <c:strRef>
              <c:f>Броня!$X$4</c:f>
              <c:strCache>
                <c:ptCount val="1"/>
                <c:pt idx="0">
                  <c:v>Железный шлем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Броня!$Y$4:$Z$4</c:f>
              <c:numCache>
                <c:formatCode>0%</c:formatCode>
                <c:ptCount val="2"/>
                <c:pt idx="0">
                  <c:v>0.125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15-49E8-82BA-E4298EF823A6}"/>
            </c:ext>
          </c:extLst>
        </c:ser>
        <c:ser>
          <c:idx val="3"/>
          <c:order val="3"/>
          <c:tx>
            <c:strRef>
              <c:f>Броня!$X$5</c:f>
              <c:strCache>
                <c:ptCount val="1"/>
                <c:pt idx="0">
                  <c:v>Кожанная куртка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Броня!$Y$5:$Z$5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15-49E8-82BA-E4298EF823A6}"/>
            </c:ext>
          </c:extLst>
        </c:ser>
        <c:ser>
          <c:idx val="4"/>
          <c:order val="4"/>
          <c:tx>
            <c:strRef>
              <c:f>Броня!$X$6</c:f>
              <c:strCache>
                <c:ptCount val="1"/>
                <c:pt idx="0">
                  <c:v>Железная кираса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Броня!$Y$1:$Z$1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Броня!$Y$6:$Z$6</c:f>
              <c:numCache>
                <c:formatCode>0%</c:formatCode>
                <c:ptCount val="2"/>
                <c:pt idx="0">
                  <c:v>0.03</c:v>
                </c:pt>
                <c:pt idx="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15-49E8-82BA-E4298EF82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99983"/>
        <c:axId val="265711087"/>
        <c:extLst/>
      </c:lineChart>
      <c:catAx>
        <c:axId val="28959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5711087"/>
        <c:crosses val="autoZero"/>
        <c:auto val="1"/>
        <c:lblAlgn val="ctr"/>
        <c:lblOffset val="100"/>
        <c:noMultiLvlLbl val="0"/>
      </c:catAx>
      <c:valAx>
        <c:axId val="2657110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959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Хил!$N$2</c:f>
              <c:strCache>
                <c:ptCount val="1"/>
                <c:pt idx="0">
                  <c:v>Бинт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Хил!$O$2:$P$2</c:f>
              <c:numCache>
                <c:formatCode>0%</c:formatCode>
                <c:ptCount val="2"/>
                <c:pt idx="0">
                  <c:v>0.67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B-4A8A-98BC-9472E36B5B39}"/>
            </c:ext>
          </c:extLst>
        </c:ser>
        <c:ser>
          <c:idx val="2"/>
          <c:order val="2"/>
          <c:tx>
            <c:strRef>
              <c:f>Хил!$N$3</c:f>
              <c:strCache>
                <c:ptCount val="1"/>
                <c:pt idx="0">
                  <c:v>Реген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Хил!$O$3:$P$3</c:f>
              <c:numCache>
                <c:formatCode>0%</c:formatCode>
                <c:ptCount val="2"/>
                <c:pt idx="0">
                  <c:v>0.22</c:v>
                </c:pt>
                <c:pt idx="1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B-4A8A-98BC-9472E36B5B39}"/>
            </c:ext>
          </c:extLst>
        </c:ser>
        <c:ser>
          <c:idx val="3"/>
          <c:order val="3"/>
          <c:tx>
            <c:strRef>
              <c:f>Хил!$N$4</c:f>
              <c:strCache>
                <c:ptCount val="1"/>
                <c:pt idx="0">
                  <c:v>Сила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Хил!$O$4:$P$4</c:f>
              <c:numCache>
                <c:formatCode>0%</c:formatCode>
                <c:ptCount val="2"/>
                <c:pt idx="0">
                  <c:v>0.1</c:v>
                </c:pt>
                <c:pt idx="1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B-4A8A-98BC-9472E36B5B39}"/>
            </c:ext>
          </c:extLst>
        </c:ser>
        <c:ser>
          <c:idx val="4"/>
          <c:order val="4"/>
          <c:tx>
            <c:strRef>
              <c:f>Хил!$N$5</c:f>
              <c:strCache>
                <c:ptCount val="1"/>
                <c:pt idx="0">
                  <c:v>Рандом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Хил!$O$1:$P$1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cat>
          <c:val>
            <c:numRef>
              <c:f>Хил!$O$5:$P$5</c:f>
              <c:numCache>
                <c:formatCode>0%</c:formatCode>
                <c:ptCount val="2"/>
                <c:pt idx="0">
                  <c:v>0.01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B-4A8A-98BC-9472E36B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30671"/>
        <c:axId val="404328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Хил!$N$1</c15:sqref>
                        </c15:formulaRef>
                      </c:ext>
                    </c:extLst>
                    <c:strCache>
                      <c:ptCount val="1"/>
                      <c:pt idx="0">
                        <c:v>Комната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Хил!$O$1:$P$1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Хил!$O$1:$P$1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25B-4A8A-98BC-9472E36B5B39}"/>
                  </c:ext>
                </c:extLst>
              </c15:ser>
            </c15:filteredLineSeries>
          </c:ext>
        </c:extLst>
      </c:lineChart>
      <c:catAx>
        <c:axId val="40433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28591"/>
        <c:crosses val="autoZero"/>
        <c:auto val="1"/>
        <c:lblAlgn val="ctr"/>
        <c:lblOffset val="100"/>
        <c:noMultiLvlLbl val="0"/>
      </c:catAx>
      <c:valAx>
        <c:axId val="4043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33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21</xdr:col>
      <xdr:colOff>593912</xdr:colOff>
      <xdr:row>23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3157DB4-E6C5-468C-91A6-6E4F98502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22</xdr:col>
      <xdr:colOff>11206</xdr:colOff>
      <xdr:row>35</xdr:row>
      <xdr:rowOff>22412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05BFA2B-1F7D-4BE9-9208-BA093DD55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8</xdr:row>
      <xdr:rowOff>0</xdr:rowOff>
    </xdr:from>
    <xdr:to>
      <xdr:col>17</xdr:col>
      <xdr:colOff>8282</xdr:colOff>
      <xdr:row>21</xdr:row>
      <xdr:rowOff>4533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F92BC0-681F-435D-BBEE-9A5F6DC38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1267238</xdr:colOff>
      <xdr:row>8</xdr:row>
      <xdr:rowOff>0</xdr:rowOff>
    </xdr:from>
    <xdr:to>
      <xdr:col>22</xdr:col>
      <xdr:colOff>16564</xdr:colOff>
      <xdr:row>21</xdr:row>
      <xdr:rowOff>4970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D75B84B-06E3-41E4-BE5A-BC10ACACF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26</xdr:col>
      <xdr:colOff>694765</xdr:colOff>
      <xdr:row>21</xdr:row>
      <xdr:rowOff>4970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AD61060-4D13-4D81-8F31-19697F1D9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596A99-1013-4B3A-AF97-3AB9EDB1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22</xdr:col>
      <xdr:colOff>14654</xdr:colOff>
      <xdr:row>19</xdr:row>
      <xdr:rowOff>183173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A5D1363-39C8-4626-BB27-9F9AE54FD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27</xdr:col>
      <xdr:colOff>11206</xdr:colOff>
      <xdr:row>19</xdr:row>
      <xdr:rowOff>183173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DDF158E-AAF8-41E8-817D-BF04C465F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7</xdr:row>
      <xdr:rowOff>0</xdr:rowOff>
    </xdr:from>
    <xdr:to>
      <xdr:col>17</xdr:col>
      <xdr:colOff>0</xdr:colOff>
      <xdr:row>17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7D954B-7204-466A-B61F-464CB3E7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612912</xdr:colOff>
      <xdr:row>7</xdr:row>
      <xdr:rowOff>0</xdr:rowOff>
    </xdr:from>
    <xdr:to>
      <xdr:col>21</xdr:col>
      <xdr:colOff>546651</xdr:colOff>
      <xdr:row>17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3B8DA6D-ECBB-44C9-9878-CF5E08893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7</xdr:row>
      <xdr:rowOff>0</xdr:rowOff>
    </xdr:from>
    <xdr:to>
      <xdr:col>27</xdr:col>
      <xdr:colOff>0</xdr:colOff>
      <xdr:row>17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02081D-0594-4FA4-98B2-F333B821B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0317-C85F-4DE1-A2E3-A5000CEF4AEC}">
  <dimension ref="A1:B5"/>
  <sheetViews>
    <sheetView workbookViewId="0">
      <selection activeCell="B4" sqref="B4"/>
    </sheetView>
  </sheetViews>
  <sheetFormatPr defaultRowHeight="15" x14ac:dyDescent="0.25"/>
  <cols>
    <col min="1" max="1" width="41.7109375" bestFit="1" customWidth="1"/>
  </cols>
  <sheetData>
    <row r="1" spans="1:2" x14ac:dyDescent="0.25">
      <c r="A1" t="s">
        <v>22</v>
      </c>
      <c r="B1" s="2">
        <v>0.2</v>
      </c>
    </row>
    <row r="2" spans="1:2" x14ac:dyDescent="0.25">
      <c r="A2" t="s">
        <v>57</v>
      </c>
      <c r="B2" s="7">
        <v>0.01</v>
      </c>
    </row>
    <row r="3" spans="1:2" x14ac:dyDescent="0.25">
      <c r="A3">
        <v>10</v>
      </c>
      <c r="B3" s="7">
        <f>A3*B2</f>
        <v>0.1</v>
      </c>
    </row>
    <row r="4" spans="1:2" x14ac:dyDescent="0.25">
      <c r="A4">
        <v>50</v>
      </c>
      <c r="B4" s="7">
        <f>A4*B2</f>
        <v>0.5</v>
      </c>
    </row>
    <row r="5" spans="1:2" x14ac:dyDescent="0.25">
      <c r="A5">
        <v>100</v>
      </c>
      <c r="B5" s="7">
        <f>A5*B2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9075-37CB-469C-98A8-A9CDFB6F6906}">
  <dimension ref="A1:B1"/>
  <sheetViews>
    <sheetView workbookViewId="0">
      <selection activeCell="C8" sqref="C8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</v>
      </c>
      <c r="B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E8A6-7B0F-4C4F-B26F-9BE0B785C7AE}">
  <dimension ref="A1:AJ7"/>
  <sheetViews>
    <sheetView tabSelected="1" zoomScaleNormal="100" workbookViewId="0">
      <selection activeCell="E24" sqref="E24"/>
    </sheetView>
  </sheetViews>
  <sheetFormatPr defaultRowHeight="15" x14ac:dyDescent="0.25"/>
  <cols>
    <col min="1" max="1" width="11.140625" bestFit="1" customWidth="1"/>
    <col min="3" max="3" width="12.140625" bestFit="1" customWidth="1"/>
    <col min="4" max="4" width="21.42578125" bestFit="1" customWidth="1"/>
  </cols>
  <sheetData>
    <row r="1" spans="1:36" x14ac:dyDescent="0.25">
      <c r="A1" s="3" t="s">
        <v>40</v>
      </c>
      <c r="B1" s="8">
        <v>0.3</v>
      </c>
      <c r="D1" t="s">
        <v>44</v>
      </c>
      <c r="E1">
        <v>0</v>
      </c>
      <c r="F1">
        <v>10</v>
      </c>
      <c r="G1">
        <v>20</v>
      </c>
      <c r="H1">
        <v>30</v>
      </c>
      <c r="I1">
        <v>40</v>
      </c>
      <c r="J1">
        <v>50</v>
      </c>
      <c r="K1">
        <v>60</v>
      </c>
      <c r="L1">
        <v>70</v>
      </c>
      <c r="M1">
        <v>80</v>
      </c>
      <c r="N1">
        <v>90</v>
      </c>
      <c r="O1">
        <v>100</v>
      </c>
      <c r="P1">
        <v>110</v>
      </c>
      <c r="Q1">
        <v>120</v>
      </c>
      <c r="R1">
        <v>130</v>
      </c>
      <c r="S1">
        <v>140</v>
      </c>
      <c r="T1">
        <v>150</v>
      </c>
      <c r="U1">
        <v>160</v>
      </c>
      <c r="V1">
        <v>170</v>
      </c>
      <c r="W1">
        <v>180</v>
      </c>
      <c r="X1">
        <v>190</v>
      </c>
      <c r="Y1">
        <v>200</v>
      </c>
      <c r="Z1">
        <v>210</v>
      </c>
      <c r="AA1">
        <v>220</v>
      </c>
      <c r="AB1">
        <v>230</v>
      </c>
      <c r="AC1">
        <v>240</v>
      </c>
      <c r="AD1">
        <v>250</v>
      </c>
      <c r="AE1">
        <v>260</v>
      </c>
      <c r="AF1">
        <v>270</v>
      </c>
      <c r="AG1">
        <v>280</v>
      </c>
      <c r="AH1">
        <v>290</v>
      </c>
      <c r="AI1">
        <v>300</v>
      </c>
      <c r="AJ1">
        <v>301</v>
      </c>
    </row>
    <row r="2" spans="1:36" x14ac:dyDescent="0.25">
      <c r="A2" s="3" t="s">
        <v>41</v>
      </c>
      <c r="B2" s="8">
        <v>0.4</v>
      </c>
      <c r="D2">
        <v>1</v>
      </c>
      <c r="E2" s="25">
        <f>ROUND(E1*$B$5/(E1*$B$5+100),3)</f>
        <v>0</v>
      </c>
      <c r="F2" s="25">
        <f t="shared" ref="F2:AJ2" si="0">ROUND(F1*$B$5/(F1*$B$5+100),3)</f>
        <v>1E-3</v>
      </c>
      <c r="G2" s="25">
        <f t="shared" si="0"/>
        <v>2E-3</v>
      </c>
      <c r="H2" s="25">
        <f t="shared" si="0"/>
        <v>3.0000000000000001E-3</v>
      </c>
      <c r="I2" s="25">
        <f t="shared" si="0"/>
        <v>4.0000000000000001E-3</v>
      </c>
      <c r="J2" s="25">
        <f t="shared" si="0"/>
        <v>5.0000000000000001E-3</v>
      </c>
      <c r="K2" s="25">
        <f t="shared" si="0"/>
        <v>6.0000000000000001E-3</v>
      </c>
      <c r="L2" s="25">
        <f t="shared" si="0"/>
        <v>7.0000000000000001E-3</v>
      </c>
      <c r="M2" s="25">
        <f t="shared" si="0"/>
        <v>8.0000000000000002E-3</v>
      </c>
      <c r="N2" s="25">
        <f t="shared" si="0"/>
        <v>8.9999999999999993E-3</v>
      </c>
      <c r="O2" s="25">
        <f t="shared" si="0"/>
        <v>0.01</v>
      </c>
      <c r="P2" s="25">
        <f t="shared" si="0"/>
        <v>1.0999999999999999E-2</v>
      </c>
      <c r="Q2" s="25">
        <f t="shared" si="0"/>
        <v>1.2E-2</v>
      </c>
      <c r="R2" s="25">
        <f t="shared" si="0"/>
        <v>1.2999999999999999E-2</v>
      </c>
      <c r="S2" s="25">
        <f t="shared" si="0"/>
        <v>1.4E-2</v>
      </c>
      <c r="T2" s="25">
        <f t="shared" si="0"/>
        <v>1.4999999999999999E-2</v>
      </c>
      <c r="U2" s="25">
        <f t="shared" si="0"/>
        <v>1.6E-2</v>
      </c>
      <c r="V2" s="25">
        <f t="shared" si="0"/>
        <v>1.7000000000000001E-2</v>
      </c>
      <c r="W2" s="25">
        <f t="shared" si="0"/>
        <v>1.7999999999999999E-2</v>
      </c>
      <c r="X2" s="25">
        <f t="shared" si="0"/>
        <v>1.9E-2</v>
      </c>
      <c r="Y2" s="25">
        <f t="shared" si="0"/>
        <v>0.02</v>
      </c>
      <c r="Z2" s="25">
        <f t="shared" si="0"/>
        <v>2.1000000000000001E-2</v>
      </c>
      <c r="AA2" s="25">
        <f t="shared" si="0"/>
        <v>2.1999999999999999E-2</v>
      </c>
      <c r="AB2" s="25">
        <f t="shared" si="0"/>
        <v>2.1999999999999999E-2</v>
      </c>
      <c r="AC2" s="25">
        <f t="shared" si="0"/>
        <v>2.3E-2</v>
      </c>
      <c r="AD2" s="25">
        <f t="shared" si="0"/>
        <v>2.4E-2</v>
      </c>
      <c r="AE2" s="25">
        <f t="shared" si="0"/>
        <v>2.5000000000000001E-2</v>
      </c>
      <c r="AF2" s="25">
        <f t="shared" si="0"/>
        <v>2.5999999999999999E-2</v>
      </c>
      <c r="AG2" s="25">
        <f t="shared" si="0"/>
        <v>2.7E-2</v>
      </c>
      <c r="AH2" s="25">
        <f t="shared" si="0"/>
        <v>2.8000000000000001E-2</v>
      </c>
      <c r="AI2" s="25">
        <f t="shared" si="0"/>
        <v>2.9000000000000001E-2</v>
      </c>
      <c r="AJ2" s="25">
        <f t="shared" si="0"/>
        <v>2.9000000000000001E-2</v>
      </c>
    </row>
    <row r="3" spans="1:36" x14ac:dyDescent="0.25">
      <c r="A3" s="3" t="s">
        <v>42</v>
      </c>
      <c r="B3" s="8">
        <v>0.2</v>
      </c>
      <c r="D3">
        <v>10</v>
      </c>
      <c r="E3" s="25">
        <f>1-((1-E2)^10)</f>
        <v>0</v>
      </c>
      <c r="F3" s="25">
        <f t="shared" ref="F3:Z3" si="1">1-((1-F2)^10)</f>
        <v>9.9551197902516542E-3</v>
      </c>
      <c r="G3" s="25">
        <f t="shared" si="1"/>
        <v>1.9820956648050503E-2</v>
      </c>
      <c r="H3" s="25">
        <f t="shared" si="1"/>
        <v>2.9598223051083061E-2</v>
      </c>
      <c r="I3" s="25">
        <f t="shared" si="1"/>
        <v>3.9287626497189754E-2</v>
      </c>
      <c r="J3" s="25">
        <f t="shared" si="1"/>
        <v>4.8889869534228025E-2</v>
      </c>
      <c r="K3" s="25">
        <f t="shared" si="1"/>
        <v>5.8405649789787573E-2</v>
      </c>
      <c r="L3" s="25">
        <f t="shared" si="1"/>
        <v>6.783566000075647E-2</v>
      </c>
      <c r="M3" s="25">
        <f t="shared" si="1"/>
        <v>7.7180588042736975E-2</v>
      </c>
      <c r="N3" s="25">
        <f t="shared" si="1"/>
        <v>8.6441116959317443E-2</v>
      </c>
      <c r="O3" s="25">
        <f t="shared" si="1"/>
        <v>9.5617924991195702E-2</v>
      </c>
      <c r="P3" s="25">
        <f t="shared" si="1"/>
        <v>0.10471168560515287</v>
      </c>
      <c r="Q3" s="25">
        <f t="shared" si="1"/>
        <v>0.11372306752288774</v>
      </c>
      <c r="R3" s="25">
        <f t="shared" si="1"/>
        <v>0.12265273474969962</v>
      </c>
      <c r="S3" s="25">
        <f t="shared" si="1"/>
        <v>0.13150134660302926</v>
      </c>
      <c r="T3" s="25">
        <f>1-((1-T2)^10)</f>
        <v>0.14026955774085692</v>
      </c>
      <c r="U3" s="25">
        <f t="shared" si="1"/>
        <v>0.14895801818995635</v>
      </c>
      <c r="V3" s="25">
        <f t="shared" si="1"/>
        <v>0.15756737337400273</v>
      </c>
      <c r="W3" s="25">
        <f t="shared" si="1"/>
        <v>0.1660982641415415</v>
      </c>
      <c r="X3" s="25">
        <f t="shared" si="1"/>
        <v>0.17455132679381646</v>
      </c>
      <c r="Y3" s="25">
        <f t="shared" si="1"/>
        <v>0.18292719311245342</v>
      </c>
      <c r="Z3" s="25">
        <f t="shared" si="1"/>
        <v>0.19122649038700312</v>
      </c>
      <c r="AA3" s="25">
        <f t="shared" ref="AA3" si="2">1-((1-AA2)^10)</f>
        <v>0.19944984144234978</v>
      </c>
      <c r="AB3" s="25">
        <f t="shared" ref="AB3" si="3">1-((1-AB2)^10)</f>
        <v>0.19944984144234978</v>
      </c>
      <c r="AC3" s="25">
        <f t="shared" ref="AC3" si="4">1-((1-AC2)^10)</f>
        <v>0.20759786466597252</v>
      </c>
      <c r="AD3" s="25">
        <f t="shared" ref="AD3" si="5">1-((1-AD2)^10)</f>
        <v>0.21567117403507274</v>
      </c>
      <c r="AE3" s="25">
        <f t="shared" ref="AE3" si="6">1-((1-AE2)^10)</f>
        <v>0.22367037914356247</v>
      </c>
      <c r="AF3" s="25">
        <f t="shared" ref="AF3" si="7">1-((1-AF2)^10)</f>
        <v>0.23159608522891328</v>
      </c>
      <c r="AG3" s="25">
        <f t="shared" ref="AG3:AH3" si="8">1-((1-AG2)^10)</f>
        <v>0.23944889319887064</v>
      </c>
      <c r="AH3" s="25">
        <f t="shared" si="8"/>
        <v>0.24722939965802815</v>
      </c>
      <c r="AI3" s="25">
        <f t="shared" ref="AI3:AJ3" si="9">1-((1-AI2)^10)</f>
        <v>0.25493819693426967</v>
      </c>
      <c r="AJ3" s="25">
        <f t="shared" si="9"/>
        <v>0.25493819693426967</v>
      </c>
    </row>
    <row r="4" spans="1:36" x14ac:dyDescent="0.25">
      <c r="A4" s="3" t="s">
        <v>39</v>
      </c>
      <c r="B4" s="8">
        <v>0.1</v>
      </c>
      <c r="D4">
        <v>-10</v>
      </c>
      <c r="E4" s="2">
        <f>1-E3</f>
        <v>1</v>
      </c>
      <c r="F4" s="2">
        <f t="shared" ref="F4:Z4" si="10">1-F3</f>
        <v>0.99004488020974835</v>
      </c>
      <c r="G4" s="2">
        <f t="shared" si="10"/>
        <v>0.9801790433519495</v>
      </c>
      <c r="H4" s="2">
        <f t="shared" si="10"/>
        <v>0.97040177694891694</v>
      </c>
      <c r="I4" s="2">
        <f t="shared" si="10"/>
        <v>0.96071237350281025</v>
      </c>
      <c r="J4" s="2">
        <f t="shared" si="10"/>
        <v>0.95111013046577197</v>
      </c>
      <c r="K4" s="2">
        <f t="shared" si="10"/>
        <v>0.94159435021021243</v>
      </c>
      <c r="L4" s="2">
        <f t="shared" si="10"/>
        <v>0.93216433999924353</v>
      </c>
      <c r="M4" s="2">
        <f t="shared" si="10"/>
        <v>0.92281941195726302</v>
      </c>
      <c r="N4" s="2">
        <f t="shared" si="10"/>
        <v>0.91355888304068256</v>
      </c>
      <c r="O4" s="2">
        <f t="shared" si="10"/>
        <v>0.9043820750088043</v>
      </c>
      <c r="P4" s="2">
        <f t="shared" si="10"/>
        <v>0.89528831439484713</v>
      </c>
      <c r="Q4" s="2">
        <f t="shared" si="10"/>
        <v>0.88627693247711226</v>
      </c>
      <c r="R4" s="2">
        <f t="shared" si="10"/>
        <v>0.87734726525030038</v>
      </c>
      <c r="S4" s="2">
        <f t="shared" si="10"/>
        <v>0.86849865339697074</v>
      </c>
      <c r="T4" s="2">
        <f t="shared" si="10"/>
        <v>0.85973044225914308</v>
      </c>
      <c r="U4" s="2">
        <f t="shared" si="10"/>
        <v>0.85104198181004365</v>
      </c>
      <c r="V4" s="2">
        <f t="shared" si="10"/>
        <v>0.84243262662599727</v>
      </c>
      <c r="W4" s="2">
        <f t="shared" si="10"/>
        <v>0.8339017358584585</v>
      </c>
      <c r="X4" s="2">
        <f t="shared" si="10"/>
        <v>0.82544867320618354</v>
      </c>
      <c r="Y4" s="2">
        <f t="shared" si="10"/>
        <v>0.81707280688754658</v>
      </c>
      <c r="Z4" s="2">
        <f t="shared" si="10"/>
        <v>0.80877350961299688</v>
      </c>
      <c r="AA4" s="2">
        <f t="shared" ref="AA4" si="11">1-AA3</f>
        <v>0.80055015855765022</v>
      </c>
      <c r="AB4" s="2">
        <f t="shared" ref="AB4" si="12">1-AB3</f>
        <v>0.80055015855765022</v>
      </c>
      <c r="AC4" s="2">
        <f t="shared" ref="AC4" si="13">1-AC3</f>
        <v>0.79240213533402748</v>
      </c>
      <c r="AD4" s="2">
        <f t="shared" ref="AD4" si="14">1-AD3</f>
        <v>0.78432882596492726</v>
      </c>
      <c r="AE4" s="2">
        <f t="shared" ref="AE4" si="15">1-AE3</f>
        <v>0.77632962085643753</v>
      </c>
      <c r="AF4" s="2">
        <f t="shared" ref="AF4" si="16">1-AF3</f>
        <v>0.76840391477108672</v>
      </c>
      <c r="AG4" s="2">
        <f t="shared" ref="AG4:AH4" si="17">1-AG3</f>
        <v>0.76055110680112936</v>
      </c>
      <c r="AH4" s="2">
        <f t="shared" si="17"/>
        <v>0.75277060034197185</v>
      </c>
      <c r="AI4" s="2">
        <f t="shared" ref="AI4:AJ4" si="18">1-AI3</f>
        <v>0.74506180306573033</v>
      </c>
      <c r="AJ4" s="2">
        <f t="shared" si="18"/>
        <v>0.74506180306573033</v>
      </c>
    </row>
    <row r="5" spans="1:36" x14ac:dyDescent="0.25">
      <c r="A5" s="3" t="s">
        <v>43</v>
      </c>
      <c r="B5" s="3">
        <v>0.01</v>
      </c>
      <c r="D5" t="s">
        <v>45</v>
      </c>
      <c r="E5" s="25">
        <f>PRODUCT($E$4:E4)</f>
        <v>1</v>
      </c>
      <c r="F5" s="25">
        <f>PRODUCT($E$4:E4)</f>
        <v>1</v>
      </c>
      <c r="G5" s="25">
        <f>PRODUCT($E$4:F4)</f>
        <v>0.99004488020974835</v>
      </c>
      <c r="H5" s="25">
        <f>PRODUCT($E$4:G4)</f>
        <v>0.97042124355948656</v>
      </c>
      <c r="I5" s="25">
        <f>PRODUCT($E$4:H4)</f>
        <v>0.94169849913910342</v>
      </c>
      <c r="J5" s="25">
        <f>PRODUCT($E$4:I4)</f>
        <v>0.90470140023196211</v>
      </c>
      <c r="K5" s="25">
        <f>PRODUCT($E$4:J4)</f>
        <v>0.86047066680718809</v>
      </c>
      <c r="L5" s="25">
        <f>PRODUCT($E$4:K4)</f>
        <v>0.81021431838726243</v>
      </c>
      <c r="M5" s="25">
        <f>PRODUCT($E$4:L4)</f>
        <v>0.75525289535739948</v>
      </c>
      <c r="N5" s="25">
        <f>PRODUCT($E$4:M4)</f>
        <v>0.69696203277273572</v>
      </c>
      <c r="O5" s="25">
        <f>PRODUCT($E$4:N4)</f>
        <v>0.63671585618162407</v>
      </c>
      <c r="P5" s="25">
        <f>PRODUCT($E$4:O4)</f>
        <v>0.5758344072045446</v>
      </c>
      <c r="Q5" s="25">
        <f>PRODUCT($E$4:P4)</f>
        <v>0.51553781579671276</v>
      </c>
      <c r="R5" s="25">
        <f>PRODUCT($E$4:Q4)</f>
        <v>0.45690927396026115</v>
      </c>
      <c r="S5" s="25">
        <f>PRODUCT($E$4:R4)</f>
        <v>0.40086810197653538</v>
      </c>
      <c r="T5" s="25">
        <f>PRODUCT($E$4:S4)</f>
        <v>0.34815340675642054</v>
      </c>
      <c r="U5" s="25">
        <f>PRODUCT($E$4:T4)</f>
        <v>0.29931808236472474</v>
      </c>
      <c r="V5" s="25">
        <f>PRODUCT($E$4:U4)</f>
        <v>0.25473225400725724</v>
      </c>
      <c r="W5" s="25">
        <f>PRODUCT($E$4:V4)</f>
        <v>0.21459476182969445</v>
      </c>
      <c r="X5" s="25">
        <f>PRODUCT($E$4:W4)</f>
        <v>0.17895094439591466</v>
      </c>
      <c r="Y5" s="25">
        <f>PRODUCT($E$4:X4)</f>
        <v>0.14771481962060129</v>
      </c>
      <c r="Z5" s="25">
        <f>PRODUCT($E$4:Y4)</f>
        <v>0.12069376228629233</v>
      </c>
      <c r="AA5" s="25">
        <f>PRODUCT($E$4:Z4)</f>
        <v>9.7613917712681408E-2</v>
      </c>
      <c r="AB5" s="25">
        <f>PRODUCT($E$4:AA4)</f>
        <v>7.8144837302320524E-2</v>
      </c>
      <c r="AC5" s="25">
        <f>PRODUCT($E$4:AB4)</f>
        <v>6.255886189283448E-2</v>
      </c>
      <c r="AD5" s="25">
        <f>PRODUCT($E$4:AC4)</f>
        <v>4.9571775747948563E-2</v>
      </c>
      <c r="AE5" s="25">
        <f>PRODUCT($E$4:AD4)</f>
        <v>3.8880572673385148E-2</v>
      </c>
      <c r="AF5" s="25">
        <f>PRODUCT($E$4:AE4)</f>
        <v>3.0184140242210257E-2</v>
      </c>
      <c r="AG5" s="25">
        <f>PRODUCT($E$4:AF4)</f>
        <v>2.319361152611386E-2</v>
      </c>
      <c r="AH5" s="25">
        <f>PRODUCT($E$4:AG4)</f>
        <v>1.7639926916901326E-2</v>
      </c>
      <c r="AI5" s="25">
        <f>PRODUCT($E$4:AH4)</f>
        <v>1.327881837522432E-2</v>
      </c>
      <c r="AJ5" s="25">
        <f>PRODUCT($E$4:AI4)</f>
        <v>9.8935403612269834E-3</v>
      </c>
    </row>
    <row r="6" spans="1:36" x14ac:dyDescent="0.25">
      <c r="AJ6" s="25"/>
    </row>
    <row r="7" spans="1:36" x14ac:dyDescent="0.25">
      <c r="E7" s="2">
        <f>E5-F5</f>
        <v>0</v>
      </c>
      <c r="F7" s="2">
        <f t="shared" ref="F7:AI7" si="19">F5-G5</f>
        <v>9.9551197902516542E-3</v>
      </c>
      <c r="G7" s="2">
        <f t="shared" si="19"/>
        <v>1.9623636650261789E-2</v>
      </c>
      <c r="H7" s="2">
        <f t="shared" si="19"/>
        <v>2.8722744420383139E-2</v>
      </c>
      <c r="I7" s="2">
        <f t="shared" si="19"/>
        <v>3.6997098907141313E-2</v>
      </c>
      <c r="J7" s="2">
        <f t="shared" si="19"/>
        <v>4.4230733424774016E-2</v>
      </c>
      <c r="K7" s="2">
        <f t="shared" si="19"/>
        <v>5.0256348419925656E-2</v>
      </c>
      <c r="L7" s="2">
        <f t="shared" si="19"/>
        <v>5.4961423029862955E-2</v>
      </c>
      <c r="M7" s="2">
        <f t="shared" si="19"/>
        <v>5.8290862584663761E-2</v>
      </c>
      <c r="N7" s="2">
        <f t="shared" si="19"/>
        <v>6.0246176591111644E-2</v>
      </c>
      <c r="O7" s="2">
        <f t="shared" si="19"/>
        <v>6.0881448977079478E-2</v>
      </c>
      <c r="P7" s="2">
        <f t="shared" si="19"/>
        <v>6.0296591407831834E-2</v>
      </c>
      <c r="Q7" s="2">
        <f t="shared" si="19"/>
        <v>5.8628541836451609E-2</v>
      </c>
      <c r="R7" s="2">
        <f t="shared" si="19"/>
        <v>5.6041171983725768E-2</v>
      </c>
      <c r="S7" s="2">
        <f t="shared" si="19"/>
        <v>5.2714695220114849E-2</v>
      </c>
      <c r="T7" s="2">
        <f t="shared" si="19"/>
        <v>4.88353243916958E-2</v>
      </c>
      <c r="U7" s="2">
        <f t="shared" si="19"/>
        <v>4.4585828357467494E-2</v>
      </c>
      <c r="V7" s="2">
        <f t="shared" si="19"/>
        <v>4.0137492177562795E-2</v>
      </c>
      <c r="W7" s="2">
        <f t="shared" si="19"/>
        <v>3.5643817433779784E-2</v>
      </c>
      <c r="X7" s="2">
        <f t="shared" si="19"/>
        <v>3.1236124775313373E-2</v>
      </c>
      <c r="Y7" s="2">
        <f t="shared" si="19"/>
        <v>2.7021057334308957E-2</v>
      </c>
      <c r="Z7" s="2">
        <f t="shared" si="19"/>
        <v>2.3079844573610925E-2</v>
      </c>
      <c r="AA7" s="2">
        <f t="shared" si="19"/>
        <v>1.9469080410360884E-2</v>
      </c>
      <c r="AB7" s="2">
        <f t="shared" si="19"/>
        <v>1.5585975409486044E-2</v>
      </c>
      <c r="AC7" s="2">
        <f t="shared" si="19"/>
        <v>1.2987086144885918E-2</v>
      </c>
      <c r="AD7" s="2">
        <f t="shared" si="19"/>
        <v>1.0691203074563414E-2</v>
      </c>
      <c r="AE7" s="2">
        <f t="shared" si="19"/>
        <v>8.6964324311748914E-3</v>
      </c>
      <c r="AF7" s="2">
        <f t="shared" si="19"/>
        <v>6.9905287160963968E-3</v>
      </c>
      <c r="AG7" s="2">
        <f t="shared" si="19"/>
        <v>5.5536846092125343E-3</v>
      </c>
      <c r="AH7" s="2">
        <f t="shared" si="19"/>
        <v>4.361108541677006E-3</v>
      </c>
      <c r="AI7" s="2">
        <f t="shared" si="19"/>
        <v>3.3852780139973365E-3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1594-8D3E-489F-BDC2-402FECB14F0E}">
  <dimension ref="A1:O29"/>
  <sheetViews>
    <sheetView workbookViewId="0">
      <selection activeCell="B30" sqref="B30"/>
    </sheetView>
  </sheetViews>
  <sheetFormatPr defaultRowHeight="15" x14ac:dyDescent="0.25"/>
  <cols>
    <col min="2" max="2" width="18" bestFit="1" customWidth="1"/>
    <col min="4" max="5" width="16.85546875" bestFit="1" customWidth="1"/>
    <col min="6" max="6" width="17.42578125" bestFit="1" customWidth="1"/>
    <col min="15" max="15" width="9.5703125" bestFit="1" customWidth="1"/>
  </cols>
  <sheetData>
    <row r="1" spans="1:15" x14ac:dyDescent="0.25">
      <c r="A1" s="3"/>
      <c r="B1" s="3" t="s">
        <v>32</v>
      </c>
      <c r="C1" s="3" t="s">
        <v>33</v>
      </c>
      <c r="D1" s="3" t="s">
        <v>39</v>
      </c>
      <c r="E1" s="21" t="s">
        <v>24</v>
      </c>
    </row>
    <row r="2" spans="1:15" x14ac:dyDescent="0.25">
      <c r="A2" s="3" t="s">
        <v>52</v>
      </c>
      <c r="B2" s="8">
        <v>0.3</v>
      </c>
      <c r="C2" s="8">
        <v>0</v>
      </c>
      <c r="D2" s="8">
        <v>0</v>
      </c>
      <c r="E2" s="10"/>
      <c r="G2" s="7">
        <f t="shared" ref="G2:G9" si="0">1-(1-D2)^5</f>
        <v>0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</row>
    <row r="3" spans="1:15" x14ac:dyDescent="0.25">
      <c r="A3" s="3" t="s">
        <v>46</v>
      </c>
      <c r="B3" s="8">
        <v>0.06</v>
      </c>
      <c r="C3" s="8">
        <v>0.1</v>
      </c>
      <c r="D3" s="8">
        <v>0.14000000000000001</v>
      </c>
      <c r="E3" s="10"/>
      <c r="G3" s="7">
        <f t="shared" si="0"/>
        <v>0.52957298240000017</v>
      </c>
      <c r="I3" s="26">
        <f t="shared" ref="I3:N3" si="1">_xlfn.BINOM.DIST(I2,$N$2,$D$3,FALSE)</f>
        <v>0.47042701759999994</v>
      </c>
      <c r="J3" s="26">
        <f t="shared" si="1"/>
        <v>0.38290571200000001</v>
      </c>
      <c r="K3" s="26">
        <f t="shared" si="1"/>
        <v>0.12466697600000003</v>
      </c>
      <c r="L3" s="26">
        <f t="shared" si="1"/>
        <v>2.0294624000000004E-2</v>
      </c>
      <c r="M3" s="26">
        <f t="shared" si="1"/>
        <v>1.651888000000002E-3</v>
      </c>
      <c r="N3" s="26">
        <f t="shared" si="1"/>
        <v>5.3782400000000043E-5</v>
      </c>
    </row>
    <row r="4" spans="1:15" x14ac:dyDescent="0.25">
      <c r="A4" s="3" t="s">
        <v>47</v>
      </c>
      <c r="B4" s="8">
        <v>0.14000000000000001</v>
      </c>
      <c r="C4" s="8">
        <v>0.3</v>
      </c>
      <c r="D4" s="8">
        <v>0</v>
      </c>
      <c r="E4" s="10"/>
      <c r="G4" s="7">
        <f t="shared" si="0"/>
        <v>0</v>
      </c>
      <c r="I4">
        <f>I2*I3</f>
        <v>0</v>
      </c>
      <c r="J4">
        <f t="shared" ref="J4:N4" si="2">J2*J3</f>
        <v>0.38290571200000001</v>
      </c>
      <c r="K4">
        <f t="shared" si="2"/>
        <v>0.24933395200000005</v>
      </c>
      <c r="L4">
        <f t="shared" si="2"/>
        <v>6.0883872000000012E-2</v>
      </c>
      <c r="M4">
        <f t="shared" si="2"/>
        <v>6.6075520000000078E-3</v>
      </c>
      <c r="N4">
        <f t="shared" si="2"/>
        <v>2.6891200000000022E-4</v>
      </c>
      <c r="O4" s="27">
        <f>SUM(I4:N4)</f>
        <v>0.70000000000000007</v>
      </c>
    </row>
    <row r="5" spans="1:15" x14ac:dyDescent="0.25">
      <c r="A5" s="3" t="s">
        <v>48</v>
      </c>
      <c r="B5" s="8">
        <v>0</v>
      </c>
      <c r="C5" s="8">
        <v>0.05</v>
      </c>
      <c r="D5" s="8">
        <v>0.04</v>
      </c>
      <c r="E5" s="32">
        <v>100</v>
      </c>
      <c r="G5" s="7">
        <f t="shared" si="0"/>
        <v>0.18462730240000003</v>
      </c>
    </row>
    <row r="6" spans="1:15" x14ac:dyDescent="0.25">
      <c r="A6" s="3" t="s">
        <v>33</v>
      </c>
      <c r="B6" s="8">
        <v>0.2</v>
      </c>
      <c r="C6" s="8">
        <v>0</v>
      </c>
      <c r="D6" s="8">
        <v>0</v>
      </c>
      <c r="G6" s="7">
        <f t="shared" si="0"/>
        <v>0</v>
      </c>
    </row>
    <row r="7" spans="1:15" x14ac:dyDescent="0.25">
      <c r="A7" s="3" t="s">
        <v>49</v>
      </c>
      <c r="B7" s="8">
        <v>0.1</v>
      </c>
      <c r="C7" s="8">
        <v>0.2</v>
      </c>
      <c r="D7" s="8">
        <v>0.28000000000000003</v>
      </c>
      <c r="G7" s="7">
        <f t="shared" si="0"/>
        <v>0.80650823680000006</v>
      </c>
    </row>
    <row r="8" spans="1:15" x14ac:dyDescent="0.25">
      <c r="A8" s="3" t="s">
        <v>50</v>
      </c>
      <c r="B8" s="8">
        <v>0.05</v>
      </c>
      <c r="C8" s="8">
        <v>0.1</v>
      </c>
      <c r="D8" s="8">
        <v>0.27</v>
      </c>
      <c r="G8" s="7">
        <f t="shared" si="0"/>
        <v>0.79269284070000001</v>
      </c>
    </row>
    <row r="9" spans="1:15" x14ac:dyDescent="0.25">
      <c r="A9" s="3" t="s">
        <v>51</v>
      </c>
      <c r="B9" s="8">
        <v>0.15</v>
      </c>
      <c r="C9" s="8">
        <v>0.25</v>
      </c>
      <c r="D9" s="8">
        <v>0.27</v>
      </c>
      <c r="G9" s="7">
        <f t="shared" si="0"/>
        <v>0.79269284070000001</v>
      </c>
    </row>
    <row r="10" spans="1:15" x14ac:dyDescent="0.25">
      <c r="B10" s="7">
        <f>SUM(B2:B9)</f>
        <v>1</v>
      </c>
      <c r="C10" s="7">
        <f>SUM(C2:C9)</f>
        <v>1</v>
      </c>
      <c r="D10" s="7">
        <f>SUM(D2:D9)</f>
        <v>1</v>
      </c>
    </row>
    <row r="13" spans="1:15" x14ac:dyDescent="0.25">
      <c r="A13" s="3"/>
      <c r="B13" s="3" t="s">
        <v>53</v>
      </c>
      <c r="C13" s="3" t="s">
        <v>7</v>
      </c>
      <c r="D13" s="33"/>
      <c r="E13" s="34">
        <f>B6*B14</f>
        <v>0.15000000000000002</v>
      </c>
      <c r="F13" s="36">
        <f>B3</f>
        <v>0.06</v>
      </c>
    </row>
    <row r="14" spans="1:15" x14ac:dyDescent="0.25">
      <c r="A14" s="3" t="s">
        <v>33</v>
      </c>
      <c r="B14" s="8">
        <v>0.75</v>
      </c>
      <c r="C14" s="8">
        <v>0.5</v>
      </c>
      <c r="D14" s="10" t="s">
        <v>54</v>
      </c>
      <c r="E14" s="39">
        <f>E13-SUM(F13:F15)</f>
        <v>0</v>
      </c>
      <c r="F14" s="37">
        <f>B6*C3</f>
        <v>2.0000000000000004E-2</v>
      </c>
    </row>
    <row r="15" spans="1:15" x14ac:dyDescent="0.25">
      <c r="A15" s="3"/>
      <c r="B15" s="3"/>
      <c r="C15" s="3"/>
      <c r="D15" s="35"/>
      <c r="E15" s="35"/>
      <c r="F15" s="38">
        <f>Комнаты!B4*O4</f>
        <v>7.0000000000000007E-2</v>
      </c>
    </row>
    <row r="17" spans="1:9" x14ac:dyDescent="0.25">
      <c r="A17" s="3">
        <v>0</v>
      </c>
      <c r="B17" s="28" t="s">
        <v>24</v>
      </c>
      <c r="C17" s="28"/>
      <c r="D17" s="28"/>
      <c r="F17" s="20"/>
    </row>
    <row r="18" spans="1:9" x14ac:dyDescent="0.25">
      <c r="A18" s="3"/>
      <c r="B18" s="3" t="s">
        <v>12</v>
      </c>
      <c r="C18" s="3" t="s">
        <v>10</v>
      </c>
      <c r="D18" s="3" t="s">
        <v>11</v>
      </c>
    </row>
    <row r="19" spans="1:9" x14ac:dyDescent="0.25">
      <c r="A19" s="3" t="s">
        <v>47</v>
      </c>
      <c r="B19" s="6">
        <f>ROUND(Оружие!B4*Оружие!C4/10,0)</f>
        <v>11</v>
      </c>
      <c r="C19" s="6">
        <f>$B19*(1-Баланс!$B$1)</f>
        <v>8.8000000000000007</v>
      </c>
      <c r="D19" s="6">
        <f>$B19*(1+Баланс!$B$1)</f>
        <v>13.2</v>
      </c>
      <c r="E19" s="10"/>
      <c r="G19" t="s">
        <v>55</v>
      </c>
    </row>
    <row r="20" spans="1:9" x14ac:dyDescent="0.25">
      <c r="A20" s="3" t="s">
        <v>46</v>
      </c>
      <c r="B20" s="6">
        <f>((C4*B19+C5*E5+C7*G20+C8*H20+C9*I20)*1.1)*3/2</f>
        <v>35.355223200000005</v>
      </c>
      <c r="C20" s="6">
        <f>$B20*(1-Баланс!$B$1)</f>
        <v>28.284178560000004</v>
      </c>
      <c r="D20" s="6">
        <f>$B20*(1+Баланс!$B$1)</f>
        <v>42.426267840000001</v>
      </c>
      <c r="G20" s="6">
        <f>SUM(G21:G26)</f>
        <v>22.23864</v>
      </c>
      <c r="H20" s="6">
        <f t="shared" ref="H20:I20" si="3">SUM(H21:H26)</f>
        <v>6.7968000000000011</v>
      </c>
      <c r="I20" s="6">
        <f t="shared" si="3"/>
        <v>32</v>
      </c>
    </row>
    <row r="21" spans="1:9" x14ac:dyDescent="0.25">
      <c r="G21" s="40">
        <f>AVERAGE(Оружие!H4*Оружие!K4)</f>
        <v>2.8800000000000003</v>
      </c>
      <c r="H21" s="40">
        <f>Броня!H3*Броня!K3</f>
        <v>0</v>
      </c>
      <c r="I21" s="40">
        <f>Хил!H3*Хил!K3</f>
        <v>0</v>
      </c>
    </row>
    <row r="22" spans="1:9" x14ac:dyDescent="0.25">
      <c r="A22" s="3">
        <v>100</v>
      </c>
      <c r="B22" s="28" t="s">
        <v>24</v>
      </c>
      <c r="C22" s="28"/>
      <c r="D22" s="28"/>
      <c r="G22" s="40">
        <f>AVERAGE(Оружие!H5*Оружие!K5)</f>
        <v>4.4099999999999993</v>
      </c>
      <c r="H22" s="40">
        <f>Броня!H4*Броня!K4</f>
        <v>1.6896000000000004</v>
      </c>
      <c r="I22" s="40">
        <f>Хил!H4*Хил!K4</f>
        <v>14.399999999999999</v>
      </c>
    </row>
    <row r="23" spans="1:9" x14ac:dyDescent="0.25">
      <c r="A23" s="3"/>
      <c r="B23" s="3" t="s">
        <v>12</v>
      </c>
      <c r="C23" s="3" t="s">
        <v>10</v>
      </c>
      <c r="D23" s="3" t="s">
        <v>11</v>
      </c>
      <c r="G23" s="40">
        <f>AVERAGE(Оружие!H6*Оружие!K6)</f>
        <v>2.2050000000000001</v>
      </c>
      <c r="H23" s="40">
        <f>Броня!H5*Броня!K5</f>
        <v>1.7280000000000004</v>
      </c>
      <c r="I23" s="40">
        <f>Хил!H5*Хил!K5</f>
        <v>15.6</v>
      </c>
    </row>
    <row r="24" spans="1:9" x14ac:dyDescent="0.25">
      <c r="A24" s="3" t="s">
        <v>47</v>
      </c>
      <c r="B24" s="6">
        <f>(1+(Баланс!$B$2 *$A$22))*B19</f>
        <v>22</v>
      </c>
      <c r="C24" s="6">
        <f>$B24*(1-Баланс!$B$1)</f>
        <v>17.600000000000001</v>
      </c>
      <c r="D24" s="6">
        <f>$B24*(1+Баланс!$B$1)</f>
        <v>26.4</v>
      </c>
      <c r="G24" s="40">
        <f>AVERAGE(Оружие!H7*Оружие!K7)</f>
        <v>0.36864000000000008</v>
      </c>
      <c r="H24" s="40">
        <f>Броня!H6*Броня!K6</f>
        <v>1.7203200000000005</v>
      </c>
      <c r="I24" s="40">
        <f>Хил!H6*Хил!K6</f>
        <v>2</v>
      </c>
    </row>
    <row r="25" spans="1:9" x14ac:dyDescent="0.25">
      <c r="A25" s="3" t="s">
        <v>46</v>
      </c>
      <c r="B25" s="6">
        <f>(1+(Баланс!$B$2 *$A$22))*B20</f>
        <v>70.710446400000009</v>
      </c>
      <c r="C25" s="6">
        <f>$B25*(1-Баланс!$B$1)</f>
        <v>56.568357120000009</v>
      </c>
      <c r="D25" s="6">
        <f>$B25*(1+Баланс!$B$1)</f>
        <v>84.852535680000003</v>
      </c>
      <c r="G25" s="40">
        <f>AVERAGE(Оружие!H8*Оружие!K8)</f>
        <v>8.25</v>
      </c>
      <c r="H25" s="40">
        <f>Броня!H7*Броня!K7</f>
        <v>1.6588800000000004</v>
      </c>
      <c r="I25" s="40"/>
    </row>
    <row r="26" spans="1:9" x14ac:dyDescent="0.25">
      <c r="G26" s="40">
        <f>AVERAGE(Оружие!H9*Оружие!K9)</f>
        <v>4.125</v>
      </c>
      <c r="H26" s="40"/>
      <c r="I26" s="40"/>
    </row>
    <row r="27" spans="1:9" x14ac:dyDescent="0.25">
      <c r="B27" t="s">
        <v>56</v>
      </c>
    </row>
    <row r="28" spans="1:9" x14ac:dyDescent="0.25">
      <c r="A28" s="3" t="s">
        <v>47</v>
      </c>
      <c r="B28" t="str">
        <f>"y="&amp;(B24-B19)/$A$22&amp;"x+"&amp;B19</f>
        <v>y=0,11x+11</v>
      </c>
    </row>
    <row r="29" spans="1:9" x14ac:dyDescent="0.25">
      <c r="A29" s="3" t="s">
        <v>46</v>
      </c>
      <c r="B29" t="str">
        <f>"y="&amp;ROUND((B25-B20)/$A$22,5)&amp;"x+"&amp;ROUND(B20,0)</f>
        <v>y=0,35355x+35</v>
      </c>
    </row>
  </sheetData>
  <mergeCells count="2">
    <mergeCell ref="B17:D17"/>
    <mergeCell ref="B22:D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34A5-E026-47EB-BBDA-E748A36D966E}">
  <dimension ref="A1:Y44"/>
  <sheetViews>
    <sheetView zoomScale="85" zoomScaleNormal="85" workbookViewId="0">
      <selection activeCell="N2" sqref="N2"/>
    </sheetView>
  </sheetViews>
  <sheetFormatPr defaultRowHeight="15" x14ac:dyDescent="0.25"/>
  <cols>
    <col min="1" max="4" width="9.7109375" bestFit="1" customWidth="1"/>
    <col min="5" max="5" width="12.5703125" bestFit="1" customWidth="1"/>
    <col min="6" max="8" width="9.7109375" bestFit="1" customWidth="1"/>
    <col min="9" max="12" width="9.28515625" bestFit="1" customWidth="1"/>
    <col min="13" max="13" width="9.85546875" bestFit="1" customWidth="1"/>
    <col min="14" max="18" width="9.7109375" bestFit="1" customWidth="1"/>
    <col min="19" max="19" width="22.42578125" bestFit="1" customWidth="1"/>
    <col min="20" max="20" width="6" bestFit="1" customWidth="1"/>
    <col min="21" max="21" width="33.140625" bestFit="1" customWidth="1"/>
    <col min="22" max="22" width="6" bestFit="1" customWidth="1"/>
    <col min="23" max="23" width="15.140625" bestFit="1" customWidth="1"/>
    <col min="24" max="24" width="34.5703125" bestFit="1" customWidth="1"/>
  </cols>
  <sheetData>
    <row r="1" spans="1:25" x14ac:dyDescent="0.25">
      <c r="A1" s="3">
        <v>0</v>
      </c>
      <c r="B1" s="28" t="s">
        <v>12</v>
      </c>
      <c r="C1" s="28"/>
      <c r="D1" s="28"/>
      <c r="E1" s="28"/>
      <c r="F1" s="5" t="s">
        <v>0</v>
      </c>
      <c r="G1" s="5"/>
      <c r="H1" s="5" t="s">
        <v>8</v>
      </c>
      <c r="I1" s="5"/>
      <c r="J1" s="5" t="s">
        <v>9</v>
      </c>
      <c r="K1" s="5"/>
      <c r="N1" s="41">
        <v>0</v>
      </c>
      <c r="O1" s="41">
        <v>10</v>
      </c>
      <c r="P1" s="41">
        <v>100</v>
      </c>
      <c r="Q1" s="42">
        <v>200</v>
      </c>
      <c r="V1" s="10"/>
      <c r="W1" s="10"/>
      <c r="X1" s="10"/>
      <c r="Y1" s="10"/>
    </row>
    <row r="2" spans="1:25" x14ac:dyDescent="0.25">
      <c r="A2" s="3"/>
      <c r="B2" s="5" t="s">
        <v>0</v>
      </c>
      <c r="C2" s="5" t="s">
        <v>8</v>
      </c>
      <c r="D2" s="3" t="s">
        <v>9</v>
      </c>
      <c r="E2" s="3" t="s">
        <v>13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10</v>
      </c>
      <c r="K2" s="3" t="s">
        <v>11</v>
      </c>
      <c r="M2" s="3" t="s">
        <v>52</v>
      </c>
      <c r="N2" s="8">
        <v>0.6</v>
      </c>
      <c r="O2" s="8">
        <v>0.56000000000000005</v>
      </c>
      <c r="P2" s="8">
        <v>0.2</v>
      </c>
      <c r="Q2" s="8">
        <v>0.2</v>
      </c>
      <c r="S2" t="str">
        <f>"y="&amp;(P2-N2)&amp;"x"&amp;"+"&amp;N2*100</f>
        <v>y=-0,4x+60</v>
      </c>
      <c r="T2" s="1" t="s">
        <v>14</v>
      </c>
      <c r="U2" t="str">
        <f>"у=20, при x&gt;=100"</f>
        <v>у=20, при x&gt;=100</v>
      </c>
      <c r="X2" s="11"/>
      <c r="Y2" s="11"/>
    </row>
    <row r="3" spans="1:25" x14ac:dyDescent="0.25">
      <c r="A3" s="3" t="s">
        <v>2</v>
      </c>
      <c r="B3" s="6">
        <f>Игрок!$B$1*0.2</f>
        <v>20</v>
      </c>
      <c r="C3" s="6">
        <f>Игрок!$B$1*0.1</f>
        <v>10</v>
      </c>
      <c r="D3" s="6">
        <f>B3*0.1</f>
        <v>2</v>
      </c>
      <c r="E3" s="8">
        <f>0.6</f>
        <v>0.6</v>
      </c>
      <c r="F3" s="6">
        <f>$B3*(1-Баланс!$B$1)</f>
        <v>16</v>
      </c>
      <c r="G3" s="6">
        <f>$B3*(1+Баланс!$B$1)</f>
        <v>24</v>
      </c>
      <c r="H3" s="6">
        <f>$C3*(1-Баланс!$B$1)</f>
        <v>8</v>
      </c>
      <c r="I3" s="6">
        <f>$C3*(1+Баланс!$B$1)</f>
        <v>12</v>
      </c>
      <c r="J3" s="6">
        <f>$D3*(1-Баланс!$B$1)</f>
        <v>1.6</v>
      </c>
      <c r="K3" s="6">
        <f>$D3*(1+Баланс!$B$1)</f>
        <v>2.4</v>
      </c>
      <c r="M3" s="3" t="s">
        <v>2</v>
      </c>
      <c r="N3" s="8">
        <v>0.24</v>
      </c>
      <c r="O3" s="8">
        <v>0.18</v>
      </c>
      <c r="P3" s="8">
        <v>-0.24</v>
      </c>
      <c r="Q3" s="24"/>
      <c r="S3" t="str">
        <f>"y="&amp;(P3-N3)&amp;"x"&amp;"+"&amp;N3*100</f>
        <v>y=-0,48x+24</v>
      </c>
      <c r="T3" s="9"/>
      <c r="W3" s="10"/>
      <c r="X3" s="11"/>
      <c r="Y3" s="11"/>
    </row>
    <row r="4" spans="1:25" x14ac:dyDescent="0.25">
      <c r="A4" s="3" t="s">
        <v>3</v>
      </c>
      <c r="B4" s="6">
        <f>Игрок!$B$1*0.1</f>
        <v>10</v>
      </c>
      <c r="C4" s="6">
        <f>Игрок!$B$1*0.2</f>
        <v>20</v>
      </c>
      <c r="D4" s="6">
        <f>B4*0.1</f>
        <v>1</v>
      </c>
      <c r="E4" s="8">
        <f>0.3</f>
        <v>0.3</v>
      </c>
      <c r="F4" s="6">
        <f>$B4*(1-Баланс!$B$1)</f>
        <v>8</v>
      </c>
      <c r="G4" s="6">
        <f>$B4*(1+Баланс!$B$1)</f>
        <v>12</v>
      </c>
      <c r="H4" s="6">
        <f>$C4*(1-Баланс!$B$1)</f>
        <v>16</v>
      </c>
      <c r="I4" s="6">
        <f>$C4*(1+Баланс!$B$1)</f>
        <v>24</v>
      </c>
      <c r="J4" s="6">
        <f>$D4*(1-Баланс!$B$1)</f>
        <v>0.8</v>
      </c>
      <c r="K4" s="6">
        <f>$D4*(1+Баланс!$B$1)</f>
        <v>1.2</v>
      </c>
      <c r="M4" s="3" t="s">
        <v>3</v>
      </c>
      <c r="N4" s="8">
        <v>0.12</v>
      </c>
      <c r="O4" s="8">
        <v>0.15</v>
      </c>
      <c r="P4" s="8">
        <v>-0.1</v>
      </c>
      <c r="Q4" s="24"/>
      <c r="S4" t="str">
        <f>"y="&amp;(O4-N4)*O1&amp;"x"&amp;"+"&amp;N4*100&amp;" при 0&gt;x&lt;10"</f>
        <v>y=0,3x+12 при 0&gt;x&lt;10</v>
      </c>
      <c r="T4" s="1" t="s">
        <v>14</v>
      </c>
      <c r="U4" t="str">
        <f>"y="&amp;ROUND((P4-O4)/(P1-O1)*100,5)&amp;"(x-"&amp;O1&amp;")"&amp;"+"&amp;O4*100&amp;" при 10&lt;=x&lt;100"</f>
        <v>y=-0,27778(x-10)+15 при 10&lt;=x&lt;100</v>
      </c>
      <c r="V4" s="1"/>
      <c r="X4" s="11"/>
      <c r="Y4" s="11"/>
    </row>
    <row r="5" spans="1:25" x14ac:dyDescent="0.25">
      <c r="A5" s="3" t="s">
        <v>4</v>
      </c>
      <c r="B5" s="6">
        <f>Игрок!$B$1*0.5</f>
        <v>50</v>
      </c>
      <c r="C5" s="6">
        <f>Игрок!$B$1*0.05</f>
        <v>5</v>
      </c>
      <c r="D5" s="6">
        <f>B5*0.05</f>
        <v>2.5</v>
      </c>
      <c r="E5" s="8">
        <f>0.1</f>
        <v>0.1</v>
      </c>
      <c r="F5" s="6">
        <f>$B5*(1-Баланс!$B$1)</f>
        <v>40</v>
      </c>
      <c r="G5" s="6">
        <f>$B5*(1+Баланс!$B$1)</f>
        <v>60</v>
      </c>
      <c r="H5" s="6">
        <f>$C5*(1-Баланс!$B$1)</f>
        <v>4</v>
      </c>
      <c r="I5" s="6">
        <f>$C5*(1+Баланс!$B$1)</f>
        <v>6</v>
      </c>
      <c r="J5" s="6">
        <f>$D5*(1-Баланс!$B$1)</f>
        <v>2</v>
      </c>
      <c r="K5" s="6">
        <f>$D5*(1+Баланс!$B$1)</f>
        <v>3</v>
      </c>
      <c r="M5" s="3" t="s">
        <v>4</v>
      </c>
      <c r="N5" s="8">
        <v>0.04</v>
      </c>
      <c r="O5" s="8">
        <v>7.0000000000000007E-2</v>
      </c>
      <c r="P5" s="8">
        <v>0.24</v>
      </c>
      <c r="Q5" s="24">
        <v>0.16</v>
      </c>
      <c r="R5" s="43"/>
      <c r="S5" t="str">
        <f>"y="&amp;(P5-N5)&amp;"x"&amp;"+"&amp;N5*100&amp;" при 10&lt;x&lt;=100"</f>
        <v>y=0,2x+4 при 10&lt;x&lt;=100</v>
      </c>
      <c r="T5" s="1" t="s">
        <v>14</v>
      </c>
      <c r="U5" t="str">
        <f>"y="&amp;ROUND((Q5-P5),5)&amp;"(x-"&amp;P1&amp;")"&amp;"+"&amp;P5*100&amp;" при 100&lt;x&lt;=200"</f>
        <v>y=-0,08(x-100)+24 при 100&lt;x&lt;=200</v>
      </c>
      <c r="V5" s="1" t="s">
        <v>14</v>
      </c>
      <c r="W5" t="str">
        <f>"у=20, при x&gt;200"</f>
        <v>у=20, при x&gt;200</v>
      </c>
      <c r="X5" s="11"/>
      <c r="Y5" s="11"/>
    </row>
    <row r="6" spans="1:25" x14ac:dyDescent="0.25">
      <c r="A6" s="3" t="s">
        <v>5</v>
      </c>
      <c r="B6" s="6">
        <f>B4*1.5</f>
        <v>15</v>
      </c>
      <c r="C6" s="6">
        <f>C3*1.5</f>
        <v>15</v>
      </c>
      <c r="D6" s="6">
        <v>0</v>
      </c>
      <c r="E6" s="8">
        <v>0</v>
      </c>
      <c r="F6" s="6">
        <f>$B6*(1-Баланс!$B$1)</f>
        <v>12</v>
      </c>
      <c r="G6" s="6">
        <f>$B6*(1+Баланс!$B$1)</f>
        <v>18</v>
      </c>
      <c r="H6" s="6">
        <f>$C6*(1-Баланс!$B$1)</f>
        <v>12</v>
      </c>
      <c r="I6" s="6">
        <f>$C6*(1+Баланс!$B$1)</f>
        <v>18</v>
      </c>
      <c r="J6" s="6">
        <f>$D6*(1-Баланс!$B$1)</f>
        <v>0</v>
      </c>
      <c r="K6" s="6">
        <f>$D6*(1+Баланс!$B$1)</f>
        <v>0</v>
      </c>
      <c r="M6" s="3" t="s">
        <v>5</v>
      </c>
      <c r="N6" s="8">
        <v>0</v>
      </c>
      <c r="O6" s="8">
        <v>0.04</v>
      </c>
      <c r="P6" s="8">
        <v>0.32</v>
      </c>
      <c r="Q6" s="24">
        <v>0.24</v>
      </c>
      <c r="R6" s="43"/>
      <c r="S6" t="str">
        <f>"y="&amp;(P6-N6)&amp;"x"&amp;"+"&amp;N6*100</f>
        <v>y=0,32x+0</v>
      </c>
      <c r="T6" s="1" t="s">
        <v>14</v>
      </c>
      <c r="U6" t="str">
        <f>"y="&amp;ROUND((Q6-P6),5)&amp;"(x-"&amp;P1&amp;")"&amp;"+"&amp;P6*100&amp;" при 100&lt;x&lt;=200"</f>
        <v>y=-0,08(x-100)+32 при 100&lt;x&lt;=200</v>
      </c>
      <c r="V6" s="1" t="s">
        <v>14</v>
      </c>
      <c r="W6" t="str">
        <f>"у=30, при x&gt;200"</f>
        <v>у=30, при x&gt;200</v>
      </c>
      <c r="X6" s="11"/>
      <c r="Y6" s="11"/>
    </row>
    <row r="7" spans="1:25" x14ac:dyDescent="0.25">
      <c r="A7" s="3" t="s">
        <v>6</v>
      </c>
      <c r="B7" s="6">
        <f>B3*2</f>
        <v>40</v>
      </c>
      <c r="C7" s="6">
        <f>C4*1.5</f>
        <v>30</v>
      </c>
      <c r="D7" s="6">
        <f>B7*0.2</f>
        <v>8</v>
      </c>
      <c r="E7" s="8">
        <v>0</v>
      </c>
      <c r="F7" s="6">
        <f>$B7*(1-Баланс!$B$1)</f>
        <v>32</v>
      </c>
      <c r="G7" s="6">
        <f>$B7*(1+Баланс!$B$1)</f>
        <v>48</v>
      </c>
      <c r="H7" s="6">
        <f>$C7*(1-Баланс!$B$1)</f>
        <v>24</v>
      </c>
      <c r="I7" s="6">
        <f>$C7*(1+Баланс!$B$1)</f>
        <v>36</v>
      </c>
      <c r="J7" s="6">
        <f>$D7*(1-Баланс!$B$1)</f>
        <v>6.4</v>
      </c>
      <c r="K7" s="6">
        <f>$D7*(1+Баланс!$B$1)</f>
        <v>9.6</v>
      </c>
      <c r="M7" s="3" t="s">
        <v>6</v>
      </c>
      <c r="N7" s="8">
        <v>0</v>
      </c>
      <c r="O7" s="8">
        <v>0</v>
      </c>
      <c r="P7" s="8">
        <v>0.24</v>
      </c>
      <c r="Q7" s="24">
        <v>0.4</v>
      </c>
      <c r="R7" s="43"/>
      <c r="S7" t="str">
        <f>"у=0, при x&lt;=10"</f>
        <v>у=0, при x&lt;=10</v>
      </c>
      <c r="T7" s="12" t="s">
        <v>14</v>
      </c>
      <c r="U7" t="str">
        <f>"y="&amp;ROUND((Q7-N7)/(Q1-O1)*100,5)&amp;"(x-"&amp;O1&amp;")"&amp;"+"&amp;N7*100&amp;" при x&gt;10"</f>
        <v>y=0,21053(x-10)+0 при x&gt;10</v>
      </c>
      <c r="V7" s="1" t="s">
        <v>14</v>
      </c>
      <c r="W7" t="str">
        <f>"у=50, при x&gt;200"</f>
        <v>у=50, при x&gt;200</v>
      </c>
      <c r="X7" s="10"/>
      <c r="Y7" s="10"/>
    </row>
    <row r="8" spans="1:25" x14ac:dyDescent="0.25">
      <c r="A8" s="3" t="s">
        <v>7</v>
      </c>
      <c r="B8" s="6">
        <f>B4*1.5</f>
        <v>15</v>
      </c>
      <c r="C8" s="6">
        <f>Игрок!$B$1*0.1</f>
        <v>10</v>
      </c>
      <c r="D8" s="6">
        <f>B8*0.3</f>
        <v>4.5</v>
      </c>
      <c r="E8" s="3"/>
      <c r="F8" s="6">
        <f>$B8*(1-Баланс!$B$1)</f>
        <v>12</v>
      </c>
      <c r="G8" s="6">
        <f>$B8*(1+Баланс!$B$1)</f>
        <v>18</v>
      </c>
      <c r="H8" s="6">
        <f>$C8*(1-Баланс!$B$1)</f>
        <v>8</v>
      </c>
      <c r="I8" s="6">
        <f>$C8*(1+Баланс!$B$1)</f>
        <v>12</v>
      </c>
      <c r="J8" s="6">
        <f>$D8*(1-Баланс!$B$1)</f>
        <v>3.6</v>
      </c>
      <c r="K8" s="6">
        <f>$D8*(1+Баланс!$B$1)</f>
        <v>5.3999999999999995</v>
      </c>
      <c r="N8" s="7">
        <f>SUMIF(N2:N7,"&gt;0",N2:N7)</f>
        <v>1</v>
      </c>
      <c r="O8" s="7">
        <f>SUMIF(O2:O7,"&gt;0",O2:O7)</f>
        <v>1</v>
      </c>
      <c r="P8" s="7">
        <f>SUMIF(P2:P7,"&gt;0",P2:P7)</f>
        <v>1</v>
      </c>
      <c r="Q8" s="7">
        <f>SUMIF(Q2:Q7,"&gt;0",Q2:Q7)</f>
        <v>1</v>
      </c>
    </row>
    <row r="9" spans="1:25" x14ac:dyDescent="0.25">
      <c r="M9" s="10"/>
      <c r="N9" s="10"/>
      <c r="O9" s="10"/>
    </row>
    <row r="10" spans="1:25" x14ac:dyDescent="0.25">
      <c r="A10" s="3">
        <v>10</v>
      </c>
      <c r="B10" s="29" t="s">
        <v>12</v>
      </c>
      <c r="C10" s="30"/>
      <c r="D10" s="30"/>
      <c r="E10" s="31"/>
      <c r="F10" s="5" t="s">
        <v>0</v>
      </c>
      <c r="G10" s="5"/>
      <c r="H10" s="5" t="s">
        <v>8</v>
      </c>
      <c r="I10" s="5"/>
      <c r="J10" s="5" t="s">
        <v>9</v>
      </c>
      <c r="K10" s="5"/>
      <c r="M10" s="10"/>
      <c r="N10" s="11"/>
      <c r="O10" s="11"/>
    </row>
    <row r="11" spans="1:25" x14ac:dyDescent="0.25">
      <c r="A11" s="3"/>
      <c r="B11" s="5" t="s">
        <v>0</v>
      </c>
      <c r="C11" s="5" t="s">
        <v>8</v>
      </c>
      <c r="D11" s="3" t="s">
        <v>9</v>
      </c>
      <c r="E11" s="3" t="s">
        <v>13</v>
      </c>
      <c r="F11" s="3" t="s">
        <v>10</v>
      </c>
      <c r="G11" s="3" t="s">
        <v>11</v>
      </c>
      <c r="H11" s="3" t="s">
        <v>10</v>
      </c>
      <c r="I11" s="3" t="s">
        <v>11</v>
      </c>
      <c r="J11" s="3" t="s">
        <v>10</v>
      </c>
      <c r="K11" s="3" t="s">
        <v>11</v>
      </c>
    </row>
    <row r="12" spans="1:25" x14ac:dyDescent="0.25">
      <c r="A12" s="3" t="s">
        <v>2</v>
      </c>
      <c r="B12" s="6">
        <f>(1+($A$10*Баланс!$B$2))*B3</f>
        <v>22</v>
      </c>
      <c r="C12" s="6">
        <f>(1+($A$10*Баланс!$B$2))*C3</f>
        <v>11</v>
      </c>
      <c r="D12" s="6">
        <f>(1+($A$10*Баланс!$B$2))*D3</f>
        <v>2.2000000000000002</v>
      </c>
      <c r="E12" s="8">
        <v>0.4</v>
      </c>
      <c r="F12" s="6">
        <f>(1+($A$10*Баланс!$B$2))*F3</f>
        <v>17.600000000000001</v>
      </c>
      <c r="G12" s="6">
        <f>(1+($A$10*Баланс!$B$2))*G3</f>
        <v>26.400000000000002</v>
      </c>
      <c r="H12" s="6">
        <f>(1+($A$10*Баланс!$B$2))*H3</f>
        <v>8.8000000000000007</v>
      </c>
      <c r="I12" s="6">
        <f>(1+($A$10*Баланс!$B$2))*I3</f>
        <v>13.200000000000001</v>
      </c>
      <c r="J12" s="6">
        <f>(1+($A$10*Баланс!$B$2))*J3</f>
        <v>1.7600000000000002</v>
      </c>
      <c r="K12" s="6">
        <f>(1+($A$10*Баланс!$B$2))*K3</f>
        <v>2.64</v>
      </c>
    </row>
    <row r="13" spans="1:25" x14ac:dyDescent="0.25">
      <c r="A13" s="3" t="s">
        <v>3</v>
      </c>
      <c r="B13" s="6">
        <f>(1+($A$10*Баланс!$B$2))*B4</f>
        <v>11</v>
      </c>
      <c r="C13" s="6">
        <f>(1+($A$10*Баланс!$B$2))*C4</f>
        <v>22</v>
      </c>
      <c r="D13" s="6">
        <f>(1+($A$10*Баланс!$B$2))*D4</f>
        <v>1.1000000000000001</v>
      </c>
      <c r="E13" s="8">
        <v>0.35</v>
      </c>
      <c r="F13" s="6">
        <f>(1+($A$10*Баланс!$B$2))*F4</f>
        <v>8.8000000000000007</v>
      </c>
      <c r="G13" s="6">
        <f>(1+($A$10*Баланс!$B$2))*G4</f>
        <v>13.200000000000001</v>
      </c>
      <c r="H13" s="6">
        <f>(1+($A$10*Баланс!$B$2))*H4</f>
        <v>17.600000000000001</v>
      </c>
      <c r="I13" s="6">
        <f>(1+($A$10*Баланс!$B$2))*I4</f>
        <v>26.400000000000002</v>
      </c>
      <c r="J13" s="6">
        <f>(1+($A$10*Баланс!$B$2))*J4</f>
        <v>0.88000000000000012</v>
      </c>
      <c r="K13" s="6">
        <f>(1+($A$10*Баланс!$B$2))*K4</f>
        <v>1.32</v>
      </c>
    </row>
    <row r="14" spans="1:25" x14ac:dyDescent="0.25">
      <c r="A14" s="3" t="s">
        <v>4</v>
      </c>
      <c r="B14" s="6">
        <f>(1+($A$10*Баланс!$B$2))*B5</f>
        <v>55.000000000000007</v>
      </c>
      <c r="C14" s="6">
        <f>(1+($A$10*Баланс!$B$2))*C5</f>
        <v>5.5</v>
      </c>
      <c r="D14" s="6">
        <f>(1+($A$10*Баланс!$B$2))*D5</f>
        <v>2.75</v>
      </c>
      <c r="E14" s="8">
        <v>0.15</v>
      </c>
      <c r="F14" s="6">
        <f>(1+($A$10*Баланс!$B$2))*F5</f>
        <v>44</v>
      </c>
      <c r="G14" s="6">
        <f>(1+($A$10*Баланс!$B$2))*G5</f>
        <v>66</v>
      </c>
      <c r="H14" s="6">
        <f>(1+($A$10*Баланс!$B$2))*H5</f>
        <v>4.4000000000000004</v>
      </c>
      <c r="I14" s="6">
        <f>(1+($A$10*Баланс!$B$2))*I5</f>
        <v>6.6000000000000005</v>
      </c>
      <c r="J14" s="6">
        <f>(1+($A$10*Баланс!$B$2))*J5</f>
        <v>2.2000000000000002</v>
      </c>
      <c r="K14" s="6">
        <f>(1+($A$10*Баланс!$B$2))*K5</f>
        <v>3.3000000000000003</v>
      </c>
    </row>
    <row r="15" spans="1:25" x14ac:dyDescent="0.25">
      <c r="A15" s="3" t="s">
        <v>5</v>
      </c>
      <c r="B15" s="6">
        <f>(1+($A$10*Баланс!$B$2))*B6</f>
        <v>16.5</v>
      </c>
      <c r="C15" s="6">
        <f>(1+($A$10*Баланс!$B$2))*C6</f>
        <v>16.5</v>
      </c>
      <c r="D15" s="6">
        <f>(1+($A$10*Баланс!$B$2))*D6</f>
        <v>0</v>
      </c>
      <c r="E15" s="8">
        <v>0.1</v>
      </c>
      <c r="F15" s="6">
        <f>(1+($A$10*Баланс!$B$2))*F6</f>
        <v>13.200000000000001</v>
      </c>
      <c r="G15" s="6">
        <f>(1+($A$10*Баланс!$B$2))*G6</f>
        <v>19.8</v>
      </c>
      <c r="H15" s="6">
        <f>(1+($A$10*Баланс!$B$2))*H6</f>
        <v>13.200000000000001</v>
      </c>
      <c r="I15" s="6">
        <f>(1+($A$10*Баланс!$B$2))*I6</f>
        <v>19.8</v>
      </c>
      <c r="J15" s="6">
        <f>(1+($A$10*Баланс!$B$2))*J6</f>
        <v>0</v>
      </c>
      <c r="K15" s="6">
        <f>(1+($A$10*Баланс!$B$2))*K6</f>
        <v>0</v>
      </c>
    </row>
    <row r="16" spans="1:25" x14ac:dyDescent="0.25">
      <c r="A16" s="3" t="s">
        <v>6</v>
      </c>
      <c r="B16" s="6">
        <f>(1+($A$10*Баланс!$B$2))*B7</f>
        <v>44</v>
      </c>
      <c r="C16" s="6">
        <f>(1+($A$10*Баланс!$B$2))*C7</f>
        <v>33</v>
      </c>
      <c r="D16" s="6">
        <f>(1+($A$10*Баланс!$B$2))*D7</f>
        <v>8.8000000000000007</v>
      </c>
      <c r="E16" s="8">
        <v>0</v>
      </c>
      <c r="F16" s="6">
        <f>(1+($A$10*Баланс!$B$2))*F7</f>
        <v>35.200000000000003</v>
      </c>
      <c r="G16" s="6">
        <f>(1+($A$10*Баланс!$B$2))*G7</f>
        <v>52.800000000000004</v>
      </c>
      <c r="H16" s="6">
        <f>(1+($A$10*Баланс!$B$2))*H7</f>
        <v>26.400000000000002</v>
      </c>
      <c r="I16" s="6">
        <f>(1+($A$10*Баланс!$B$2))*I7</f>
        <v>39.6</v>
      </c>
      <c r="J16" s="6">
        <f>(1+($A$10*Баланс!$B$2))*J7</f>
        <v>7.0400000000000009</v>
      </c>
      <c r="K16" s="6">
        <f>(1+($A$10*Баланс!$B$2))*K7</f>
        <v>10.56</v>
      </c>
    </row>
    <row r="17" spans="1:18" x14ac:dyDescent="0.25">
      <c r="A17" s="3" t="s">
        <v>7</v>
      </c>
      <c r="B17" s="6">
        <f>(1+($A$10*Баланс!$B$2))*B8</f>
        <v>16.5</v>
      </c>
      <c r="C17" s="6">
        <f>(1+($A$10*Баланс!$B$2))*C8</f>
        <v>11</v>
      </c>
      <c r="D17" s="6">
        <f>(1+($A$10*Баланс!$B$2))*D8</f>
        <v>4.95</v>
      </c>
      <c r="E17" s="3"/>
      <c r="F17" s="6">
        <f>(1+($A$10*Баланс!$B$2))*F8</f>
        <v>13.200000000000001</v>
      </c>
      <c r="G17" s="6">
        <f>(1+($A$10*Баланс!$B$2))*G8</f>
        <v>19.8</v>
      </c>
      <c r="H17" s="6">
        <f>(1+($A$10*Баланс!$B$2))*H8</f>
        <v>8.8000000000000007</v>
      </c>
      <c r="I17" s="6">
        <f>(1+($A$10*Баланс!$B$2))*I8</f>
        <v>13.200000000000001</v>
      </c>
      <c r="J17" s="6">
        <f>(1+($A$10*Баланс!$B$2))*J8</f>
        <v>3.9600000000000004</v>
      </c>
      <c r="K17" s="6">
        <f>(1+($A$10*Баланс!$B$2))*K8</f>
        <v>5.9399999999999995</v>
      </c>
    </row>
    <row r="19" spans="1:18" x14ac:dyDescent="0.25">
      <c r="A19" s="3">
        <v>50</v>
      </c>
      <c r="B19" s="29" t="s">
        <v>12</v>
      </c>
      <c r="C19" s="30"/>
      <c r="D19" s="30"/>
      <c r="E19" s="31"/>
      <c r="F19" s="5" t="s">
        <v>0</v>
      </c>
      <c r="G19" s="5"/>
      <c r="H19" s="5" t="s">
        <v>8</v>
      </c>
      <c r="I19" s="5"/>
      <c r="J19" s="5" t="s">
        <v>9</v>
      </c>
      <c r="K19" s="5"/>
    </row>
    <row r="20" spans="1:18" x14ac:dyDescent="0.25">
      <c r="A20" s="3"/>
      <c r="B20" s="5" t="s">
        <v>0</v>
      </c>
      <c r="C20" s="5" t="s">
        <v>8</v>
      </c>
      <c r="D20" s="3" t="s">
        <v>9</v>
      </c>
      <c r="E20" s="3" t="s">
        <v>13</v>
      </c>
      <c r="F20" s="3" t="s">
        <v>10</v>
      </c>
      <c r="G20" s="3" t="s">
        <v>11</v>
      </c>
      <c r="H20" s="3" t="s">
        <v>10</v>
      </c>
      <c r="I20" s="3" t="s">
        <v>11</v>
      </c>
      <c r="J20" s="3" t="s">
        <v>10</v>
      </c>
      <c r="K20" s="3" t="s">
        <v>11</v>
      </c>
    </row>
    <row r="21" spans="1:18" x14ac:dyDescent="0.25">
      <c r="A21" s="3" t="s">
        <v>2</v>
      </c>
      <c r="B21" s="6">
        <f>(1+($A$19*Баланс!$B$2))*B3</f>
        <v>30</v>
      </c>
      <c r="C21" s="6">
        <f>(1+($A$19*Баланс!$B$2))*C3</f>
        <v>15</v>
      </c>
      <c r="D21" s="6">
        <f>(1+($A$19*Баланс!$B$2))*D3</f>
        <v>3</v>
      </c>
      <c r="E21" s="8">
        <v>0.15</v>
      </c>
      <c r="F21" s="6">
        <f>(1+($A$19*Баланс!$B$2))*F3</f>
        <v>24</v>
      </c>
      <c r="G21" s="6">
        <f>(1+($A$19*Баланс!$B$2))*G3</f>
        <v>36</v>
      </c>
      <c r="H21" s="6">
        <f>(1+($A$19*Баланс!$B$2))*H3</f>
        <v>12</v>
      </c>
      <c r="I21" s="6">
        <f>(1+($A$19*Баланс!$B$2))*I3</f>
        <v>18</v>
      </c>
      <c r="J21" s="6">
        <f>(1+($A$19*Баланс!$B$2))*J3</f>
        <v>2.4000000000000004</v>
      </c>
      <c r="K21" s="6">
        <f>(1+($A$19*Баланс!$B$2))*K3</f>
        <v>3.5999999999999996</v>
      </c>
    </row>
    <row r="22" spans="1:18" x14ac:dyDescent="0.25">
      <c r="A22" s="3" t="s">
        <v>3</v>
      </c>
      <c r="B22" s="6">
        <f>(1+($A$19*Баланс!$B$2))*B4</f>
        <v>15</v>
      </c>
      <c r="C22" s="6">
        <f>(1+($A$19*Баланс!$B$2))*C4</f>
        <v>30</v>
      </c>
      <c r="D22" s="6">
        <f>(1+($A$19*Баланс!$B$2))*D4</f>
        <v>1.5</v>
      </c>
      <c r="E22" s="8">
        <v>0.25</v>
      </c>
      <c r="F22" s="6">
        <f>(1+($A$19*Баланс!$B$2))*F4</f>
        <v>12</v>
      </c>
      <c r="G22" s="6">
        <f>(1+($A$19*Баланс!$B$2))*G4</f>
        <v>18</v>
      </c>
      <c r="H22" s="6">
        <f>(1+($A$19*Баланс!$B$2))*H4</f>
        <v>24</v>
      </c>
      <c r="I22" s="6">
        <f>(1+($A$19*Баланс!$B$2))*I4</f>
        <v>36</v>
      </c>
      <c r="J22" s="6">
        <f>(1+($A$19*Баланс!$B$2))*J4</f>
        <v>1.2000000000000002</v>
      </c>
      <c r="K22" s="6">
        <f>(1+($A$19*Баланс!$B$2))*K4</f>
        <v>1.7999999999999998</v>
      </c>
    </row>
    <row r="23" spans="1:18" x14ac:dyDescent="0.25">
      <c r="A23" s="3" t="s">
        <v>4</v>
      </c>
      <c r="B23" s="6">
        <f>(1+($A$19*Баланс!$B$2))*B5</f>
        <v>75</v>
      </c>
      <c r="C23" s="6">
        <f>(1+($A$19*Баланс!$B$2))*C5</f>
        <v>7.5</v>
      </c>
      <c r="D23" s="6">
        <f>(1+($A$19*Баланс!$B$2))*D5</f>
        <v>3.75</v>
      </c>
      <c r="E23" s="8">
        <v>0.25</v>
      </c>
      <c r="F23" s="6">
        <f>(1+($A$19*Баланс!$B$2))*F5</f>
        <v>60</v>
      </c>
      <c r="G23" s="6">
        <f>(1+($A$19*Баланс!$B$2))*G5</f>
        <v>90</v>
      </c>
      <c r="H23" s="6">
        <f>(1+($A$19*Баланс!$B$2))*H5</f>
        <v>6</v>
      </c>
      <c r="I23" s="6">
        <f>(1+($A$19*Баланс!$B$2))*I5</f>
        <v>9</v>
      </c>
      <c r="J23" s="6">
        <f>(1+($A$19*Баланс!$B$2))*J5</f>
        <v>3</v>
      </c>
      <c r="K23" s="6">
        <f>(1+($A$19*Баланс!$B$2))*K5</f>
        <v>4.5</v>
      </c>
      <c r="R23" s="9"/>
    </row>
    <row r="24" spans="1:18" x14ac:dyDescent="0.25">
      <c r="A24" s="3" t="s">
        <v>5</v>
      </c>
      <c r="B24" s="6">
        <f>(1+($A$19*Баланс!$B$2))*B6</f>
        <v>22.5</v>
      </c>
      <c r="C24" s="6">
        <f>(1+($A$19*Баланс!$B$2))*C6</f>
        <v>22.5</v>
      </c>
      <c r="D24" s="6">
        <f>(1+($A$19*Баланс!$B$2))*D6</f>
        <v>0</v>
      </c>
      <c r="E24" s="8">
        <v>0.25</v>
      </c>
      <c r="F24" s="6">
        <f>(1+($A$19*Баланс!$B$2))*F6</f>
        <v>18</v>
      </c>
      <c r="G24" s="6">
        <f>(1+($A$19*Баланс!$B$2))*G6</f>
        <v>27</v>
      </c>
      <c r="H24" s="6">
        <f>(1+($A$19*Баланс!$B$2))*H6</f>
        <v>18</v>
      </c>
      <c r="I24" s="6">
        <f>(1+($A$19*Баланс!$B$2))*I6</f>
        <v>27</v>
      </c>
      <c r="J24" s="6">
        <f>(1+($A$19*Баланс!$B$2))*J6</f>
        <v>0</v>
      </c>
      <c r="K24" s="6">
        <f>(1+($A$19*Баланс!$B$2))*K6</f>
        <v>0</v>
      </c>
    </row>
    <row r="25" spans="1:18" x14ac:dyDescent="0.25">
      <c r="A25" s="3" t="s">
        <v>6</v>
      </c>
      <c r="B25" s="6">
        <f>(1+($A$19*Баланс!$B$2))*B7</f>
        <v>60</v>
      </c>
      <c r="C25" s="6">
        <f>(1+($A$19*Баланс!$B$2))*C7</f>
        <v>45</v>
      </c>
      <c r="D25" s="6">
        <f>(1+($A$19*Баланс!$B$2))*D7</f>
        <v>12</v>
      </c>
      <c r="E25" s="8">
        <v>0.1</v>
      </c>
      <c r="F25" s="6">
        <f>(1+($A$19*Баланс!$B$2))*F7</f>
        <v>48</v>
      </c>
      <c r="G25" s="6">
        <f>(1+($A$19*Баланс!$B$2))*G7</f>
        <v>72</v>
      </c>
      <c r="H25" s="6">
        <f>(1+($A$19*Баланс!$B$2))*H7</f>
        <v>36</v>
      </c>
      <c r="I25" s="6">
        <f>(1+($A$19*Баланс!$B$2))*I7</f>
        <v>54</v>
      </c>
      <c r="J25" s="6">
        <f>(1+($A$19*Баланс!$B$2))*J7</f>
        <v>9.6000000000000014</v>
      </c>
      <c r="K25" s="6">
        <f>(1+($A$19*Баланс!$B$2))*K7</f>
        <v>14.399999999999999</v>
      </c>
    </row>
    <row r="26" spans="1:18" x14ac:dyDescent="0.25">
      <c r="A26" s="3" t="s">
        <v>7</v>
      </c>
      <c r="B26" s="6">
        <f>(1+($A$19*Баланс!$B$2))*B8</f>
        <v>22.5</v>
      </c>
      <c r="C26" s="6">
        <f>(1+($A$19*Баланс!$B$2))*C8</f>
        <v>15</v>
      </c>
      <c r="D26" s="6">
        <f>(1+($A$19*Баланс!$B$2))*D8</f>
        <v>6.75</v>
      </c>
      <c r="E26" s="3"/>
      <c r="F26" s="6">
        <f>(1+($A$19*Баланс!$B$2))*F8</f>
        <v>18</v>
      </c>
      <c r="G26" s="6">
        <f>(1+($A$19*Баланс!$B$2))*G8</f>
        <v>27</v>
      </c>
      <c r="H26" s="6">
        <f>(1+($A$19*Баланс!$B$2))*H8</f>
        <v>12</v>
      </c>
      <c r="I26" s="6">
        <f>(1+($A$19*Баланс!$B$2))*I8</f>
        <v>18</v>
      </c>
      <c r="J26" s="6">
        <f>(1+($A$19*Баланс!$B$2))*J8</f>
        <v>5.4</v>
      </c>
      <c r="K26" s="6">
        <f>(1+($A$19*Баланс!$B$2))*K8</f>
        <v>8.1</v>
      </c>
    </row>
    <row r="28" spans="1:18" x14ac:dyDescent="0.25">
      <c r="A28" s="3">
        <v>100</v>
      </c>
      <c r="B28" s="29" t="s">
        <v>12</v>
      </c>
      <c r="C28" s="30"/>
      <c r="D28" s="30"/>
      <c r="E28" s="31"/>
      <c r="F28" s="5" t="s">
        <v>0</v>
      </c>
      <c r="G28" s="5"/>
      <c r="H28" s="5" t="s">
        <v>8</v>
      </c>
      <c r="I28" s="5"/>
      <c r="J28" s="5" t="s">
        <v>9</v>
      </c>
      <c r="K28" s="5"/>
    </row>
    <row r="29" spans="1:18" x14ac:dyDescent="0.25">
      <c r="A29" s="3"/>
      <c r="B29" s="5" t="s">
        <v>0</v>
      </c>
      <c r="C29" s="5" t="s">
        <v>8</v>
      </c>
      <c r="D29" s="3" t="s">
        <v>9</v>
      </c>
      <c r="E29" s="3" t="s">
        <v>13</v>
      </c>
      <c r="F29" s="3" t="s">
        <v>10</v>
      </c>
      <c r="G29" s="3" t="s">
        <v>11</v>
      </c>
      <c r="H29" s="3" t="s">
        <v>10</v>
      </c>
      <c r="I29" s="3" t="s">
        <v>11</v>
      </c>
      <c r="J29" s="3" t="s">
        <v>10</v>
      </c>
      <c r="K29" s="3" t="s">
        <v>11</v>
      </c>
    </row>
    <row r="30" spans="1:18" x14ac:dyDescent="0.25">
      <c r="A30" s="3" t="s">
        <v>2</v>
      </c>
      <c r="B30" s="6">
        <f>(1+($A$28*Баланс!$B$2))*B3</f>
        <v>40</v>
      </c>
      <c r="C30" s="6">
        <f>(1+($A$28*Баланс!$B$2))*C3</f>
        <v>20</v>
      </c>
      <c r="D30" s="6">
        <f>(1+($A$28*Баланс!$B$2))*D3</f>
        <v>4</v>
      </c>
      <c r="E30" s="8">
        <v>0.05</v>
      </c>
      <c r="F30" s="6">
        <f>(1+($A$28*Баланс!$B$2))*F3</f>
        <v>32</v>
      </c>
      <c r="G30" s="6">
        <f>(1+($A$28*Баланс!$B$2))*G3</f>
        <v>48</v>
      </c>
      <c r="H30" s="6">
        <f>(1+($A$28*Баланс!$B$2))*H3</f>
        <v>16</v>
      </c>
      <c r="I30" s="6">
        <f>(1+($A$28*Баланс!$B$2))*I3</f>
        <v>24</v>
      </c>
      <c r="J30" s="6">
        <f>(1+($A$28*Баланс!$B$2))*J3</f>
        <v>3.2</v>
      </c>
      <c r="K30" s="6">
        <f>(1+($A$28*Баланс!$B$2))*K3</f>
        <v>4.8</v>
      </c>
    </row>
    <row r="31" spans="1:18" x14ac:dyDescent="0.25">
      <c r="A31" s="3" t="s">
        <v>3</v>
      </c>
      <c r="B31" s="6">
        <f>(1+($A$28*Баланс!$B$2))*B4</f>
        <v>20</v>
      </c>
      <c r="C31" s="6">
        <f>(1+($A$28*Баланс!$B$2))*C4</f>
        <v>40</v>
      </c>
      <c r="D31" s="6">
        <f>(1+($A$28*Баланс!$B$2))*D4</f>
        <v>2</v>
      </c>
      <c r="E31" s="8">
        <v>0.1</v>
      </c>
      <c r="F31" s="6">
        <f>(1+($A$28*Баланс!$B$2))*F4</f>
        <v>16</v>
      </c>
      <c r="G31" s="6">
        <f>(1+($A$28*Баланс!$B$2))*G4</f>
        <v>24</v>
      </c>
      <c r="H31" s="6">
        <f>(1+($A$28*Баланс!$B$2))*H4</f>
        <v>32</v>
      </c>
      <c r="I31" s="6">
        <f>(1+($A$28*Баланс!$B$2))*I4</f>
        <v>48</v>
      </c>
      <c r="J31" s="6">
        <f>(1+($A$28*Баланс!$B$2))*J4</f>
        <v>1.6</v>
      </c>
      <c r="K31" s="6">
        <f>(1+($A$28*Баланс!$B$2))*K4</f>
        <v>2.4</v>
      </c>
    </row>
    <row r="32" spans="1:18" x14ac:dyDescent="0.25">
      <c r="A32" s="3" t="s">
        <v>4</v>
      </c>
      <c r="B32" s="6">
        <f>(1+($A$28*Баланс!$B$2))*B5</f>
        <v>100</v>
      </c>
      <c r="C32" s="6">
        <f>(1+($A$28*Баланс!$B$2))*C5</f>
        <v>10</v>
      </c>
      <c r="D32" s="6">
        <f>(1+($A$28*Баланс!$B$2))*D5</f>
        <v>5</v>
      </c>
      <c r="E32" s="8">
        <v>0.25</v>
      </c>
      <c r="F32" s="6">
        <f>(1+($A$28*Баланс!$B$2))*F5</f>
        <v>80</v>
      </c>
      <c r="G32" s="6">
        <f>(1+($A$28*Баланс!$B$2))*G5</f>
        <v>120</v>
      </c>
      <c r="H32" s="6">
        <f>(1+($A$28*Баланс!$B$2))*H5</f>
        <v>8</v>
      </c>
      <c r="I32" s="6">
        <f>(1+($A$28*Баланс!$B$2))*I5</f>
        <v>12</v>
      </c>
      <c r="J32" s="6">
        <f>(1+($A$28*Баланс!$B$2))*J5</f>
        <v>4</v>
      </c>
      <c r="K32" s="6">
        <f>(1+($A$28*Баланс!$B$2))*K5</f>
        <v>6</v>
      </c>
    </row>
    <row r="33" spans="1:22" x14ac:dyDescent="0.25">
      <c r="A33" s="3" t="s">
        <v>5</v>
      </c>
      <c r="B33" s="6">
        <f>(1+($A$28*Баланс!$B$2))*B6</f>
        <v>30</v>
      </c>
      <c r="C33" s="6">
        <f>(1+($A$28*Баланс!$B$2))*C6</f>
        <v>30</v>
      </c>
      <c r="D33" s="6">
        <f>(1+($A$28*Баланс!$B$2))*D6</f>
        <v>0</v>
      </c>
      <c r="E33" s="8">
        <v>0.35</v>
      </c>
      <c r="F33" s="6">
        <f>(1+($A$28*Баланс!$B$2))*F6</f>
        <v>24</v>
      </c>
      <c r="G33" s="6">
        <f>(1+($A$28*Баланс!$B$2))*G6</f>
        <v>36</v>
      </c>
      <c r="H33" s="6">
        <f>(1+($A$28*Баланс!$B$2))*H6</f>
        <v>24</v>
      </c>
      <c r="I33" s="6">
        <f>(1+($A$28*Баланс!$B$2))*I6</f>
        <v>36</v>
      </c>
      <c r="J33" s="6">
        <f>(1+($A$28*Баланс!$B$2))*J6</f>
        <v>0</v>
      </c>
      <c r="K33" s="6">
        <f>(1+($A$28*Баланс!$B$2))*K6</f>
        <v>0</v>
      </c>
    </row>
    <row r="34" spans="1:22" x14ac:dyDescent="0.25">
      <c r="A34" s="3" t="s">
        <v>6</v>
      </c>
      <c r="B34" s="6">
        <f>(1+($A$28*Баланс!$B$2))*B7</f>
        <v>80</v>
      </c>
      <c r="C34" s="6">
        <f>(1+($A$28*Баланс!$B$2))*C7</f>
        <v>60</v>
      </c>
      <c r="D34" s="6">
        <f>(1+($A$28*Баланс!$B$2))*D7</f>
        <v>16</v>
      </c>
      <c r="E34" s="8">
        <v>0.25</v>
      </c>
      <c r="F34" s="6">
        <f>(1+($A$28*Баланс!$B$2))*F7</f>
        <v>64</v>
      </c>
      <c r="G34" s="6">
        <f>(1+($A$28*Баланс!$B$2))*G7</f>
        <v>96</v>
      </c>
      <c r="H34" s="6">
        <f>(1+($A$28*Баланс!$B$2))*H7</f>
        <v>48</v>
      </c>
      <c r="I34" s="6">
        <f>(1+($A$28*Баланс!$B$2))*I7</f>
        <v>72</v>
      </c>
      <c r="J34" s="6">
        <f>(1+($A$28*Баланс!$B$2))*J7</f>
        <v>12.8</v>
      </c>
      <c r="K34" s="6">
        <f>(1+($A$28*Баланс!$B$2))*K7</f>
        <v>19.2</v>
      </c>
    </row>
    <row r="35" spans="1:22" x14ac:dyDescent="0.25">
      <c r="A35" s="3" t="s">
        <v>7</v>
      </c>
      <c r="B35" s="6">
        <f>(1+($A$28*Баланс!$B$2))*B8</f>
        <v>30</v>
      </c>
      <c r="C35" s="6">
        <f>(1+($A$28*Баланс!$B$2))*C8</f>
        <v>20</v>
      </c>
      <c r="D35" s="6">
        <f>(1+($A$28*Баланс!$B$2))*D8</f>
        <v>9</v>
      </c>
      <c r="E35" s="3"/>
      <c r="F35" s="6">
        <f>(1+($A$28*Баланс!$B$2))*F8</f>
        <v>24</v>
      </c>
      <c r="G35" s="6">
        <f>(1+($A$28*Баланс!$B$2))*G8</f>
        <v>36</v>
      </c>
      <c r="H35" s="6">
        <f>(1+($A$28*Баланс!$B$2))*H8</f>
        <v>16</v>
      </c>
      <c r="I35" s="6">
        <f>(1+($A$28*Баланс!$B$2))*I8</f>
        <v>24</v>
      </c>
      <c r="J35" s="6">
        <f>(1+($A$28*Баланс!$B$2))*J8</f>
        <v>7.2</v>
      </c>
      <c r="K35" s="6">
        <f>(1+($A$28*Баланс!$B$2))*K8</f>
        <v>10.799999999999999</v>
      </c>
    </row>
    <row r="37" spans="1:22" x14ac:dyDescent="0.25">
      <c r="A37" s="3"/>
      <c r="B37" s="3">
        <v>0</v>
      </c>
      <c r="C37" s="3">
        <v>10</v>
      </c>
      <c r="D37" s="3">
        <v>20</v>
      </c>
      <c r="E37" s="3">
        <v>30</v>
      </c>
      <c r="F37" s="3">
        <v>40</v>
      </c>
      <c r="G37" s="3">
        <v>50</v>
      </c>
      <c r="H37" s="3">
        <v>60</v>
      </c>
      <c r="I37" s="3">
        <v>70</v>
      </c>
      <c r="J37" s="3">
        <v>80</v>
      </c>
      <c r="K37" s="3">
        <v>90</v>
      </c>
      <c r="L37" s="3">
        <v>100</v>
      </c>
      <c r="M37" s="3">
        <v>110</v>
      </c>
      <c r="N37" s="3">
        <v>120</v>
      </c>
      <c r="O37" s="3">
        <v>130</v>
      </c>
      <c r="P37" s="3">
        <v>140</v>
      </c>
      <c r="Q37" s="3">
        <v>150</v>
      </c>
      <c r="R37" s="3">
        <v>160</v>
      </c>
      <c r="S37" s="3">
        <v>170</v>
      </c>
      <c r="T37" s="3">
        <v>180</v>
      </c>
      <c r="U37" s="3">
        <v>190</v>
      </c>
      <c r="V37" s="3">
        <v>200</v>
      </c>
    </row>
    <row r="38" spans="1:22" x14ac:dyDescent="0.25">
      <c r="A38" s="21" t="s">
        <v>52</v>
      </c>
      <c r="B38" s="22">
        <f>IF(B37&lt;100,($P$2-$N$2)*B37+$N$2*100,20)</f>
        <v>60</v>
      </c>
      <c r="C38" s="22">
        <f>IF(C37&lt;100,($P$2-$N$2)*C37+$N$2*100,20)</f>
        <v>56</v>
      </c>
      <c r="D38" s="22">
        <f>IF(D37&lt;100,($P$2-$N$2)*D37+$N$2*100,20)</f>
        <v>52</v>
      </c>
      <c r="E38" s="22">
        <f>IF(E37&lt;100,($P$2-$N$2)*E37+$N$2*100,20)</f>
        <v>48</v>
      </c>
      <c r="F38" s="22">
        <f>IF(F37&lt;100,($P$2-$N$2)*F37+$N$2*100,20)</f>
        <v>44</v>
      </c>
      <c r="G38" s="22">
        <f>IF(G37&lt;100,($P$2-$N$2)*G37+$N$2*100,20)</f>
        <v>40</v>
      </c>
      <c r="H38" s="22">
        <f>IF(H37&lt;100,($P$2-$N$2)*H37+$N$2*100,20)</f>
        <v>36</v>
      </c>
      <c r="I38" s="22">
        <f>IF(I37&lt;100,($P$2-$N$2)*I37+$N$2*100,20)</f>
        <v>32</v>
      </c>
      <c r="J38" s="22">
        <f>IF(J37&lt;100,($P$2-$N$2)*J37+$N$2*100,20)</f>
        <v>28.000000000000004</v>
      </c>
      <c r="K38" s="22">
        <f>IF(K37&lt;100,($P$2-$N$2)*K37+$N$2*100,20)</f>
        <v>24</v>
      </c>
      <c r="L38" s="22">
        <f>IF(L37&lt;100,($P$2-$N$2)*L37+$N$2*100,20)</f>
        <v>20</v>
      </c>
      <c r="M38" s="22">
        <f>IF(M37&lt;100,($P$2-$N$2)*M37+$N$2*100,20)</f>
        <v>20</v>
      </c>
      <c r="N38" s="22">
        <f>IF(N37&lt;100,($P$2-$N$2)*N37+$N$2*100,20)</f>
        <v>20</v>
      </c>
      <c r="O38" s="22">
        <f>IF(O37&lt;100,($P$2-$N$2)*O37+$N$2*100,20)</f>
        <v>20</v>
      </c>
      <c r="P38" s="22">
        <f>IF(P37&lt;100,($P$2-$N$2)*P37+$N$2*100,20)</f>
        <v>20</v>
      </c>
      <c r="Q38" s="22">
        <f>IF(Q37&lt;100,($P$2-$N$2)*Q37+$N$2*100,20)</f>
        <v>20</v>
      </c>
      <c r="R38" s="22">
        <f>IF(R37&lt;100,($P$2-$N$2)*R37+$N$2*100,20)</f>
        <v>20</v>
      </c>
      <c r="S38" s="22">
        <f>IF(S37&lt;100,($P$2-$N$2)*S37+$N$2*100,20)</f>
        <v>20</v>
      </c>
      <c r="T38" s="22">
        <f>IF(T37&lt;100,($P$2-$N$2)*T37+$N$2*100,20)</f>
        <v>20</v>
      </c>
      <c r="U38" s="22">
        <f>IF(U37&lt;100,($P$2-$N$2)*U37+$N$2*100,20)</f>
        <v>20</v>
      </c>
      <c r="V38" s="22">
        <f>IF(V37&lt;100,($P$2-$N$2)*V37+$N$2*100,20)</f>
        <v>20</v>
      </c>
    </row>
    <row r="39" spans="1:22" x14ac:dyDescent="0.25">
      <c r="A39" s="3" t="s">
        <v>2</v>
      </c>
      <c r="B39" s="22">
        <f>($P$3-$N$3)*B37+$N$3*100</f>
        <v>24</v>
      </c>
      <c r="C39" s="22">
        <f>($P$3-$N$3)*C37+$N$3*100</f>
        <v>19.2</v>
      </c>
      <c r="D39" s="22">
        <f>($P$3-$N$3)*D37+$N$3*100</f>
        <v>14.4</v>
      </c>
      <c r="E39" s="22">
        <f>($P$3-$N$3)*E37+$N$3*100</f>
        <v>9.6000000000000014</v>
      </c>
      <c r="F39" s="22">
        <f>($P$3-$N$3)*F37+$N$3*100</f>
        <v>4.8000000000000007</v>
      </c>
      <c r="G39" s="22">
        <f>($P$3-$N$3)*G37+$N$3*100</f>
        <v>0</v>
      </c>
      <c r="H39" s="22">
        <f>($P$3-$N$3)*H37+$N$3*100</f>
        <v>-4.7999999999999972</v>
      </c>
      <c r="I39" s="22">
        <f>($P$3-$N$3)*I37+$N$3*100</f>
        <v>-9.6000000000000014</v>
      </c>
      <c r="J39" s="22">
        <f>($P$3-$N$3)*J37+$N$3*100</f>
        <v>-14.399999999999999</v>
      </c>
      <c r="K39" s="22">
        <f>($P$3-$N$3)*K37+$N$3*100</f>
        <v>-19.199999999999996</v>
      </c>
      <c r="L39" s="22">
        <f>($P$3-$N$3)*L37+$N$3*100</f>
        <v>-24</v>
      </c>
      <c r="M39" s="22">
        <f>($P$3-$N$3)*M37+$N$3*100</f>
        <v>-28.799999999999997</v>
      </c>
      <c r="N39" s="22">
        <f>($P$3-$N$3)*N37+$N$3*100</f>
        <v>-33.599999999999994</v>
      </c>
      <c r="O39" s="22">
        <f>($P$3-$N$3)*O37+$N$3*100</f>
        <v>-38.4</v>
      </c>
      <c r="P39" s="22">
        <f>($P$3-$N$3)*P37+$N$3*100</f>
        <v>-43.2</v>
      </c>
      <c r="Q39" s="22">
        <f>($P$3-$N$3)*Q37+$N$3*100</f>
        <v>-48</v>
      </c>
      <c r="R39" s="22">
        <f>($P$3-$N$3)*R37+$N$3*100</f>
        <v>-52.8</v>
      </c>
      <c r="S39" s="22">
        <f>($P$3-$N$3)*S37+$N$3*100</f>
        <v>-57.599999999999994</v>
      </c>
      <c r="T39" s="22">
        <f>($P$3-$N$3)*T37+$N$3*100</f>
        <v>-62.399999999999991</v>
      </c>
      <c r="U39" s="22">
        <f>($P$3-$N$3)*U37+$N$3*100</f>
        <v>-67.2</v>
      </c>
      <c r="V39" s="22">
        <f>($P$3-$N$3)*V37+$N$3*100</f>
        <v>-72</v>
      </c>
    </row>
    <row r="40" spans="1:22" x14ac:dyDescent="0.25">
      <c r="A40" s="3" t="s">
        <v>3</v>
      </c>
      <c r="B40" s="6">
        <f>IF(AND(B37&gt;=$N$1,B37&lt;=$O$1),($O$4-$N$4)*$O$1*B37+$N$4*100,($P$4-$O$4)*(B37-$O$1)+$O$4*$P$1)</f>
        <v>12</v>
      </c>
      <c r="C40" s="6">
        <f>IF(AND(C37&gt;=$N$1,C37&lt;=$O$1),($O$4-$N$4)*$O$1*C37+$N$4*100,($P$4-$O$4)*(C37-$O$1)+$O$4*$P$1)</f>
        <v>15</v>
      </c>
      <c r="D40" s="6">
        <f>IF(AND(D37&gt;=$N$1,D37&lt;=$O$1),($O$4-$N$4)*$O$1*D37+$N$4*100,($P$4-$O$4)*(D37-$O$1)+$O$4*$P$1)</f>
        <v>12.5</v>
      </c>
      <c r="E40" s="6">
        <f>IF(AND(E37&gt;=$N$1,E37&lt;=$O$1),($O$4-$N$4)*$O$1*E37+$N$4*100,($P$4-$O$4)*(E37-$O$1)+$O$4*$P$1)</f>
        <v>10</v>
      </c>
      <c r="F40" s="6">
        <f>IF(AND(F37&gt;=$N$1,F37&lt;=$O$1),($O$4-$N$4)*$O$1*F37+$N$4*100,($P$4-$O$4)*(F37-$O$1)+$O$4*$P$1)</f>
        <v>7.5</v>
      </c>
      <c r="G40" s="6">
        <f>IF(AND(G37&gt;=$N$1,G37&lt;=$O$1),($O$4-$N$4)*$O$1*G37+$N$4*100,($P$4-$O$4)*(G37-$O$1)+$O$4*$P$1)</f>
        <v>5</v>
      </c>
      <c r="H40" s="6">
        <f>IF(AND(H37&gt;=$N$1,H37&lt;=$O$1),($O$4-$N$4)*$O$1*H37+$N$4*100,($P$4-$O$4)*(H37-$O$1)+$O$4*$P$1)</f>
        <v>2.5</v>
      </c>
      <c r="I40" s="6">
        <f>IF(AND(I37&gt;=$N$1,I37&lt;=$O$1),($O$4-$N$4)*$O$1*I37+$N$4*100,($P$4-$O$4)*(I37-$O$1)+$O$4*$P$1)</f>
        <v>0</v>
      </c>
      <c r="J40" s="6">
        <f>IF(AND(J37&gt;=$N$1,J37&lt;=$O$1),($O$4-$N$4)*$O$1*J37+$N$4*100,($P$4-$O$4)*(J37-$O$1)+$O$4*$P$1)</f>
        <v>-2.5</v>
      </c>
      <c r="K40" s="6">
        <f>IF(AND(K37&gt;=$N$1,K37&lt;=$O$1),($O$4-$N$4)*$O$1*K37+$N$4*100,($P$4-$O$4)*(K37-$O$1)+$O$4*$P$1)</f>
        <v>-5</v>
      </c>
      <c r="L40" s="6">
        <f>IF(AND(L37&gt;=$N$1,L37&lt;=$O$1),($O$4-$N$4)*$O$1*L37+$N$4*100,($P$4-$O$4)*(L37-$O$1)+$O$4*$P$1)</f>
        <v>-7.5</v>
      </c>
      <c r="M40" s="6">
        <f>IF(AND(M37&gt;=$N$1,M37&lt;=$O$1),($O$4-$N$4)*$O$1*M37+$N$4*100,($P$4-$O$4)*(M37-$O$1)+$O$4*$P$1)</f>
        <v>-10</v>
      </c>
      <c r="N40" s="6">
        <f>IF(AND(N37&gt;=$N$1,N37&lt;=$O$1),($O$4-$N$4)*$O$1*N37+$N$4*100,($P$4-$O$4)*(N37-$O$1)+$O$4*$P$1)</f>
        <v>-12.5</v>
      </c>
      <c r="O40" s="6">
        <f>IF(AND(O37&gt;=$N$1,O37&lt;=$O$1),($O$4-$N$4)*$O$1*O37+$N$4*100,($P$4-$O$4)*(O37-$O$1)+$O$4*$P$1)</f>
        <v>-15</v>
      </c>
      <c r="P40" s="6">
        <f>IF(AND(P37&gt;=$N$1,P37&lt;=$O$1),($O$4-$N$4)*$O$1*P37+$N$4*100,($P$4-$O$4)*(P37-$O$1)+$O$4*$P$1)</f>
        <v>-17.5</v>
      </c>
      <c r="Q40" s="6">
        <f>IF(AND(Q37&gt;=$N$1,Q37&lt;=$O$1),($O$4-$N$4)*$O$1*Q37+$N$4*100,($P$4-$O$4)*(Q37-$O$1)+$O$4*$P$1)</f>
        <v>-20</v>
      </c>
      <c r="R40" s="6">
        <f>IF(AND(R37&gt;=$N$1,R37&lt;=$O$1),($O$4-$N$4)*$O$1*R37+$N$4*100,($P$4-$O$4)*(R37-$O$1)+$O$4*$P$1)</f>
        <v>-22.5</v>
      </c>
      <c r="S40" s="6">
        <f>IF(AND(S37&gt;=$N$1,S37&lt;=$O$1),($O$4-$N$4)*$O$1*S37+$N$4*100,($P$4-$O$4)*(S37-$O$1)+$O$4*$P$1)</f>
        <v>-25</v>
      </c>
      <c r="T40" s="6">
        <f>IF(AND(T37&gt;=$N$1,T37&lt;=$O$1),($O$4-$N$4)*$O$1*T37+$N$4*100,($P$4-$O$4)*(T37-$O$1)+$O$4*$P$1)</f>
        <v>-27.5</v>
      </c>
      <c r="U40" s="6">
        <f>IF(AND(U37&gt;=$N$1,U37&lt;=$O$1),($O$4-$N$4)*$O$1*U37+$N$4*100,($P$4-$O$4)*(U37-$O$1)+$O$4*$P$1)</f>
        <v>-30</v>
      </c>
      <c r="V40" s="6">
        <f>IF(AND(V37&gt;=$N$1,V37&lt;=$O$1),($O$4-$N$4)*$O$1*V37+$N$4*100,($P$4-$O$4)*(V37-$O$1)+$O$4*$P$1)</f>
        <v>-32.5</v>
      </c>
    </row>
    <row r="41" spans="1:22" x14ac:dyDescent="0.25">
      <c r="A41" s="3" t="s">
        <v>4</v>
      </c>
      <c r="B41" s="6">
        <f>IF(B37&lt;=100,($P$5-$N$5)*B37+$N$5*100,(($Q$5-$P$5))*(B37-$P$1)+$P$5*100)</f>
        <v>4</v>
      </c>
      <c r="C41" s="6">
        <f>IF(C37&lt;=100,($P$5-$N$5)*C37+$N$5*100,(($Q$5-$P$5))*(C37-$P$1)+$P$5*100)</f>
        <v>6</v>
      </c>
      <c r="D41" s="6">
        <f>IF(D37&lt;=100,($P$5-$N$5)*D37+$N$5*100,(($Q$5-$P$5))*(D37-$P$1)+$P$5*100)</f>
        <v>8</v>
      </c>
      <c r="E41" s="6">
        <f>IF(E37&lt;=100,($P$5-$N$5)*E37+$N$5*100,(($Q$5-$P$5))*(E37-$P$1)+$P$5*100)</f>
        <v>10</v>
      </c>
      <c r="F41" s="6">
        <f>IF(F37&lt;=100,($P$5-$N$5)*F37+$N$5*100,(($Q$5-$P$5))*(F37-$P$1)+$P$5*100)</f>
        <v>12</v>
      </c>
      <c r="G41" s="6">
        <f>IF(G37&lt;=100,($P$5-$N$5)*G37+$N$5*100,(($Q$5-$P$5))*(G37-$P$1)+$P$5*100)</f>
        <v>14</v>
      </c>
      <c r="H41" s="6">
        <f>IF(H37&lt;=100,($P$5-$N$5)*H37+$N$5*100,(($Q$5-$P$5))*(H37-$P$1)+$P$5*100)</f>
        <v>15.999999999999998</v>
      </c>
      <c r="I41" s="6">
        <f>IF(I37&lt;=100,($P$5-$N$5)*I37+$N$5*100,(($Q$5-$P$5))*(I37-$P$1)+$P$5*100)</f>
        <v>18</v>
      </c>
      <c r="J41" s="6">
        <f>IF(J37&lt;=100,($P$5-$N$5)*J37+$N$5*100,(($Q$5-$P$5))*(J37-$P$1)+$P$5*100)</f>
        <v>20</v>
      </c>
      <c r="K41" s="6">
        <f>IF(K37&lt;=100,($P$5-$N$5)*K37+$N$5*100,(($Q$5-$P$5))*(K37-$P$1)+$P$5*100)</f>
        <v>22</v>
      </c>
      <c r="L41" s="6">
        <f>IF(L37&lt;=100,($P$5-$N$5)*L37+$N$5*100,(($Q$5-$P$5))*(L37-$P$1)+$P$5*100)</f>
        <v>24</v>
      </c>
      <c r="M41" s="6">
        <f>IF(M37&lt;=100,($P$5-$N$5)*M37+$N$5*100,(($Q$5-$P$5))*(M37-$P$1)+$P$5*100)</f>
        <v>23.2</v>
      </c>
      <c r="N41" s="6">
        <f>IF(N37&lt;=100,($P$5-$N$5)*N37+$N$5*100,(($Q$5-$P$5))*(N37-$P$1)+$P$5*100)</f>
        <v>22.4</v>
      </c>
      <c r="O41" s="6">
        <f>IF(O37&lt;=100,($P$5-$N$5)*O37+$N$5*100,(($Q$5-$P$5))*(O37-$P$1)+$P$5*100)</f>
        <v>21.6</v>
      </c>
      <c r="P41" s="6">
        <f>IF(P37&lt;=100,($P$5-$N$5)*P37+$N$5*100,(($Q$5-$P$5))*(P37-$P$1)+$P$5*100)</f>
        <v>20.8</v>
      </c>
      <c r="Q41" s="6">
        <f>IF(Q37&lt;=100,($P$5-$N$5)*Q37+$N$5*100,(($Q$5-$P$5))*(Q37-$P$1)+$P$5*100)</f>
        <v>20</v>
      </c>
      <c r="R41" s="6">
        <f>IF(R37&lt;=100,($P$5-$N$5)*R37+$N$5*100,(($Q$5-$P$5))*(R37-$P$1)+$P$5*100)</f>
        <v>19.200000000000003</v>
      </c>
      <c r="S41" s="6">
        <f>IF(S37&lt;=100,($P$5-$N$5)*S37+$N$5*100,(($Q$5-$P$5))*(S37-$P$1)+$P$5*100)</f>
        <v>18.400000000000002</v>
      </c>
      <c r="T41" s="6">
        <f>IF(T37&lt;=100,($P$5-$N$5)*T37+$N$5*100,(($Q$5-$P$5))*(T37-$P$1)+$P$5*100)</f>
        <v>17.600000000000001</v>
      </c>
      <c r="U41" s="6">
        <f>IF(U37&lt;=100,($P$5-$N$5)*U37+$N$5*100,(($Q$5-$P$5))*(U37-$P$1)+$P$5*100)</f>
        <v>16.8</v>
      </c>
      <c r="V41" s="6">
        <f>IF(V37&lt;=100,($P$5-$N$5)*V37+$N$5*100,(($Q$5-$P$5))*(V37-$P$1)+$P$5*100)</f>
        <v>16</v>
      </c>
    </row>
    <row r="42" spans="1:22" x14ac:dyDescent="0.25">
      <c r="A42" s="3" t="s">
        <v>5</v>
      </c>
      <c r="B42" s="6">
        <f>IF(B37&lt;=100,($P$6-$N$6)*B37+$N$6*100,(($Q$6-$P$6))*(B37-$P$1)+$P$6*100)</f>
        <v>0</v>
      </c>
      <c r="C42" s="6">
        <f>IF(C37&lt;=100,($P$6-$N$6)*C37+$N$6*100,(($Q$6-$P$6))*(C37-$P$1)+$P$6*100)</f>
        <v>3.2</v>
      </c>
      <c r="D42" s="6">
        <f>IF(D37&lt;=100,($P$6-$N$6)*D37+$N$6*100,(($Q$6-$P$6))*(D37-$P$1)+$P$6*100)</f>
        <v>6.4</v>
      </c>
      <c r="E42" s="6">
        <f>IF(E37&lt;=100,($P$6-$N$6)*E37+$N$6*100,(($Q$6-$P$6))*(E37-$P$1)+$P$6*100)</f>
        <v>9.6</v>
      </c>
      <c r="F42" s="6">
        <f>IF(F37&lt;=100,($P$6-$N$6)*F37+$N$6*100,(($Q$6-$P$6))*(F37-$P$1)+$P$6*100)</f>
        <v>12.8</v>
      </c>
      <c r="G42" s="6">
        <f>IF(G37&lt;=100,($P$6-$N$6)*G37+$N$6*100,(($Q$6-$P$6))*(G37-$P$1)+$P$6*100)</f>
        <v>16</v>
      </c>
      <c r="H42" s="6">
        <f>IF(H37&lt;=100,($P$6-$N$6)*H37+$N$6*100,(($Q$6-$P$6))*(H37-$P$1)+$P$6*100)</f>
        <v>19.2</v>
      </c>
      <c r="I42" s="6">
        <f>IF(I37&lt;=100,($P$6-$N$6)*I37+$N$6*100,(($Q$6-$P$6))*(I37-$P$1)+$P$6*100)</f>
        <v>22.400000000000002</v>
      </c>
      <c r="J42" s="6">
        <f>IF(J37&lt;=100,($P$6-$N$6)*J37+$N$6*100,(($Q$6-$P$6))*(J37-$P$1)+$P$6*100)</f>
        <v>25.6</v>
      </c>
      <c r="K42" s="6">
        <f>IF(K37&lt;=100,($P$6-$N$6)*K37+$N$6*100,(($Q$6-$P$6))*(K37-$P$1)+$P$6*100)</f>
        <v>28.8</v>
      </c>
      <c r="L42" s="6">
        <f>IF(L37&lt;=100,($P$6-$N$6)*L37+$N$6*100,(($Q$6-$P$6))*(L37-$P$1)+$P$6*100)</f>
        <v>32</v>
      </c>
      <c r="M42" s="6">
        <f>IF(M37&lt;=100,($P$6-$N$6)*M37+$N$6*100,(($Q$6-$P$6))*(M37-$P$1)+$P$6*100)</f>
        <v>31.2</v>
      </c>
      <c r="N42" s="6">
        <f>IF(N37&lt;=100,($P$6-$N$6)*N37+$N$6*100,(($Q$6-$P$6))*(N37-$P$1)+$P$6*100)</f>
        <v>30.4</v>
      </c>
      <c r="O42" s="6">
        <f>IF(O37&lt;=100,($P$6-$N$6)*O37+$N$6*100,(($Q$6-$P$6))*(O37-$P$1)+$P$6*100)</f>
        <v>29.6</v>
      </c>
      <c r="P42" s="6">
        <f>IF(P37&lt;=100,($P$6-$N$6)*P37+$N$6*100,(($Q$6-$P$6))*(P37-$P$1)+$P$6*100)</f>
        <v>28.8</v>
      </c>
      <c r="Q42" s="6">
        <f>IF(Q37&lt;=100,($P$6-$N$6)*Q37+$N$6*100,(($Q$6-$P$6))*(Q37-$P$1)+$P$6*100)</f>
        <v>28</v>
      </c>
      <c r="R42" s="6">
        <f>IF(R37&lt;=100,($P$6-$N$6)*R37+$N$6*100,(($Q$6-$P$6))*(R37-$P$1)+$P$6*100)</f>
        <v>27.2</v>
      </c>
      <c r="S42" s="6">
        <f>IF(S37&lt;=100,($P$6-$N$6)*S37+$N$6*100,(($Q$6-$P$6))*(S37-$P$1)+$P$6*100)</f>
        <v>26.4</v>
      </c>
      <c r="T42" s="6">
        <f>IF(T37&lt;=100,($P$6-$N$6)*T37+$N$6*100,(($Q$6-$P$6))*(T37-$P$1)+$P$6*100)</f>
        <v>25.599999999999998</v>
      </c>
      <c r="U42" s="6">
        <f>IF(U37&lt;=100,($P$6-$N$6)*U37+$N$6*100,(($Q$6-$P$6))*(U37-$P$1)+$P$6*100)</f>
        <v>24.799999999999997</v>
      </c>
      <c r="V42" s="6">
        <f>IF(V37&lt;=100,($P$6-$N$6)*V37+$N$6*100,(($Q$6-$P$6))*(V37-$P$1)+$P$6*100)</f>
        <v>24</v>
      </c>
    </row>
    <row r="43" spans="1:22" x14ac:dyDescent="0.25">
      <c r="A43" s="3" t="s">
        <v>6</v>
      </c>
      <c r="B43" s="6">
        <f>IF(B37&lt;=$O$1,$O$7,($Q$7-$O$7)/($Q$1-$O$1)*$P$1*(B37-$O$1))</f>
        <v>0</v>
      </c>
      <c r="C43" s="6">
        <f>IF(C37&lt;=$O$1,$O$7,($Q$7-$O$7)/($Q$1-$O$1)*$P$1*(C37-$O$1))</f>
        <v>0</v>
      </c>
      <c r="D43" s="6">
        <f>IF(D37&lt;=$O$1,$O$7,($Q$7-$O$7)/($Q$1-$O$1)*$P$1*(D37-$O$1))</f>
        <v>2.1052631578947367</v>
      </c>
      <c r="E43" s="6">
        <f>IF(E37&lt;=$O$1,$O$7,($Q$7-$O$7)/($Q$1-$O$1)*$P$1*(E37-$O$1))</f>
        <v>4.2105263157894735</v>
      </c>
      <c r="F43" s="6">
        <f>IF(F37&lt;=$O$1,$O$7,($Q$7-$O$7)/($Q$1-$O$1)*$P$1*(F37-$O$1))</f>
        <v>6.3157894736842106</v>
      </c>
      <c r="G43" s="6">
        <f>IF(G37&lt;=$O$1,$O$7,($Q$7-$O$7)/($Q$1-$O$1)*$P$1*(G37-$O$1))</f>
        <v>8.4210526315789469</v>
      </c>
      <c r="H43" s="6">
        <f>IF(H37&lt;=$O$1,$O$7,($Q$7-$O$7)/($Q$1-$O$1)*$P$1*(H37-$O$1))</f>
        <v>10.526315789473683</v>
      </c>
      <c r="I43" s="6">
        <f>IF(I37&lt;=$O$1,$O$7,($Q$7-$O$7)/($Q$1-$O$1)*$P$1*(I37-$O$1))</f>
        <v>12.631578947368421</v>
      </c>
      <c r="J43" s="6">
        <f>IF(J37&lt;=$O$1,$O$7,($Q$7-$O$7)/($Q$1-$O$1)*$P$1*(J37-$O$1))</f>
        <v>14.736842105263158</v>
      </c>
      <c r="K43" s="6">
        <f>IF(K37&lt;=$O$1,$O$7,($Q$7-$O$7)/($Q$1-$O$1)*$P$1*(K37-$O$1))</f>
        <v>16.842105263157894</v>
      </c>
      <c r="L43" s="6">
        <f>IF(L37&lt;=$O$1,$O$7,($Q$7-$O$7)/($Q$1-$O$1)*$P$1*(L37-$O$1))</f>
        <v>18.94736842105263</v>
      </c>
      <c r="M43" s="6">
        <f>IF(M37&lt;=$O$1,$O$7,($Q$7-$O$7)/($Q$1-$O$1)*$P$1*(M37-$O$1))</f>
        <v>21.052631578947366</v>
      </c>
      <c r="N43" s="6">
        <f>IF(N37&lt;=$O$1,$O$7,($Q$7-$O$7)/($Q$1-$O$1)*$P$1*(N37-$O$1))</f>
        <v>23.157894736842103</v>
      </c>
      <c r="O43" s="6">
        <f>IF(O37&lt;=$O$1,$O$7,($Q$7-$O$7)/($Q$1-$O$1)*$P$1*(O37-$O$1))</f>
        <v>25.263157894736842</v>
      </c>
      <c r="P43" s="6">
        <f>IF(P37&lt;=$O$1,$O$7,($Q$7-$O$7)/($Q$1-$O$1)*$P$1*(P37-$O$1))</f>
        <v>27.368421052631579</v>
      </c>
      <c r="Q43" s="6">
        <f>IF(Q37&lt;=$O$1,$O$7,($Q$7-$O$7)/($Q$1-$O$1)*$P$1*(Q37-$O$1))</f>
        <v>29.473684210526315</v>
      </c>
      <c r="R43" s="6">
        <f>IF(R37&lt;=$O$1,$O$7,($Q$7-$O$7)/($Q$1-$O$1)*$P$1*(R37-$O$1))</f>
        <v>31.578947368421051</v>
      </c>
      <c r="S43" s="6">
        <f>IF(S37&lt;=$O$1,$O$7,($Q$7-$O$7)/($Q$1-$O$1)*$P$1*(S37-$O$1))</f>
        <v>33.684210526315788</v>
      </c>
      <c r="T43" s="6">
        <f>IF(T37&lt;=$O$1,$O$7,($Q$7-$O$7)/($Q$1-$O$1)*$P$1*(T37-$O$1))</f>
        <v>35.789473684210527</v>
      </c>
      <c r="U43" s="6">
        <f>IF(U37&lt;=$O$1,$O$7,($Q$7-$O$7)/($Q$1-$O$1)*$P$1*(U37-$O$1))</f>
        <v>37.89473684210526</v>
      </c>
      <c r="V43" s="6">
        <f>IF(V37&lt;=$O$1,$O$7,($Q$7-$O$7)/($Q$1-$O$1)*$P$1*(V37-$O$1))</f>
        <v>40</v>
      </c>
    </row>
    <row r="44" spans="1:22" x14ac:dyDescent="0.25">
      <c r="B44" s="23">
        <f>SUMIF(B39:B43,"&gt;0",B39:B43)</f>
        <v>40</v>
      </c>
      <c r="C44" s="23">
        <f t="shared" ref="C44:V44" si="0">SUMIF(C39:C43,"&gt;0",C39:C43)</f>
        <v>43.400000000000006</v>
      </c>
      <c r="D44" s="23">
        <f t="shared" si="0"/>
        <v>43.405263157894737</v>
      </c>
      <c r="E44" s="23">
        <f t="shared" si="0"/>
        <v>43.410526315789475</v>
      </c>
      <c r="F44" s="23">
        <f t="shared" si="0"/>
        <v>43.415789473684214</v>
      </c>
      <c r="G44" s="23">
        <f t="shared" si="0"/>
        <v>43.421052631578945</v>
      </c>
      <c r="H44" s="23">
        <f t="shared" si="0"/>
        <v>48.226315789473688</v>
      </c>
      <c r="I44" s="23">
        <f t="shared" si="0"/>
        <v>53.03157894736843</v>
      </c>
      <c r="J44" s="23">
        <f t="shared" si="0"/>
        <v>60.336842105263159</v>
      </c>
      <c r="K44" s="23">
        <f t="shared" si="0"/>
        <v>67.642105263157887</v>
      </c>
      <c r="L44" s="23">
        <f t="shared" si="0"/>
        <v>74.94736842105263</v>
      </c>
      <c r="M44" s="23">
        <f t="shared" si="0"/>
        <v>75.452631578947361</v>
      </c>
      <c r="N44" s="23">
        <f t="shared" si="0"/>
        <v>75.957894736842093</v>
      </c>
      <c r="O44" s="23">
        <f t="shared" si="0"/>
        <v>76.463157894736838</v>
      </c>
      <c r="P44" s="23">
        <f t="shared" si="0"/>
        <v>76.968421052631584</v>
      </c>
      <c r="Q44" s="23">
        <f t="shared" si="0"/>
        <v>77.473684210526315</v>
      </c>
      <c r="R44" s="23">
        <f t="shared" si="0"/>
        <v>77.978947368421061</v>
      </c>
      <c r="S44" s="23">
        <f t="shared" si="0"/>
        <v>78.484210526315792</v>
      </c>
      <c r="T44" s="23">
        <f t="shared" si="0"/>
        <v>78.989473684210537</v>
      </c>
      <c r="U44" s="23">
        <f t="shared" si="0"/>
        <v>79.494736842105254</v>
      </c>
      <c r="V44" s="23">
        <f t="shared" si="0"/>
        <v>80</v>
      </c>
    </row>
  </sheetData>
  <mergeCells count="4">
    <mergeCell ref="B1:E1"/>
    <mergeCell ref="B10:E10"/>
    <mergeCell ref="B19:E19"/>
    <mergeCell ref="B28:E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5C88-78CF-41FA-ADC3-A5739524DA6F}">
  <dimension ref="A1:AA29"/>
  <sheetViews>
    <sheetView zoomScale="85" zoomScaleNormal="85" workbookViewId="0">
      <selection activeCell="I16" sqref="I16"/>
    </sheetView>
  </sheetViews>
  <sheetFormatPr defaultRowHeight="15" x14ac:dyDescent="0.25"/>
  <cols>
    <col min="1" max="1" width="19" bestFit="1" customWidth="1"/>
    <col min="2" max="2" width="5.5703125" bestFit="1" customWidth="1"/>
    <col min="3" max="3" width="10.7109375" bestFit="1" customWidth="1"/>
    <col min="4" max="4" width="5.28515625" bestFit="1" customWidth="1"/>
    <col min="5" max="5" width="5.85546875" bestFit="1" customWidth="1"/>
    <col min="6" max="6" width="5.28515625" bestFit="1" customWidth="1"/>
    <col min="7" max="7" width="5.85546875" bestFit="1" customWidth="1"/>
    <col min="8" max="8" width="5.28515625" bestFit="1" customWidth="1"/>
    <col min="9" max="9" width="5.85546875" bestFit="1" customWidth="1"/>
    <col min="10" max="10" width="8.85546875" bestFit="1" customWidth="1"/>
    <col min="11" max="11" width="7.42578125" bestFit="1" customWidth="1"/>
    <col min="12" max="12" width="11.28515625" customWidth="1"/>
    <col min="13" max="13" width="7.5703125" customWidth="1"/>
    <col min="14" max="14" width="19" bestFit="1" customWidth="1"/>
    <col min="16" max="17" width="11.7109375" bestFit="1" customWidth="1"/>
    <col min="18" max="18" width="6.140625" customWidth="1"/>
    <col min="19" max="19" width="19" bestFit="1" customWidth="1"/>
    <col min="21" max="22" width="11.140625" bestFit="1" customWidth="1"/>
    <col min="24" max="24" width="19" bestFit="1" customWidth="1"/>
    <col min="27" max="27" width="10.5703125" bestFit="1" customWidth="1"/>
  </cols>
  <sheetData>
    <row r="1" spans="1:27" x14ac:dyDescent="0.25">
      <c r="A1" s="4">
        <v>0</v>
      </c>
      <c r="B1" s="29" t="s">
        <v>12</v>
      </c>
      <c r="C1" s="31"/>
      <c r="D1" s="29" t="s">
        <v>8</v>
      </c>
      <c r="E1" s="31"/>
      <c r="F1" s="29" t="s">
        <v>23</v>
      </c>
      <c r="G1" s="31"/>
      <c r="H1" s="29" t="s">
        <v>24</v>
      </c>
      <c r="I1" s="31"/>
      <c r="J1" s="28" t="s">
        <v>31</v>
      </c>
      <c r="K1" s="28"/>
      <c r="L1" s="28"/>
      <c r="N1" s="3" t="s">
        <v>32</v>
      </c>
      <c r="O1" s="3">
        <v>0</v>
      </c>
      <c r="P1" s="3">
        <v>100</v>
      </c>
      <c r="S1" s="3" t="s">
        <v>33</v>
      </c>
      <c r="T1" s="3">
        <v>0</v>
      </c>
      <c r="U1" s="3">
        <v>100</v>
      </c>
      <c r="X1" s="21" t="s">
        <v>39</v>
      </c>
      <c r="Y1" s="3">
        <v>0</v>
      </c>
      <c r="Z1" s="3">
        <v>100</v>
      </c>
    </row>
    <row r="2" spans="1:27" x14ac:dyDescent="0.25">
      <c r="A2" s="3"/>
      <c r="B2" s="3" t="s">
        <v>8</v>
      </c>
      <c r="C2" s="3" t="s">
        <v>23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32</v>
      </c>
      <c r="K2" s="3" t="s">
        <v>33</v>
      </c>
      <c r="L2" s="21" t="s">
        <v>39</v>
      </c>
      <c r="N2" s="3" t="s">
        <v>16</v>
      </c>
      <c r="O2" s="8">
        <f t="shared" ref="O2:O7" si="0">J4</f>
        <v>0.89</v>
      </c>
      <c r="P2" s="8">
        <v>0</v>
      </c>
      <c r="Q2" t="str">
        <f t="shared" ref="Q2:Q7" si="1">"y="&amp;(P2-O2)&amp;"x"&amp;"+"&amp;O2*100</f>
        <v>y=-0,89x+89</v>
      </c>
      <c r="S2" s="3" t="s">
        <v>16</v>
      </c>
      <c r="T2" s="8">
        <f t="shared" ref="T2:T7" si="2">K4</f>
        <v>0.4</v>
      </c>
      <c r="U2" s="8">
        <f t="shared" ref="U2:U7" si="3">K14</f>
        <v>-0.4</v>
      </c>
      <c r="V2" t="str">
        <f t="shared" ref="V2:V7" si="4">"y="&amp;(U2-T2)&amp;"x"&amp;"+"&amp;T2*100</f>
        <v>y=-0,8x+40</v>
      </c>
      <c r="X2" s="3" t="s">
        <v>16</v>
      </c>
      <c r="Y2" s="8">
        <f>L4</f>
        <v>0.3</v>
      </c>
      <c r="Z2" s="8">
        <f>L14</f>
        <v>-0.7</v>
      </c>
      <c r="AA2" t="str">
        <f t="shared" ref="AA2:AA7" si="5">"y="&amp;(Z2-Y2)&amp;"x"&amp;"+"&amp;Y2*100</f>
        <v>y=-1x+30</v>
      </c>
    </row>
    <row r="3" spans="1:27" x14ac:dyDescent="0.25">
      <c r="A3" s="3" t="s">
        <v>15</v>
      </c>
      <c r="B3" s="6">
        <f>Противники!B4</f>
        <v>10</v>
      </c>
      <c r="C3" s="4" t="s">
        <v>25</v>
      </c>
      <c r="D3" s="14" t="s">
        <v>25</v>
      </c>
      <c r="E3" s="14" t="s">
        <v>25</v>
      </c>
      <c r="F3" s="14" t="s">
        <v>25</v>
      </c>
      <c r="G3" s="14" t="s">
        <v>25</v>
      </c>
      <c r="H3" s="14" t="s">
        <v>25</v>
      </c>
      <c r="I3" s="14" t="s">
        <v>25</v>
      </c>
      <c r="J3" s="15"/>
      <c r="K3" s="18"/>
      <c r="L3" s="3"/>
      <c r="N3" s="3" t="s">
        <v>17</v>
      </c>
      <c r="O3" s="8">
        <f t="shared" si="0"/>
        <v>0.05</v>
      </c>
      <c r="P3" s="8">
        <f t="shared" ref="P2:P7" si="6">J15</f>
        <v>0.3</v>
      </c>
      <c r="Q3" t="str">
        <f t="shared" si="1"/>
        <v>y=0,25x+5</v>
      </c>
      <c r="S3" s="3" t="s">
        <v>17</v>
      </c>
      <c r="T3" s="8">
        <f t="shared" si="2"/>
        <v>0.15</v>
      </c>
      <c r="U3" s="8">
        <f t="shared" si="3"/>
        <v>0.4</v>
      </c>
      <c r="V3" t="str">
        <f t="shared" si="4"/>
        <v>y=0,25x+15</v>
      </c>
      <c r="X3" s="3" t="s">
        <v>17</v>
      </c>
      <c r="Y3" s="8">
        <f t="shared" ref="Y3:Y7" si="7">L5</f>
        <v>0.2</v>
      </c>
      <c r="Z3" s="8">
        <f t="shared" ref="Z3:Z7" si="8">L15</f>
        <v>0.35</v>
      </c>
      <c r="AA3" t="str">
        <f t="shared" si="5"/>
        <v>y=0,15x+20</v>
      </c>
    </row>
    <row r="4" spans="1:27" x14ac:dyDescent="0.25">
      <c r="A4" s="3" t="s">
        <v>16</v>
      </c>
      <c r="B4" s="6">
        <f>Противники!B3*0.75</f>
        <v>15</v>
      </c>
      <c r="C4" s="6">
        <f>B4/2</f>
        <v>7.5</v>
      </c>
      <c r="D4" s="6">
        <f>$B4*(1-Баланс!$B$1)</f>
        <v>12</v>
      </c>
      <c r="E4" s="6">
        <f>$B4*(1 +Баланс!$B$1)</f>
        <v>18</v>
      </c>
      <c r="F4" s="6">
        <f>$C4*(1-Баланс!$B$1)</f>
        <v>6</v>
      </c>
      <c r="G4" s="6">
        <f>$C4*(1+Баланс!$B$1)</f>
        <v>9</v>
      </c>
      <c r="H4" s="6">
        <f t="shared" ref="H4:I8" si="9">IF($C4&lt;&gt;"",(D4*F4)/10,D4*2)</f>
        <v>7.2</v>
      </c>
      <c r="I4" s="6">
        <f t="shared" si="9"/>
        <v>16.2</v>
      </c>
      <c r="J4" s="8">
        <v>0.89</v>
      </c>
      <c r="K4" s="8">
        <v>0.4</v>
      </c>
      <c r="L4" s="8">
        <v>0.3</v>
      </c>
      <c r="N4" s="3" t="s">
        <v>18</v>
      </c>
      <c r="O4" s="8">
        <f t="shared" si="0"/>
        <v>0</v>
      </c>
      <c r="P4" s="8">
        <f t="shared" si="6"/>
        <v>0.15</v>
      </c>
      <c r="Q4" t="str">
        <f t="shared" si="1"/>
        <v>y=0,15x+0</v>
      </c>
      <c r="S4" s="3" t="s">
        <v>18</v>
      </c>
      <c r="T4" s="8">
        <f t="shared" si="2"/>
        <v>0.05</v>
      </c>
      <c r="U4" s="8">
        <f t="shared" si="3"/>
        <v>0.15</v>
      </c>
      <c r="V4" t="str">
        <f t="shared" si="4"/>
        <v>y=0,1x+5</v>
      </c>
      <c r="X4" s="3" t="s">
        <v>18</v>
      </c>
      <c r="Y4" s="8">
        <f t="shared" si="7"/>
        <v>0.05</v>
      </c>
      <c r="Z4" s="8">
        <f t="shared" si="8"/>
        <v>0.2</v>
      </c>
      <c r="AA4" t="str">
        <f t="shared" si="5"/>
        <v>y=0,15x+5</v>
      </c>
    </row>
    <row r="5" spans="1:27" x14ac:dyDescent="0.25">
      <c r="A5" s="3" t="s">
        <v>17</v>
      </c>
      <c r="B5" s="6">
        <f>B4*1.75</f>
        <v>26.25</v>
      </c>
      <c r="C5" s="6">
        <f>B5/1.5</f>
        <v>17.5</v>
      </c>
      <c r="D5" s="6">
        <f>$B5*(1-Баланс!$B$1)</f>
        <v>21</v>
      </c>
      <c r="E5" s="6">
        <f>$B5*(1 +Баланс!$B$1)</f>
        <v>31.5</v>
      </c>
      <c r="F5" s="6">
        <f>$C5*(1-Баланс!$B$1)</f>
        <v>14</v>
      </c>
      <c r="G5" s="6">
        <f>$C5*(1+Баланс!$B$1)</f>
        <v>21</v>
      </c>
      <c r="H5" s="6">
        <f t="shared" si="9"/>
        <v>29.4</v>
      </c>
      <c r="I5" s="6">
        <f t="shared" si="9"/>
        <v>66.150000000000006</v>
      </c>
      <c r="J5" s="8">
        <v>0.05</v>
      </c>
      <c r="K5" s="8">
        <v>0.15</v>
      </c>
      <c r="L5" s="8">
        <v>0.2</v>
      </c>
      <c r="N5" s="3" t="s">
        <v>19</v>
      </c>
      <c r="O5" s="8">
        <f t="shared" si="0"/>
        <v>0.01</v>
      </c>
      <c r="P5" s="8">
        <f t="shared" si="6"/>
        <v>0.01</v>
      </c>
      <c r="Q5" t="str">
        <f t="shared" si="1"/>
        <v>y=0x+1</v>
      </c>
      <c r="S5" s="3" t="s">
        <v>19</v>
      </c>
      <c r="T5" s="8">
        <f t="shared" si="2"/>
        <v>0.05</v>
      </c>
      <c r="U5" s="8">
        <f t="shared" si="3"/>
        <v>0.05</v>
      </c>
      <c r="V5" t="str">
        <f t="shared" si="4"/>
        <v>y=0x+5</v>
      </c>
      <c r="X5" s="3" t="s">
        <v>19</v>
      </c>
      <c r="Y5" s="8">
        <f t="shared" si="7"/>
        <v>0</v>
      </c>
      <c r="Z5" s="8">
        <f t="shared" si="8"/>
        <v>0</v>
      </c>
      <c r="AA5" t="str">
        <f t="shared" si="5"/>
        <v>y=0x+0</v>
      </c>
    </row>
    <row r="6" spans="1:27" x14ac:dyDescent="0.25">
      <c r="A6" s="3" t="s">
        <v>18</v>
      </c>
      <c r="B6" s="6">
        <f>B5*2</f>
        <v>52.5</v>
      </c>
      <c r="C6" s="6">
        <f>B6/4</f>
        <v>13.125</v>
      </c>
      <c r="D6" s="6">
        <f>$B6*(1-Баланс!$B$1)</f>
        <v>42</v>
      </c>
      <c r="E6" s="6">
        <f>$B6*(1 +Баланс!$B$1)</f>
        <v>63</v>
      </c>
      <c r="F6" s="6">
        <f>$C6*(1-Баланс!$B$1)</f>
        <v>10.5</v>
      </c>
      <c r="G6" s="6">
        <f>$C6*(1+Баланс!$B$1)</f>
        <v>15.75</v>
      </c>
      <c r="H6" s="6">
        <f t="shared" si="9"/>
        <v>44.1</v>
      </c>
      <c r="I6" s="6">
        <f t="shared" si="9"/>
        <v>99.224999999999994</v>
      </c>
      <c r="J6" s="8">
        <v>0</v>
      </c>
      <c r="K6" s="8">
        <v>0.05</v>
      </c>
      <c r="L6" s="8">
        <v>0.05</v>
      </c>
      <c r="N6" s="3" t="s">
        <v>20</v>
      </c>
      <c r="O6" s="8">
        <f t="shared" si="0"/>
        <v>0.05</v>
      </c>
      <c r="P6" s="8">
        <f t="shared" si="6"/>
        <v>0.3</v>
      </c>
      <c r="Q6" t="str">
        <f t="shared" si="1"/>
        <v>y=0,25x+5</v>
      </c>
      <c r="S6" s="3" t="s">
        <v>20</v>
      </c>
      <c r="T6" s="8">
        <f t="shared" si="2"/>
        <v>0.25</v>
      </c>
      <c r="U6" s="8">
        <f t="shared" si="3"/>
        <v>0.3</v>
      </c>
      <c r="V6" t="str">
        <f t="shared" si="4"/>
        <v>y=0,05x+25</v>
      </c>
      <c r="X6" s="3" t="s">
        <v>20</v>
      </c>
      <c r="Y6" s="8">
        <f t="shared" si="7"/>
        <v>0.3</v>
      </c>
      <c r="Z6" s="8">
        <f t="shared" si="8"/>
        <v>0.3</v>
      </c>
      <c r="AA6" t="str">
        <f t="shared" si="5"/>
        <v>y=0x+30</v>
      </c>
    </row>
    <row r="7" spans="1:27" x14ac:dyDescent="0.25">
      <c r="A7" s="3" t="s">
        <v>19</v>
      </c>
      <c r="B7" s="6">
        <f>(Противники!G7+Противники!K7)*2</f>
        <v>115.2</v>
      </c>
      <c r="C7" s="3">
        <v>1</v>
      </c>
      <c r="D7" s="6">
        <f>$B7*(1-Баланс!$B$1)</f>
        <v>92.160000000000011</v>
      </c>
      <c r="E7" s="6">
        <f>$B7*(1 +Баланс!$B$1)</f>
        <v>138.24</v>
      </c>
      <c r="F7" s="6">
        <f>$C7*(1-Баланс!$B$1)</f>
        <v>0.8</v>
      </c>
      <c r="G7" s="6">
        <f>$C7*(1+Баланс!$B$1)</f>
        <v>1.2</v>
      </c>
      <c r="H7" s="6">
        <f t="shared" si="9"/>
        <v>7.3728000000000007</v>
      </c>
      <c r="I7" s="6">
        <f t="shared" si="9"/>
        <v>16.588799999999999</v>
      </c>
      <c r="J7" s="8">
        <v>0.01</v>
      </c>
      <c r="K7" s="8">
        <v>0.05</v>
      </c>
      <c r="L7" s="8">
        <v>0</v>
      </c>
      <c r="N7" s="3" t="s">
        <v>21</v>
      </c>
      <c r="O7" s="8">
        <f t="shared" si="0"/>
        <v>0</v>
      </c>
      <c r="P7" s="8">
        <f t="shared" si="6"/>
        <v>0.04</v>
      </c>
      <c r="Q7" t="str">
        <f t="shared" si="1"/>
        <v>y=0,04x+0</v>
      </c>
      <c r="S7" s="3" t="s">
        <v>21</v>
      </c>
      <c r="T7" s="8">
        <f t="shared" si="2"/>
        <v>0.1</v>
      </c>
      <c r="U7" s="8">
        <f t="shared" si="3"/>
        <v>0.1</v>
      </c>
      <c r="V7" t="str">
        <f t="shared" si="4"/>
        <v>y=0x+10</v>
      </c>
      <c r="X7" s="3" t="s">
        <v>21</v>
      </c>
      <c r="Y7" s="8">
        <f t="shared" si="7"/>
        <v>0.15</v>
      </c>
      <c r="Z7" s="8">
        <f t="shared" si="8"/>
        <v>0.15</v>
      </c>
      <c r="AA7" t="str">
        <f t="shared" si="5"/>
        <v>y=0x+15</v>
      </c>
    </row>
    <row r="8" spans="1:27" x14ac:dyDescent="0.25">
      <c r="A8" s="3" t="s">
        <v>20</v>
      </c>
      <c r="B8" s="6">
        <f>(B4+B5)/2</f>
        <v>20.625</v>
      </c>
      <c r="C8" s="4"/>
      <c r="D8" s="6">
        <f>$B8*(1-Баланс!$B$1)</f>
        <v>16.5</v>
      </c>
      <c r="E8" s="6">
        <f>$B8*(1 +Баланс!$B$1)</f>
        <v>24.75</v>
      </c>
      <c r="F8" s="6">
        <f>$C8*(1-Баланс!$B$1)</f>
        <v>0</v>
      </c>
      <c r="G8" s="6">
        <f>$C8*(1+Баланс!$B$1)</f>
        <v>0</v>
      </c>
      <c r="H8" s="6">
        <f t="shared" si="9"/>
        <v>33</v>
      </c>
      <c r="I8" s="6">
        <f t="shared" si="9"/>
        <v>49.5</v>
      </c>
      <c r="J8" s="8">
        <v>0.05</v>
      </c>
      <c r="K8" s="8">
        <v>0.25</v>
      </c>
      <c r="L8" s="8">
        <v>0.3</v>
      </c>
    </row>
    <row r="9" spans="1:27" x14ac:dyDescent="0.25">
      <c r="A9" s="3" t="s">
        <v>21</v>
      </c>
      <c r="B9" s="6">
        <f>B8*2</f>
        <v>41.25</v>
      </c>
      <c r="C9" s="4"/>
      <c r="D9" s="6">
        <v>0</v>
      </c>
      <c r="E9" s="6">
        <f>B9</f>
        <v>41.25</v>
      </c>
      <c r="F9" s="6">
        <f>$C9*(1-Баланс!$B$1)</f>
        <v>0</v>
      </c>
      <c r="G9" s="6">
        <f>$C9*(1+Баланс!$B$1)</f>
        <v>0</v>
      </c>
      <c r="H9" s="13">
        <f>B9</f>
        <v>41.25</v>
      </c>
      <c r="I9" s="13">
        <f>B9</f>
        <v>41.25</v>
      </c>
      <c r="J9" s="8">
        <v>0</v>
      </c>
      <c r="K9" s="8">
        <v>0.1</v>
      </c>
      <c r="L9" s="8">
        <v>0.15</v>
      </c>
    </row>
    <row r="10" spans="1:27" x14ac:dyDescent="0.25">
      <c r="L10" s="20">
        <f>SUM(L4:L9)</f>
        <v>1</v>
      </c>
    </row>
    <row r="11" spans="1:27" x14ac:dyDescent="0.25">
      <c r="A11" s="4">
        <v>100</v>
      </c>
      <c r="B11" s="29" t="s">
        <v>12</v>
      </c>
      <c r="C11" s="31"/>
      <c r="D11" s="29" t="s">
        <v>8</v>
      </c>
      <c r="E11" s="31"/>
      <c r="F11" s="29" t="s">
        <v>23</v>
      </c>
      <c r="G11" s="31"/>
      <c r="H11" s="29" t="s">
        <v>24</v>
      </c>
      <c r="I11" s="31"/>
      <c r="J11" s="28" t="s">
        <v>31</v>
      </c>
      <c r="K11" s="28"/>
      <c r="L11" s="28"/>
    </row>
    <row r="12" spans="1:27" x14ac:dyDescent="0.25">
      <c r="A12" s="3"/>
      <c r="B12" s="3" t="s">
        <v>8</v>
      </c>
      <c r="C12" s="3" t="s">
        <v>23</v>
      </c>
      <c r="D12" s="3" t="s">
        <v>10</v>
      </c>
      <c r="E12" s="3" t="s">
        <v>11</v>
      </c>
      <c r="F12" s="3" t="s">
        <v>10</v>
      </c>
      <c r="G12" s="3" t="s">
        <v>11</v>
      </c>
      <c r="H12" s="3" t="s">
        <v>10</v>
      </c>
      <c r="I12" s="3" t="s">
        <v>11</v>
      </c>
      <c r="J12" s="3" t="s">
        <v>32</v>
      </c>
      <c r="K12" s="3" t="s">
        <v>33</v>
      </c>
      <c r="L12" s="21" t="s">
        <v>39</v>
      </c>
    </row>
    <row r="13" spans="1:27" x14ac:dyDescent="0.25">
      <c r="A13" s="3" t="s">
        <v>15</v>
      </c>
      <c r="B13" s="6">
        <f>(1+(Баланс!$B$2 *Оружие!$A$11))*B3</f>
        <v>20</v>
      </c>
      <c r="C13" s="6"/>
      <c r="D13" s="14" t="s">
        <v>25</v>
      </c>
      <c r="E13" s="14" t="s">
        <v>25</v>
      </c>
      <c r="F13" s="14" t="s">
        <v>25</v>
      </c>
      <c r="G13" s="14" t="s">
        <v>25</v>
      </c>
      <c r="H13" s="14" t="s">
        <v>25</v>
      </c>
      <c r="I13" s="14" t="s">
        <v>25</v>
      </c>
      <c r="J13" s="8"/>
      <c r="K13" s="18"/>
      <c r="L13" s="3"/>
    </row>
    <row r="14" spans="1:27" x14ac:dyDescent="0.25">
      <c r="A14" s="3" t="s">
        <v>16</v>
      </c>
      <c r="B14" s="6">
        <f>(1+(Баланс!$B$2 *Оружие!$A$11))*B4</f>
        <v>30</v>
      </c>
      <c r="C14" s="6">
        <f>C4</f>
        <v>7.5</v>
      </c>
      <c r="D14" s="6">
        <f>$B14*(1-Баланс!$B$1)</f>
        <v>24</v>
      </c>
      <c r="E14" s="6">
        <f>$B14*(1 +Баланс!$B$1)</f>
        <v>36</v>
      </c>
      <c r="F14" s="6">
        <f>$C14*(1-Баланс!$B$1)</f>
        <v>6</v>
      </c>
      <c r="G14" s="6">
        <f>$C14*(1+Баланс!$B$1)</f>
        <v>9</v>
      </c>
      <c r="H14" s="6">
        <f t="shared" ref="H14:I18" si="10">IF($C14&lt;&gt;"",(D14*F14)/10,D14*2)</f>
        <v>14.4</v>
      </c>
      <c r="I14" s="6">
        <f t="shared" si="10"/>
        <v>32.4</v>
      </c>
      <c r="J14" s="8">
        <v>0.2</v>
      </c>
      <c r="K14" s="8">
        <v>-0.4</v>
      </c>
      <c r="L14" s="8">
        <v>-0.7</v>
      </c>
    </row>
    <row r="15" spans="1:27" x14ac:dyDescent="0.25">
      <c r="A15" s="3" t="s">
        <v>17</v>
      </c>
      <c r="B15" s="6">
        <f>(1+(Баланс!$B$2 *Оружие!$A$11))*B5</f>
        <v>52.5</v>
      </c>
      <c r="C15" s="6">
        <f t="shared" ref="C15:C19" si="11">C5</f>
        <v>17.5</v>
      </c>
      <c r="D15" s="6">
        <f>$B15*(1-Баланс!$B$1)</f>
        <v>42</v>
      </c>
      <c r="E15" s="6">
        <f>$B15*(1 +Баланс!$B$1)</f>
        <v>63</v>
      </c>
      <c r="F15" s="6">
        <f>$C15*(1-Баланс!$B$1)</f>
        <v>14</v>
      </c>
      <c r="G15" s="6">
        <f>$C15*(1+Баланс!$B$1)</f>
        <v>21</v>
      </c>
      <c r="H15" s="6">
        <f t="shared" si="10"/>
        <v>58.8</v>
      </c>
      <c r="I15" s="6">
        <f t="shared" si="10"/>
        <v>132.30000000000001</v>
      </c>
      <c r="J15" s="8">
        <v>0.3</v>
      </c>
      <c r="K15" s="8">
        <v>0.4</v>
      </c>
      <c r="L15" s="8">
        <v>0.35</v>
      </c>
    </row>
    <row r="16" spans="1:27" x14ac:dyDescent="0.25">
      <c r="A16" s="3" t="s">
        <v>18</v>
      </c>
      <c r="B16" s="6">
        <f>(1+(Баланс!$B$2 *Оружие!$A$11))*B6</f>
        <v>105</v>
      </c>
      <c r="C16" s="6">
        <f t="shared" si="11"/>
        <v>13.125</v>
      </c>
      <c r="D16" s="6">
        <f>$B16*(1-Баланс!$B$1)</f>
        <v>84</v>
      </c>
      <c r="E16" s="6">
        <f>$B16*(1 +Баланс!$B$1)</f>
        <v>126</v>
      </c>
      <c r="F16" s="6">
        <f>$C16*(1-Баланс!$B$1)</f>
        <v>10.5</v>
      </c>
      <c r="G16" s="6">
        <f>$C16*(1+Баланс!$B$1)</f>
        <v>15.75</v>
      </c>
      <c r="H16" s="6">
        <f t="shared" si="10"/>
        <v>88.2</v>
      </c>
      <c r="I16" s="6">
        <f t="shared" si="10"/>
        <v>198.45</v>
      </c>
      <c r="J16" s="8">
        <v>0.15</v>
      </c>
      <c r="K16" s="8">
        <v>0.15</v>
      </c>
      <c r="L16" s="8">
        <v>0.2</v>
      </c>
    </row>
    <row r="17" spans="1:12" x14ac:dyDescent="0.25">
      <c r="A17" s="3" t="s">
        <v>19</v>
      </c>
      <c r="B17" s="6">
        <f>(1+(Баланс!$B$2 *Оружие!$A$11))*B7</f>
        <v>230.4</v>
      </c>
      <c r="C17" s="6">
        <f t="shared" si="11"/>
        <v>1</v>
      </c>
      <c r="D17" s="6">
        <f>$B17*(1-Баланс!$B$1)</f>
        <v>184.32000000000002</v>
      </c>
      <c r="E17" s="6">
        <f>$B17*(1 +Баланс!$B$1)</f>
        <v>276.48</v>
      </c>
      <c r="F17" s="6">
        <f>$C17*(1-Баланс!$B$1)</f>
        <v>0.8</v>
      </c>
      <c r="G17" s="6">
        <f>$C17*(1+Баланс!$B$1)</f>
        <v>1.2</v>
      </c>
      <c r="H17" s="6">
        <f t="shared" si="10"/>
        <v>14.745600000000001</v>
      </c>
      <c r="I17" s="6">
        <f t="shared" si="10"/>
        <v>33.177599999999998</v>
      </c>
      <c r="J17" s="8">
        <v>0.01</v>
      </c>
      <c r="K17" s="8">
        <v>0.05</v>
      </c>
      <c r="L17" s="8">
        <v>0</v>
      </c>
    </row>
    <row r="18" spans="1:12" x14ac:dyDescent="0.25">
      <c r="A18" s="3" t="s">
        <v>20</v>
      </c>
      <c r="B18" s="6">
        <f>(1+(Баланс!$B$2 *Оружие!$A$11))*B8</f>
        <v>41.25</v>
      </c>
      <c r="C18" s="6">
        <f t="shared" si="11"/>
        <v>0</v>
      </c>
      <c r="D18" s="6">
        <f>$B18*(1-Баланс!$B$1)</f>
        <v>33</v>
      </c>
      <c r="E18" s="6">
        <f>$B18*(1 +Баланс!$B$1)</f>
        <v>49.5</v>
      </c>
      <c r="F18" s="6">
        <f>$C18*(1-Баланс!$B$1)</f>
        <v>0</v>
      </c>
      <c r="G18" s="6">
        <f>$C18*(1+Баланс!$B$1)</f>
        <v>0</v>
      </c>
      <c r="H18" s="6">
        <f t="shared" si="10"/>
        <v>0</v>
      </c>
      <c r="I18" s="6">
        <f t="shared" si="10"/>
        <v>0</v>
      </c>
      <c r="J18" s="8">
        <v>0.3</v>
      </c>
      <c r="K18" s="8">
        <v>0.3</v>
      </c>
      <c r="L18" s="8">
        <v>0.3</v>
      </c>
    </row>
    <row r="19" spans="1:12" x14ac:dyDescent="0.25">
      <c r="A19" s="3" t="s">
        <v>21</v>
      </c>
      <c r="B19" s="6">
        <f>(1+(Баланс!$B$2 *Оружие!$A$11))*B9</f>
        <v>82.5</v>
      </c>
      <c r="C19" s="6">
        <f t="shared" si="11"/>
        <v>0</v>
      </c>
      <c r="D19" s="6">
        <v>0</v>
      </c>
      <c r="E19" s="6">
        <f>B19</f>
        <v>82.5</v>
      </c>
      <c r="F19" s="6">
        <f>$C19*(1-Баланс!$B$1)</f>
        <v>0</v>
      </c>
      <c r="G19" s="6">
        <f>$C19*(1+Баланс!$B$1)</f>
        <v>0</v>
      </c>
      <c r="H19" s="13">
        <f>B19</f>
        <v>82.5</v>
      </c>
      <c r="I19" s="13">
        <f>B19</f>
        <v>82.5</v>
      </c>
      <c r="J19" s="8">
        <v>0.04</v>
      </c>
      <c r="K19" s="8">
        <v>0.1</v>
      </c>
      <c r="L19" s="8">
        <v>0.15</v>
      </c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L20" s="20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</row>
  </sheetData>
  <mergeCells count="10">
    <mergeCell ref="J11:L11"/>
    <mergeCell ref="J1:L1"/>
    <mergeCell ref="B1:C1"/>
    <mergeCell ref="D1:E1"/>
    <mergeCell ref="F1:G1"/>
    <mergeCell ref="H1:I1"/>
    <mergeCell ref="B11:C11"/>
    <mergeCell ref="D11:E11"/>
    <mergeCell ref="F11:G11"/>
    <mergeCell ref="H11:I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D9FF-C807-4A2F-A500-2F255D657DD7}">
  <dimension ref="A1:AA15"/>
  <sheetViews>
    <sheetView zoomScaleNormal="100" workbookViewId="0">
      <selection activeCell="J12" sqref="J12"/>
    </sheetView>
  </sheetViews>
  <sheetFormatPr defaultRowHeight="15" x14ac:dyDescent="0.25"/>
  <cols>
    <col min="1" max="1" width="16.85546875" bestFit="1" customWidth="1"/>
    <col min="2" max="2" width="5.42578125" bestFit="1" customWidth="1"/>
    <col min="3" max="3" width="10.5703125" bestFit="1" customWidth="1"/>
    <col min="4" max="4" width="5" bestFit="1" customWidth="1"/>
    <col min="5" max="5" width="5.5703125" bestFit="1" customWidth="1"/>
    <col min="6" max="6" width="5" bestFit="1" customWidth="1"/>
    <col min="7" max="7" width="5.5703125" bestFit="1" customWidth="1"/>
    <col min="8" max="8" width="5" bestFit="1" customWidth="1"/>
    <col min="9" max="9" width="5.5703125" bestFit="1" customWidth="1"/>
    <col min="10" max="10" width="8.7109375" bestFit="1" customWidth="1"/>
    <col min="11" max="11" width="7.42578125" bestFit="1" customWidth="1"/>
    <col min="12" max="12" width="8.5703125" bestFit="1" customWidth="1"/>
    <col min="13" max="13" width="8.42578125" customWidth="1"/>
    <col min="14" max="14" width="16.85546875" bestFit="1" customWidth="1"/>
    <col min="16" max="17" width="11.28515625" bestFit="1" customWidth="1"/>
    <col min="18" max="18" width="7.140625" customWidth="1"/>
    <col min="19" max="19" width="16.85546875" bestFit="1" customWidth="1"/>
    <col min="21" max="21" width="10.85546875" bestFit="1" customWidth="1"/>
    <col min="22" max="22" width="11.28515625" bestFit="1" customWidth="1"/>
    <col min="23" max="23" width="6.42578125" customWidth="1"/>
    <col min="24" max="24" width="16.85546875" bestFit="1" customWidth="1"/>
    <col min="27" max="27" width="13.28515625" bestFit="1" customWidth="1"/>
  </cols>
  <sheetData>
    <row r="1" spans="1:27" x14ac:dyDescent="0.25">
      <c r="A1" s="3">
        <v>0</v>
      </c>
      <c r="B1" s="29" t="s">
        <v>12</v>
      </c>
      <c r="C1" s="31"/>
      <c r="D1" s="29" t="s">
        <v>9</v>
      </c>
      <c r="E1" s="31"/>
      <c r="F1" s="29" t="s">
        <v>23</v>
      </c>
      <c r="G1" s="31"/>
      <c r="H1" s="29" t="s">
        <v>24</v>
      </c>
      <c r="I1" s="31"/>
      <c r="J1" s="28" t="s">
        <v>31</v>
      </c>
      <c r="K1" s="28"/>
      <c r="L1" s="28"/>
      <c r="N1" s="3" t="s">
        <v>32</v>
      </c>
      <c r="O1" s="3">
        <v>0</v>
      </c>
      <c r="P1" s="3">
        <v>100</v>
      </c>
      <c r="S1" s="3" t="s">
        <v>33</v>
      </c>
      <c r="T1" s="3">
        <v>0</v>
      </c>
      <c r="U1" s="3">
        <v>100</v>
      </c>
      <c r="X1" s="3" t="s">
        <v>39</v>
      </c>
      <c r="Y1" s="3">
        <v>0</v>
      </c>
      <c r="Z1" s="3">
        <v>100</v>
      </c>
    </row>
    <row r="2" spans="1:27" x14ac:dyDescent="0.25">
      <c r="A2" s="3"/>
      <c r="B2" s="3" t="s">
        <v>9</v>
      </c>
      <c r="C2" s="3" t="s">
        <v>23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3" t="s">
        <v>32</v>
      </c>
      <c r="K2" s="3" t="s">
        <v>33</v>
      </c>
      <c r="L2" s="3" t="s">
        <v>39</v>
      </c>
      <c r="N2" s="3" t="s">
        <v>26</v>
      </c>
      <c r="O2" s="8">
        <f>J3</f>
        <v>0.85</v>
      </c>
      <c r="P2" s="8">
        <f>J11</f>
        <v>-0.85</v>
      </c>
      <c r="Q2" t="str">
        <f>"y="&amp;(P2-O2)&amp;"x"&amp;"+"&amp;O2*100</f>
        <v>y=-1,7x+85</v>
      </c>
      <c r="S2" s="3" t="s">
        <v>27</v>
      </c>
      <c r="T2" s="8">
        <f>K4</f>
        <v>0.55000000000000004</v>
      </c>
      <c r="U2" s="8">
        <f>K12</f>
        <v>0.4</v>
      </c>
      <c r="V2" t="str">
        <f>"y="&amp;ROUND(U2-T2,5)&amp;"x"&amp;"+"&amp;ROUND(T2*100,5)</f>
        <v>y=-0,15x+55</v>
      </c>
      <c r="X2" s="3" t="s">
        <v>26</v>
      </c>
      <c r="Y2" s="8">
        <v>0.5</v>
      </c>
      <c r="Z2" s="8">
        <v>-1.17</v>
      </c>
      <c r="AA2" t="str">
        <f>"y="&amp;(Z2-Y2)&amp;"x"&amp;"+"&amp;Y2*100</f>
        <v>y=-1,67x+50</v>
      </c>
    </row>
    <row r="3" spans="1:27" x14ac:dyDescent="0.25">
      <c r="A3" s="3" t="s">
        <v>26</v>
      </c>
      <c r="B3" s="6">
        <f>Противники!C3/5</f>
        <v>2</v>
      </c>
      <c r="C3" s="6">
        <f>B3*1.5</f>
        <v>3</v>
      </c>
      <c r="D3" s="6">
        <f>$B3*(1-Баланс!$B$1)</f>
        <v>1.6</v>
      </c>
      <c r="E3" s="6">
        <f>$B3*(1+Баланс!$B$1)</f>
        <v>2.4</v>
      </c>
      <c r="F3" s="6">
        <f>$C3*(1-Баланс!$B$1)</f>
        <v>2.4000000000000004</v>
      </c>
      <c r="G3" s="6">
        <f>$C3*(1+Баланс!$B$1)</f>
        <v>3.5999999999999996</v>
      </c>
      <c r="H3" s="6">
        <f>(D3*F3)/10</f>
        <v>0.38400000000000006</v>
      </c>
      <c r="I3" s="6">
        <f>(E3*G3)/10</f>
        <v>0.86399999999999988</v>
      </c>
      <c r="J3" s="8">
        <v>0.85</v>
      </c>
      <c r="K3" s="8">
        <v>0</v>
      </c>
      <c r="L3" s="8">
        <v>0.5</v>
      </c>
      <c r="N3" s="3" t="s">
        <v>27</v>
      </c>
      <c r="O3" s="8">
        <f>J4</f>
        <v>0.1</v>
      </c>
      <c r="P3" s="8">
        <f>J12</f>
        <v>0.45</v>
      </c>
      <c r="Q3" t="str">
        <f>"y="&amp;(P3-O3)&amp;"x"&amp;"+"&amp;O3*100</f>
        <v>y=0,35x+10</v>
      </c>
      <c r="S3" s="3" t="s">
        <v>28</v>
      </c>
      <c r="T3" s="8">
        <f>K5</f>
        <v>0.25</v>
      </c>
      <c r="U3" s="8">
        <f>K13</f>
        <v>0.4</v>
      </c>
      <c r="V3" t="str">
        <f t="shared" ref="V3:V5" si="0">"y="&amp;ROUND(U3-T3,5)&amp;"x"&amp;"+"&amp;ROUND(T3*100,5)</f>
        <v>y=0,15x+25</v>
      </c>
      <c r="X3" s="3" t="s">
        <v>27</v>
      </c>
      <c r="Y3" s="8">
        <v>0.27500000000000002</v>
      </c>
      <c r="Z3" s="8">
        <v>0.3</v>
      </c>
      <c r="AA3" t="str">
        <f>"y="&amp;(Z3-Y3)&amp;"x"&amp;"+"&amp;Y3*100</f>
        <v>y=0,025x+27,5</v>
      </c>
    </row>
    <row r="4" spans="1:27" x14ac:dyDescent="0.25">
      <c r="A4" s="3" t="s">
        <v>27</v>
      </c>
      <c r="B4" s="6">
        <f>Противники!C5*0.8</f>
        <v>4</v>
      </c>
      <c r="C4" s="6">
        <f>B4*3</f>
        <v>12</v>
      </c>
      <c r="D4" s="6">
        <f>$B4*(1-Баланс!$B$1)</f>
        <v>3.2</v>
      </c>
      <c r="E4" s="6">
        <f>$B4*(1+Баланс!$B$1)</f>
        <v>4.8</v>
      </c>
      <c r="F4" s="6">
        <f>$C4*(1-Баланс!$B$1)</f>
        <v>9.6000000000000014</v>
      </c>
      <c r="G4" s="6">
        <f>$C4*(1+Баланс!$B$1)</f>
        <v>14.399999999999999</v>
      </c>
      <c r="H4" s="6">
        <f t="shared" ref="H4:H7" si="1">(D4*F4)/10</f>
        <v>3.0720000000000005</v>
      </c>
      <c r="I4" s="6">
        <f t="shared" ref="I4:I7" si="2">(E4*G4)/10</f>
        <v>6.911999999999999</v>
      </c>
      <c r="J4" s="8">
        <v>0.1</v>
      </c>
      <c r="K4" s="8">
        <v>0.55000000000000004</v>
      </c>
      <c r="L4" s="8">
        <f>K4*0.5</f>
        <v>0.27500000000000002</v>
      </c>
      <c r="N4" s="3" t="s">
        <v>28</v>
      </c>
      <c r="O4" s="8">
        <f>J5</f>
        <v>0</v>
      </c>
      <c r="P4" s="8">
        <f>J13</f>
        <v>0.2</v>
      </c>
      <c r="Q4" t="str">
        <f>"y="&amp;(P4-O4)&amp;"x"&amp;"+"&amp;O4*100</f>
        <v>y=0,2x+0</v>
      </c>
      <c r="S4" s="3" t="s">
        <v>29</v>
      </c>
      <c r="T4" s="8">
        <f>K6</f>
        <v>0.14000000000000001</v>
      </c>
      <c r="U4" s="8">
        <f>K14</f>
        <v>0.1</v>
      </c>
      <c r="V4" t="str">
        <f t="shared" si="0"/>
        <v>y=-0,04x+14</v>
      </c>
      <c r="X4" s="3" t="s">
        <v>28</v>
      </c>
      <c r="Y4" s="8">
        <v>0.125</v>
      </c>
      <c r="Z4" s="8">
        <v>0.5</v>
      </c>
      <c r="AA4" t="str">
        <f>"y="&amp;(Z4-Y4)&amp;"x"&amp;"+"&amp;Y4*100</f>
        <v>y=0,375x+12,5</v>
      </c>
    </row>
    <row r="5" spans="1:27" x14ac:dyDescent="0.25">
      <c r="A5" s="3" t="s">
        <v>28</v>
      </c>
      <c r="B5" s="6">
        <f>Противники!C7/5</f>
        <v>6</v>
      </c>
      <c r="C5" s="6">
        <f>B5*3</f>
        <v>18</v>
      </c>
      <c r="D5" s="6">
        <f>$B5*(1-Баланс!$B$1)</f>
        <v>4.8000000000000007</v>
      </c>
      <c r="E5" s="6">
        <f>$B5*(1+Баланс!$B$1)</f>
        <v>7.1999999999999993</v>
      </c>
      <c r="F5" s="6">
        <f>$C5*(1-Баланс!$B$1)</f>
        <v>14.4</v>
      </c>
      <c r="G5" s="6">
        <f>$C5*(1+Баланс!$B$1)</f>
        <v>21.599999999999998</v>
      </c>
      <c r="H5" s="6">
        <f t="shared" si="1"/>
        <v>6.9120000000000017</v>
      </c>
      <c r="I5" s="6">
        <f t="shared" si="2"/>
        <v>15.551999999999998</v>
      </c>
      <c r="J5" s="8">
        <v>0</v>
      </c>
      <c r="K5" s="8">
        <v>0.25</v>
      </c>
      <c r="L5" s="8">
        <f t="shared" ref="L5:L7" si="3">K5*0.5</f>
        <v>0.125</v>
      </c>
      <c r="N5" s="3" t="s">
        <v>29</v>
      </c>
      <c r="O5" s="8">
        <f>J6</f>
        <v>0.05</v>
      </c>
      <c r="P5" s="8">
        <f>J14</f>
        <v>0.25</v>
      </c>
      <c r="Q5" t="str">
        <f>"y="&amp;(P5-O5)&amp;"x"&amp;"+"&amp;O5*100</f>
        <v>y=0,2x+5</v>
      </c>
      <c r="S5" s="3" t="s">
        <v>30</v>
      </c>
      <c r="T5" s="8">
        <f>K7</f>
        <v>0.06</v>
      </c>
      <c r="U5" s="8">
        <f>K15</f>
        <v>0.1</v>
      </c>
      <c r="V5" t="str">
        <f t="shared" si="0"/>
        <v>y=0,04x+6</v>
      </c>
      <c r="X5" s="3" t="s">
        <v>29</v>
      </c>
      <c r="Y5" s="8">
        <v>7.0000000000000007E-2</v>
      </c>
      <c r="Z5" s="8">
        <v>0.08</v>
      </c>
      <c r="AA5" t="str">
        <f>"y="&amp;(Z5-Y5)&amp;"x"&amp;"+"&amp;Y5*100</f>
        <v>y=0,01x+7</v>
      </c>
    </row>
    <row r="6" spans="1:27" x14ac:dyDescent="0.25">
      <c r="A6" s="3" t="s">
        <v>29</v>
      </c>
      <c r="B6" s="6">
        <f>B4*2</f>
        <v>8</v>
      </c>
      <c r="C6" s="6">
        <f>B6*3</f>
        <v>24</v>
      </c>
      <c r="D6" s="6">
        <f>$B6*(1-Баланс!$B$1)</f>
        <v>6.4</v>
      </c>
      <c r="E6" s="6">
        <f>$B6*(1+Баланс!$B$1)</f>
        <v>9.6</v>
      </c>
      <c r="F6" s="6">
        <f>$C6*(1-Баланс!$B$1)</f>
        <v>19.200000000000003</v>
      </c>
      <c r="G6" s="6">
        <f>$C6*(1+Баланс!$B$1)</f>
        <v>28.799999999999997</v>
      </c>
      <c r="H6" s="6">
        <f t="shared" si="1"/>
        <v>12.288000000000002</v>
      </c>
      <c r="I6" s="6">
        <f t="shared" si="2"/>
        <v>27.647999999999996</v>
      </c>
      <c r="J6" s="8">
        <v>0.05</v>
      </c>
      <c r="K6" s="8">
        <v>0.14000000000000001</v>
      </c>
      <c r="L6" s="8">
        <f t="shared" si="3"/>
        <v>7.0000000000000007E-2</v>
      </c>
      <c r="N6" s="3" t="s">
        <v>30</v>
      </c>
      <c r="O6" s="8">
        <f>J7</f>
        <v>0</v>
      </c>
      <c r="P6" s="8">
        <f>J15</f>
        <v>0.1</v>
      </c>
      <c r="Q6" t="str">
        <f>"y="&amp;(P6-O6)&amp;"x"&amp;"+"&amp;O6*100</f>
        <v>y=0,1x+0</v>
      </c>
      <c r="X6" s="3" t="s">
        <v>30</v>
      </c>
      <c r="Y6" s="8">
        <v>0.03</v>
      </c>
      <c r="Z6" s="8">
        <v>0.12</v>
      </c>
      <c r="AA6" t="str">
        <f>"y="&amp;(Z6-Y6)&amp;"x"&amp;"+"&amp;Y6*100</f>
        <v>y=0,09x+3</v>
      </c>
    </row>
    <row r="7" spans="1:27" x14ac:dyDescent="0.25">
      <c r="A7" s="3" t="s">
        <v>30</v>
      </c>
      <c r="B7" s="6">
        <f>B5*2</f>
        <v>12</v>
      </c>
      <c r="C7" s="6">
        <f>B7*3</f>
        <v>36</v>
      </c>
      <c r="D7" s="6">
        <f>$B7*(1-Баланс!$B$1)</f>
        <v>9.6000000000000014</v>
      </c>
      <c r="E7" s="6">
        <f>$B7*(1+Баланс!$B$1)</f>
        <v>14.399999999999999</v>
      </c>
      <c r="F7" s="6">
        <f>$C7*(1-Баланс!$B$1)</f>
        <v>28.8</v>
      </c>
      <c r="G7" s="6">
        <f>$C7*(1+Баланс!$B$1)</f>
        <v>43.199999999999996</v>
      </c>
      <c r="H7" s="6">
        <f t="shared" si="1"/>
        <v>27.648000000000007</v>
      </c>
      <c r="I7" s="6">
        <f t="shared" si="2"/>
        <v>62.207999999999991</v>
      </c>
      <c r="J7" s="8">
        <v>0</v>
      </c>
      <c r="K7" s="8">
        <v>0.06</v>
      </c>
      <c r="L7" s="8">
        <f t="shared" si="3"/>
        <v>0.03</v>
      </c>
    </row>
    <row r="9" spans="1:27" x14ac:dyDescent="0.25">
      <c r="A9" s="3">
        <v>100</v>
      </c>
      <c r="B9" s="29" t="s">
        <v>12</v>
      </c>
      <c r="C9" s="31"/>
      <c r="D9" s="29" t="s">
        <v>9</v>
      </c>
      <c r="E9" s="31"/>
      <c r="F9" s="29" t="s">
        <v>23</v>
      </c>
      <c r="G9" s="31"/>
      <c r="H9" s="29" t="s">
        <v>24</v>
      </c>
      <c r="I9" s="31"/>
      <c r="J9" s="28" t="s">
        <v>31</v>
      </c>
      <c r="K9" s="28"/>
      <c r="L9" s="28"/>
    </row>
    <row r="10" spans="1:27" x14ac:dyDescent="0.25">
      <c r="A10" s="3"/>
      <c r="B10" s="3" t="s">
        <v>9</v>
      </c>
      <c r="C10" s="3" t="s">
        <v>23</v>
      </c>
      <c r="D10" s="3" t="s">
        <v>10</v>
      </c>
      <c r="E10" s="3" t="s">
        <v>11</v>
      </c>
      <c r="F10" s="3" t="s">
        <v>10</v>
      </c>
      <c r="G10" s="3" t="s">
        <v>11</v>
      </c>
      <c r="H10" s="3" t="s">
        <v>10</v>
      </c>
      <c r="I10" s="3" t="s">
        <v>11</v>
      </c>
      <c r="J10" s="3" t="s">
        <v>32</v>
      </c>
      <c r="K10" s="3" t="s">
        <v>33</v>
      </c>
      <c r="L10" s="3" t="s">
        <v>39</v>
      </c>
    </row>
    <row r="11" spans="1:27" x14ac:dyDescent="0.25">
      <c r="A11" s="3" t="s">
        <v>26</v>
      </c>
      <c r="B11" s="6">
        <f>(1+(Баланс!$B$2 *$A$9))*B3</f>
        <v>4</v>
      </c>
      <c r="C11" s="6">
        <f>C3</f>
        <v>3</v>
      </c>
      <c r="D11" s="6">
        <f>$B11*(1-Баланс!$B$1)</f>
        <v>3.2</v>
      </c>
      <c r="E11" s="6">
        <f>$B11*(1+Баланс!$B$1)</f>
        <v>4.8</v>
      </c>
      <c r="F11" s="6">
        <f>$C11*(1-Баланс!$B$1)</f>
        <v>2.4000000000000004</v>
      </c>
      <c r="G11" s="6">
        <f>$C11*(1+Баланс!$B$1)</f>
        <v>3.5999999999999996</v>
      </c>
      <c r="H11" s="6">
        <f>(D11*F11)/10</f>
        <v>0.76800000000000013</v>
      </c>
      <c r="I11" s="6">
        <f>(E11*G11)/10</f>
        <v>1.7279999999999998</v>
      </c>
      <c r="J11" s="8">
        <v>-0.85</v>
      </c>
      <c r="K11" s="8">
        <v>0</v>
      </c>
      <c r="L11" s="8">
        <v>-1.17</v>
      </c>
    </row>
    <row r="12" spans="1:27" x14ac:dyDescent="0.25">
      <c r="A12" s="3" t="s">
        <v>27</v>
      </c>
      <c r="B12" s="6">
        <f>(1+(Баланс!$B$2 *$A$9))*B4</f>
        <v>8</v>
      </c>
      <c r="C12" s="6">
        <f t="shared" ref="C12:C15" si="4">C4</f>
        <v>12</v>
      </c>
      <c r="D12" s="6">
        <f>$B12*(1-Баланс!$B$1)</f>
        <v>6.4</v>
      </c>
      <c r="E12" s="6">
        <f>$B12*(1+Баланс!$B$1)</f>
        <v>9.6</v>
      </c>
      <c r="F12" s="6">
        <f>$C12*(1-Баланс!$B$1)</f>
        <v>9.6000000000000014</v>
      </c>
      <c r="G12" s="6">
        <f>$C12*(1+Баланс!$B$1)</f>
        <v>14.399999999999999</v>
      </c>
      <c r="H12" s="6">
        <f t="shared" ref="H12:H15" si="5">(D12*F12)/10</f>
        <v>6.144000000000001</v>
      </c>
      <c r="I12" s="6">
        <f t="shared" ref="I12:I15" si="6">(E12*G12)/10</f>
        <v>13.823999999999998</v>
      </c>
      <c r="J12" s="8">
        <v>0.45</v>
      </c>
      <c r="K12" s="8">
        <v>0.4</v>
      </c>
      <c r="L12" s="8">
        <v>0.3</v>
      </c>
    </row>
    <row r="13" spans="1:27" x14ac:dyDescent="0.25">
      <c r="A13" s="3" t="s">
        <v>28</v>
      </c>
      <c r="B13" s="6">
        <f>(1+(Баланс!$B$2 *$A$9))*B5</f>
        <v>12</v>
      </c>
      <c r="C13" s="6">
        <f t="shared" si="4"/>
        <v>18</v>
      </c>
      <c r="D13" s="6">
        <f>$B13*(1-Баланс!$B$1)</f>
        <v>9.6000000000000014</v>
      </c>
      <c r="E13" s="6">
        <f>$B13*(1+Баланс!$B$1)</f>
        <v>14.399999999999999</v>
      </c>
      <c r="F13" s="6">
        <f>$C13*(1-Баланс!$B$1)</f>
        <v>14.4</v>
      </c>
      <c r="G13" s="6">
        <f>$C13*(1+Баланс!$B$1)</f>
        <v>21.599999999999998</v>
      </c>
      <c r="H13" s="6">
        <f t="shared" si="5"/>
        <v>13.824000000000003</v>
      </c>
      <c r="I13" s="6">
        <f t="shared" si="6"/>
        <v>31.103999999999996</v>
      </c>
      <c r="J13" s="8">
        <v>0.2</v>
      </c>
      <c r="K13" s="8">
        <v>0.4</v>
      </c>
      <c r="L13" s="8">
        <v>0.5</v>
      </c>
    </row>
    <row r="14" spans="1:27" x14ac:dyDescent="0.25">
      <c r="A14" s="3" t="s">
        <v>29</v>
      </c>
      <c r="B14" s="6">
        <f>(1+(Баланс!$B$2 *$A$9))*B6</f>
        <v>16</v>
      </c>
      <c r="C14" s="6">
        <f t="shared" si="4"/>
        <v>24</v>
      </c>
      <c r="D14" s="6">
        <f>$B14*(1-Баланс!$B$1)</f>
        <v>12.8</v>
      </c>
      <c r="E14" s="6">
        <f>$B14*(1+Баланс!$B$1)</f>
        <v>19.2</v>
      </c>
      <c r="F14" s="6">
        <f>$C14*(1-Баланс!$B$1)</f>
        <v>19.200000000000003</v>
      </c>
      <c r="G14" s="6">
        <f>$C14*(1+Баланс!$B$1)</f>
        <v>28.799999999999997</v>
      </c>
      <c r="H14" s="6">
        <f t="shared" si="5"/>
        <v>24.576000000000004</v>
      </c>
      <c r="I14" s="6">
        <f t="shared" si="6"/>
        <v>55.295999999999992</v>
      </c>
      <c r="J14" s="8">
        <v>0.25</v>
      </c>
      <c r="K14" s="8">
        <v>0.1</v>
      </c>
      <c r="L14" s="8">
        <v>0.08</v>
      </c>
    </row>
    <row r="15" spans="1:27" x14ac:dyDescent="0.25">
      <c r="A15" s="3" t="s">
        <v>30</v>
      </c>
      <c r="B15" s="6">
        <f>(1+(Баланс!$B$2 *$A$9))*B7</f>
        <v>24</v>
      </c>
      <c r="C15" s="6">
        <f t="shared" si="4"/>
        <v>36</v>
      </c>
      <c r="D15" s="6">
        <f>$B15*(1-Баланс!$B$1)</f>
        <v>19.200000000000003</v>
      </c>
      <c r="E15" s="6">
        <f>$B15*(1+Баланс!$B$1)</f>
        <v>28.799999999999997</v>
      </c>
      <c r="F15" s="6">
        <f>$C15*(1-Баланс!$B$1)</f>
        <v>28.8</v>
      </c>
      <c r="G15" s="6">
        <f>$C15*(1+Баланс!$B$1)</f>
        <v>43.199999999999996</v>
      </c>
      <c r="H15" s="6">
        <f t="shared" si="5"/>
        <v>55.296000000000014</v>
      </c>
      <c r="I15" s="6">
        <f t="shared" si="6"/>
        <v>124.41599999999998</v>
      </c>
      <c r="J15" s="8">
        <v>0.1</v>
      </c>
      <c r="K15" s="8">
        <v>0.1</v>
      </c>
      <c r="L15" s="8">
        <v>0.12</v>
      </c>
    </row>
  </sheetData>
  <mergeCells count="10">
    <mergeCell ref="H9:I9"/>
    <mergeCell ref="J1:L1"/>
    <mergeCell ref="J9:L9"/>
    <mergeCell ref="B1:C1"/>
    <mergeCell ref="B9:C9"/>
    <mergeCell ref="D1:E1"/>
    <mergeCell ref="F1:G1"/>
    <mergeCell ref="H1:I1"/>
    <mergeCell ref="D9:E9"/>
    <mergeCell ref="F9:G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4E99-011F-49E2-A8A1-00960F03427B}">
  <dimension ref="A1:AA14"/>
  <sheetViews>
    <sheetView zoomScale="115" zoomScaleNormal="115" workbookViewId="0">
      <selection activeCell="S26" sqref="S26"/>
    </sheetView>
  </sheetViews>
  <sheetFormatPr defaultRowHeight="15" x14ac:dyDescent="0.25"/>
  <cols>
    <col min="1" max="1" width="8" bestFit="1" customWidth="1"/>
    <col min="2" max="2" width="6" bestFit="1" customWidth="1"/>
    <col min="3" max="3" width="9" bestFit="1" customWidth="1"/>
    <col min="4" max="4" width="5" bestFit="1" customWidth="1"/>
    <col min="5" max="5" width="5.5703125" bestFit="1" customWidth="1"/>
    <col min="6" max="6" width="5" bestFit="1" customWidth="1"/>
    <col min="7" max="7" width="5.5703125" bestFit="1" customWidth="1"/>
    <col min="8" max="8" width="5" bestFit="1" customWidth="1"/>
    <col min="9" max="9" width="5.5703125" bestFit="1" customWidth="1"/>
    <col min="10" max="10" width="8.7109375" bestFit="1" customWidth="1"/>
    <col min="11" max="11" width="8.28515625" bestFit="1" customWidth="1"/>
    <col min="17" max="17" width="11.7109375" bestFit="1" customWidth="1"/>
    <col min="22" max="22" width="8.28515625" bestFit="1" customWidth="1"/>
    <col min="27" max="27" width="11.7109375" bestFit="1" customWidth="1"/>
  </cols>
  <sheetData>
    <row r="1" spans="1:27" x14ac:dyDescent="0.25">
      <c r="A1" s="3">
        <v>0</v>
      </c>
      <c r="B1" s="28" t="s">
        <v>12</v>
      </c>
      <c r="C1" s="28"/>
      <c r="D1" s="28" t="s">
        <v>11</v>
      </c>
      <c r="E1" s="28"/>
      <c r="F1" s="28" t="s">
        <v>34</v>
      </c>
      <c r="G1" s="28"/>
      <c r="H1" s="28" t="s">
        <v>24</v>
      </c>
      <c r="I1" s="28"/>
      <c r="J1" s="28" t="s">
        <v>31</v>
      </c>
      <c r="K1" s="28"/>
      <c r="L1" s="28"/>
      <c r="M1" s="10"/>
      <c r="N1" s="17" t="s">
        <v>32</v>
      </c>
      <c r="O1" s="3">
        <v>0</v>
      </c>
      <c r="P1" s="3">
        <v>100</v>
      </c>
      <c r="S1" s="17" t="s">
        <v>33</v>
      </c>
      <c r="T1" s="3">
        <v>0</v>
      </c>
      <c r="U1" s="3">
        <v>100</v>
      </c>
      <c r="X1" s="17" t="s">
        <v>39</v>
      </c>
      <c r="Y1" s="3">
        <v>0</v>
      </c>
      <c r="Z1" s="3">
        <v>100</v>
      </c>
    </row>
    <row r="2" spans="1:27" x14ac:dyDescent="0.25">
      <c r="A2" s="3"/>
      <c r="B2" s="3" t="s">
        <v>11</v>
      </c>
      <c r="C2" s="3" t="s">
        <v>34</v>
      </c>
      <c r="D2" s="3" t="s">
        <v>10</v>
      </c>
      <c r="E2" s="3" t="s">
        <v>11</v>
      </c>
      <c r="F2" s="3" t="s">
        <v>10</v>
      </c>
      <c r="G2" s="3" t="s">
        <v>11</v>
      </c>
      <c r="H2" s="3" t="s">
        <v>10</v>
      </c>
      <c r="I2" s="3" t="s">
        <v>11</v>
      </c>
      <c r="J2" s="17" t="s">
        <v>32</v>
      </c>
      <c r="K2" s="17" t="s">
        <v>33</v>
      </c>
      <c r="L2" s="17" t="s">
        <v>39</v>
      </c>
      <c r="M2" s="10"/>
      <c r="N2" s="3" t="s">
        <v>35</v>
      </c>
      <c r="O2" s="8">
        <v>0.67</v>
      </c>
      <c r="P2" s="8">
        <v>0.33</v>
      </c>
      <c r="Q2" t="str">
        <f>"y="&amp;(P2-O2)&amp;"x"&amp;"+"&amp;O2*100</f>
        <v>y=-0,34x+67</v>
      </c>
      <c r="S2" s="3" t="s">
        <v>35</v>
      </c>
      <c r="T2" s="8">
        <v>0</v>
      </c>
      <c r="U2" s="8">
        <v>0</v>
      </c>
      <c r="V2" t="str">
        <f>"y="&amp;(U2-T2)&amp;"x"&amp;"+"&amp;T2*100</f>
        <v>y=0x+0</v>
      </c>
      <c r="X2" s="3" t="s">
        <v>35</v>
      </c>
      <c r="Y2" s="8">
        <v>0.3</v>
      </c>
      <c r="Z2" s="8">
        <v>0.15</v>
      </c>
      <c r="AA2" t="str">
        <f>"y="&amp;(Z2-Y2)&amp;"x"&amp;"+"&amp;Y2*100</f>
        <v>y=-0,15x+30</v>
      </c>
    </row>
    <row r="3" spans="1:27" x14ac:dyDescent="0.25">
      <c r="A3" s="3" t="s">
        <v>35</v>
      </c>
      <c r="B3" s="3">
        <v>0</v>
      </c>
      <c r="C3" s="3">
        <f>Игрок!B1*0.2</f>
        <v>20</v>
      </c>
      <c r="D3" s="3">
        <f>$B3*(1-Баланс!$B$1)</f>
        <v>0</v>
      </c>
      <c r="E3" s="3">
        <f>$B3*(1+Баланс!$B$1)</f>
        <v>0</v>
      </c>
      <c r="F3" s="3">
        <f>$C3*(1-Баланс!$B$1)</f>
        <v>16</v>
      </c>
      <c r="G3" s="3">
        <f>$C3*(1+Баланс!$B$1)</f>
        <v>24</v>
      </c>
      <c r="H3" s="3">
        <f>(D3*5)+(F3*0.5)</f>
        <v>8</v>
      </c>
      <c r="I3" s="3">
        <f>(E3*5)+(G3*0.5)</f>
        <v>12</v>
      </c>
      <c r="J3" s="8">
        <v>0.67</v>
      </c>
      <c r="K3" s="8">
        <v>0</v>
      </c>
      <c r="L3" s="8">
        <v>0.3</v>
      </c>
      <c r="M3" s="11"/>
      <c r="N3" s="3" t="s">
        <v>38</v>
      </c>
      <c r="O3" s="8">
        <v>0.22</v>
      </c>
      <c r="P3" s="8">
        <v>0.44</v>
      </c>
      <c r="Q3" t="str">
        <f t="shared" ref="Q3:Q5" si="0">"y="&amp;(P3-O3)&amp;"x"&amp;"+"&amp;O3*100</f>
        <v>y=0,22x+22</v>
      </c>
      <c r="S3" s="3" t="s">
        <v>38</v>
      </c>
      <c r="T3" s="8">
        <v>0.6</v>
      </c>
      <c r="U3" s="8">
        <v>0.6</v>
      </c>
      <c r="V3" t="str">
        <f t="shared" ref="V3:V5" si="1">"y="&amp;(U3-T3)&amp;"x"&amp;"+"&amp;T3*100</f>
        <v>y=0x+60</v>
      </c>
      <c r="X3" s="3" t="s">
        <v>38</v>
      </c>
      <c r="Y3" s="8">
        <v>0.4</v>
      </c>
      <c r="Z3" s="8">
        <v>0.5</v>
      </c>
      <c r="AA3" t="str">
        <f t="shared" ref="AA3:AA5" si="2">"y="&amp;(Z3-Y3)&amp;"x"&amp;"+"&amp;Y3*100</f>
        <v>y=0,1x+40</v>
      </c>
    </row>
    <row r="4" spans="1:27" x14ac:dyDescent="0.25">
      <c r="A4" s="3" t="s">
        <v>38</v>
      </c>
      <c r="B4" s="3">
        <v>0</v>
      </c>
      <c r="C4" s="3">
        <f>C3*3</f>
        <v>60</v>
      </c>
      <c r="D4" s="3">
        <f>$B4*(1-Баланс!$B$1)</f>
        <v>0</v>
      </c>
      <c r="E4" s="3">
        <f>$B4*(1+Баланс!$B$1)</f>
        <v>0</v>
      </c>
      <c r="F4" s="3">
        <f>$C4*(1-Баланс!$B$1)</f>
        <v>48</v>
      </c>
      <c r="G4" s="3">
        <f>$C4*(1+Баланс!$B$1)</f>
        <v>72</v>
      </c>
      <c r="H4" s="3">
        <f t="shared" ref="H4:H5" si="3">(D4*5)+(F4*0.5)</f>
        <v>24</v>
      </c>
      <c r="I4" s="3">
        <f t="shared" ref="I4:I5" si="4">(E4*5)+(G4*0.5)</f>
        <v>36</v>
      </c>
      <c r="J4" s="8">
        <v>0.22</v>
      </c>
      <c r="K4" s="8">
        <v>0.6</v>
      </c>
      <c r="L4" s="8">
        <v>0.4</v>
      </c>
      <c r="M4" s="11"/>
      <c r="N4" s="3" t="s">
        <v>36</v>
      </c>
      <c r="O4" s="8">
        <v>0.1</v>
      </c>
      <c r="P4" s="8">
        <v>0.21</v>
      </c>
      <c r="Q4" t="str">
        <f t="shared" si="0"/>
        <v>y=0,11x+10</v>
      </c>
      <c r="S4" s="3" t="s">
        <v>36</v>
      </c>
      <c r="T4" s="8">
        <v>0.3</v>
      </c>
      <c r="U4" s="8">
        <v>0.3</v>
      </c>
      <c r="V4" t="str">
        <f t="shared" si="1"/>
        <v>y=0x+30</v>
      </c>
      <c r="X4" s="3" t="s">
        <v>36</v>
      </c>
      <c r="Y4" s="8">
        <v>0.2</v>
      </c>
      <c r="Z4" s="8">
        <v>0.25</v>
      </c>
      <c r="AA4" t="str">
        <f t="shared" si="2"/>
        <v>y=0,05x+20</v>
      </c>
    </row>
    <row r="5" spans="1:27" x14ac:dyDescent="0.25">
      <c r="A5" s="3" t="s">
        <v>36</v>
      </c>
      <c r="B5" s="3">
        <f>Игрок!B1*0.1</f>
        <v>10</v>
      </c>
      <c r="C5" s="3">
        <f>C4*0.5</f>
        <v>30</v>
      </c>
      <c r="D5" s="3">
        <f>$B5*(1-Баланс!$B$1)</f>
        <v>8</v>
      </c>
      <c r="E5" s="3">
        <f>$B5*(1+Баланс!$B$1)</f>
        <v>12</v>
      </c>
      <c r="F5" s="3">
        <f>$C5*(1-Баланс!$B$1)</f>
        <v>24</v>
      </c>
      <c r="G5" s="3">
        <f>$C5*(1+Баланс!$B$1)</f>
        <v>36</v>
      </c>
      <c r="H5" s="3">
        <f t="shared" si="3"/>
        <v>52</v>
      </c>
      <c r="I5" s="3">
        <f t="shared" si="4"/>
        <v>78</v>
      </c>
      <c r="J5" s="8">
        <v>0.1</v>
      </c>
      <c r="K5" s="8">
        <v>0.3</v>
      </c>
      <c r="L5" s="8">
        <v>0.2</v>
      </c>
      <c r="M5" s="11"/>
      <c r="N5" s="3" t="s">
        <v>37</v>
      </c>
      <c r="O5" s="8">
        <v>0.01</v>
      </c>
      <c r="P5" s="8">
        <v>0.02</v>
      </c>
      <c r="Q5" t="str">
        <f t="shared" si="0"/>
        <v>y=0,01x+1</v>
      </c>
      <c r="S5" s="3" t="s">
        <v>37</v>
      </c>
      <c r="T5" s="8">
        <v>0.1</v>
      </c>
      <c r="U5" s="8">
        <v>0.1</v>
      </c>
      <c r="V5" t="str">
        <f t="shared" si="1"/>
        <v>y=0x+10</v>
      </c>
      <c r="X5" s="3" t="s">
        <v>37</v>
      </c>
      <c r="Y5" s="8">
        <v>0.1</v>
      </c>
      <c r="Z5" s="8">
        <v>0.1</v>
      </c>
      <c r="AA5" t="str">
        <f t="shared" si="2"/>
        <v>y=0x+10</v>
      </c>
    </row>
    <row r="6" spans="1:27" x14ac:dyDescent="0.25">
      <c r="A6" s="3" t="s">
        <v>37</v>
      </c>
      <c r="B6" s="3">
        <f>Игрок!B1*0.25</f>
        <v>25</v>
      </c>
      <c r="C6" s="3">
        <f>Игрок!B1*0.5</f>
        <v>50</v>
      </c>
      <c r="D6" s="3">
        <f>-B6</f>
        <v>-25</v>
      </c>
      <c r="E6" s="3">
        <f>B6</f>
        <v>25</v>
      </c>
      <c r="F6" s="3">
        <f>-C6</f>
        <v>-50</v>
      </c>
      <c r="G6" s="3">
        <f>C6</f>
        <v>50</v>
      </c>
      <c r="H6" s="19">
        <f>AVERAGE(H3:I3)*2</f>
        <v>20</v>
      </c>
      <c r="I6" s="19">
        <f>H6</f>
        <v>20</v>
      </c>
      <c r="J6" s="8">
        <v>0.01</v>
      </c>
      <c r="K6" s="8">
        <v>0.1</v>
      </c>
      <c r="L6" s="8">
        <v>0.1</v>
      </c>
      <c r="M6" s="11"/>
      <c r="N6" s="11"/>
    </row>
    <row r="8" spans="1:27" x14ac:dyDescent="0.25">
      <c r="A8" s="3">
        <v>100</v>
      </c>
      <c r="B8" s="28" t="s">
        <v>12</v>
      </c>
      <c r="C8" s="28"/>
      <c r="D8" s="28" t="s">
        <v>11</v>
      </c>
      <c r="E8" s="28"/>
      <c r="F8" s="28" t="s">
        <v>34</v>
      </c>
      <c r="G8" s="28"/>
      <c r="H8" s="28" t="s">
        <v>24</v>
      </c>
      <c r="I8" s="28"/>
      <c r="J8" s="28" t="s">
        <v>31</v>
      </c>
      <c r="K8" s="28"/>
      <c r="L8" s="28"/>
    </row>
    <row r="9" spans="1:27" x14ac:dyDescent="0.25">
      <c r="A9" s="3"/>
      <c r="B9" s="3" t="s">
        <v>11</v>
      </c>
      <c r="C9" s="3" t="s">
        <v>34</v>
      </c>
      <c r="D9" s="3" t="s">
        <v>10</v>
      </c>
      <c r="E9" s="3" t="s">
        <v>11</v>
      </c>
      <c r="F9" s="3" t="s">
        <v>10</v>
      </c>
      <c r="G9" s="3" t="s">
        <v>11</v>
      </c>
      <c r="H9" s="3" t="s">
        <v>10</v>
      </c>
      <c r="I9" s="3" t="s">
        <v>11</v>
      </c>
      <c r="J9" s="17" t="s">
        <v>32</v>
      </c>
      <c r="K9" s="17" t="s">
        <v>33</v>
      </c>
      <c r="L9" s="17" t="s">
        <v>39</v>
      </c>
    </row>
    <row r="10" spans="1:27" x14ac:dyDescent="0.25">
      <c r="A10" s="3" t="s">
        <v>35</v>
      </c>
      <c r="B10" s="3">
        <f>(1+Баланс!$B$2*$A$8)*B3</f>
        <v>0</v>
      </c>
      <c r="C10" s="3">
        <f>C3</f>
        <v>20</v>
      </c>
      <c r="D10" s="3">
        <f>$B10*(1-Баланс!$B$1)</f>
        <v>0</v>
      </c>
      <c r="E10" s="3">
        <f>$B10*(1+Баланс!$B$1)</f>
        <v>0</v>
      </c>
      <c r="F10" s="3">
        <f>$C10*(1-Баланс!$B$1)</f>
        <v>16</v>
      </c>
      <c r="G10" s="3">
        <f>$C10*(1+Баланс!$B$1)</f>
        <v>24</v>
      </c>
      <c r="H10" s="3">
        <f>(D10*5)+(F10*0.5)</f>
        <v>8</v>
      </c>
      <c r="I10" s="3">
        <f>(E10*5)+(G10*0.5)</f>
        <v>12</v>
      </c>
      <c r="J10" s="8">
        <v>0.33</v>
      </c>
      <c r="K10" s="8">
        <v>0</v>
      </c>
      <c r="L10" s="8">
        <v>0.15</v>
      </c>
    </row>
    <row r="11" spans="1:27" x14ac:dyDescent="0.25">
      <c r="A11" s="3" t="s">
        <v>38</v>
      </c>
      <c r="B11" s="3">
        <f>(1+Баланс!$B$2*$A$8)*B4</f>
        <v>0</v>
      </c>
      <c r="C11" s="3">
        <f>(1+Баланс!$B$2*$A$8)*C4</f>
        <v>120</v>
      </c>
      <c r="D11" s="3">
        <f>$B11*(1-Баланс!$B$1)</f>
        <v>0</v>
      </c>
      <c r="E11" s="3">
        <f>$B11*(1+Баланс!$B$1)</f>
        <v>0</v>
      </c>
      <c r="F11" s="3">
        <f>$C11*(1-Баланс!$B$1)</f>
        <v>96</v>
      </c>
      <c r="G11" s="3">
        <f>$C11*(1+Баланс!$B$1)</f>
        <v>144</v>
      </c>
      <c r="H11" s="3">
        <f t="shared" ref="H11:H12" si="5">(D11*5)+(F11*0.5)</f>
        <v>48</v>
      </c>
      <c r="I11" s="3">
        <f t="shared" ref="I11:I12" si="6">(E11*5)+(G11*0.5)</f>
        <v>72</v>
      </c>
      <c r="J11" s="8">
        <v>0.44</v>
      </c>
      <c r="K11" s="8">
        <v>0.6</v>
      </c>
      <c r="L11" s="8">
        <v>0.5</v>
      </c>
    </row>
    <row r="12" spans="1:27" x14ac:dyDescent="0.25">
      <c r="A12" s="3" t="s">
        <v>36</v>
      </c>
      <c r="B12" s="3">
        <f>(1+Баланс!$B$2*$A$8)*B5</f>
        <v>20</v>
      </c>
      <c r="C12" s="3">
        <f>(1+Баланс!$B$2*$A$8)*C5</f>
        <v>60</v>
      </c>
      <c r="D12" s="3">
        <f>$B12*(1-Баланс!$B$1)</f>
        <v>16</v>
      </c>
      <c r="E12" s="3">
        <f>$B12*(1+Баланс!$B$1)</f>
        <v>24</v>
      </c>
      <c r="F12" s="3">
        <f>$C12*(1-Баланс!$B$1)</f>
        <v>48</v>
      </c>
      <c r="G12" s="3">
        <f>$C12*(1+Баланс!$B$1)</f>
        <v>72</v>
      </c>
      <c r="H12" s="3">
        <f t="shared" si="5"/>
        <v>104</v>
      </c>
      <c r="I12" s="3">
        <f t="shared" si="6"/>
        <v>156</v>
      </c>
      <c r="J12" s="8">
        <v>0.21</v>
      </c>
      <c r="K12" s="8">
        <v>0.3</v>
      </c>
      <c r="L12" s="8">
        <v>0.25</v>
      </c>
    </row>
    <row r="13" spans="1:27" x14ac:dyDescent="0.25">
      <c r="A13" s="3" t="s">
        <v>37</v>
      </c>
      <c r="B13" s="3">
        <f>(1+Баланс!$B$2*$A$8)*B6</f>
        <v>50</v>
      </c>
      <c r="C13" s="3">
        <f>(1+Баланс!$B$2*$A$8)*C6</f>
        <v>100</v>
      </c>
      <c r="D13" s="3">
        <f>-B13</f>
        <v>-50</v>
      </c>
      <c r="E13" s="3">
        <f>B13</f>
        <v>50</v>
      </c>
      <c r="F13" s="3">
        <f>-C13</f>
        <v>-100</v>
      </c>
      <c r="G13" s="3">
        <f>C13</f>
        <v>100</v>
      </c>
      <c r="H13" s="19">
        <f>AVERAGE(H10:I10)*2</f>
        <v>20</v>
      </c>
      <c r="I13" s="19">
        <f>H13</f>
        <v>20</v>
      </c>
      <c r="J13" s="8">
        <v>0.02</v>
      </c>
      <c r="K13" s="8">
        <v>0.1</v>
      </c>
      <c r="L13" s="8">
        <v>0.1</v>
      </c>
    </row>
    <row r="14" spans="1:27" x14ac:dyDescent="0.25">
      <c r="J14" s="20"/>
    </row>
  </sheetData>
  <mergeCells count="10">
    <mergeCell ref="B8:C8"/>
    <mergeCell ref="D8:E8"/>
    <mergeCell ref="F8:G8"/>
    <mergeCell ref="H8:I8"/>
    <mergeCell ref="J1:L1"/>
    <mergeCell ref="J8:L8"/>
    <mergeCell ref="B1:C1"/>
    <mergeCell ref="D1:E1"/>
    <mergeCell ref="F1:G1"/>
    <mergeCell ref="H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Баланс</vt:lpstr>
      <vt:lpstr>Игрок</vt:lpstr>
      <vt:lpstr>Комнаты</vt:lpstr>
      <vt:lpstr>Предметы</vt:lpstr>
      <vt:lpstr>Противники</vt:lpstr>
      <vt:lpstr>Оружие</vt:lpstr>
      <vt:lpstr>Броня</vt:lpstr>
      <vt:lpstr>Хил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2025-08-15T15:32:47Z</dcterms:created>
  <dcterms:modified xsi:type="dcterms:W3CDTF">2025-08-17T17:53:51Z</dcterms:modified>
</cp:coreProperties>
</file>