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ennan's Stuff\Work+Taxes\MSE Research Work\"/>
    </mc:Choice>
  </mc:AlternateContent>
  <xr:revisionPtr revIDLastSave="0" documentId="10_ncr:8100000_{B80F56B3-43C7-40D3-A274-3B89947416F3}" xr6:coauthVersionLast="33" xr6:coauthVersionMax="33" xr10:uidLastSave="{00000000-0000-0000-0000-000000000000}"/>
  <bookViews>
    <workbookView xWindow="0" yWindow="0" windowWidth="28800" windowHeight="12225" activeTab="2" xr2:uid="{135022EF-7436-48C7-8F71-1B47523692FD}"/>
  </bookViews>
  <sheets>
    <sheet name="Estimator" sheetId="1" r:id="rId1"/>
    <sheet name="Notes" sheetId="3" r:id="rId2"/>
    <sheet name="Prices" sheetId="2" r:id="rId3"/>
    <sheet name="Price Index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12" i="2" l="1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60" i="2"/>
  <c r="I459" i="2"/>
  <c r="I458" i="2"/>
  <c r="I457" i="2"/>
  <c r="I456" i="2"/>
  <c r="I455" i="2"/>
  <c r="I454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26" i="2"/>
  <c r="I425" i="2"/>
  <c r="I424" i="2"/>
  <c r="I423" i="2"/>
  <c r="I422" i="2"/>
  <c r="I421" i="2"/>
  <c r="I420" i="2"/>
  <c r="I419" i="2"/>
  <c r="I418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26" i="2"/>
  <c r="I25" i="2"/>
  <c r="I24" i="2"/>
  <c r="I23" i="2"/>
  <c r="I22" i="2"/>
  <c r="H239" i="2"/>
  <c r="H215" i="2"/>
  <c r="H131" i="2"/>
  <c r="H114" i="2"/>
  <c r="H46" i="2"/>
  <c r="G771" i="2"/>
  <c r="H771" i="2" s="1"/>
  <c r="G770" i="2"/>
  <c r="G769" i="2"/>
  <c r="G768" i="2"/>
  <c r="H768" i="2" s="1"/>
  <c r="G767" i="2"/>
  <c r="H767" i="2" s="1"/>
  <c r="G766" i="2"/>
  <c r="G765" i="2"/>
  <c r="G764" i="2"/>
  <c r="H764" i="2" s="1"/>
  <c r="G763" i="2"/>
  <c r="H763" i="2" s="1"/>
  <c r="G762" i="2"/>
  <c r="G761" i="2"/>
  <c r="G760" i="2"/>
  <c r="H760" i="2" s="1"/>
  <c r="G759" i="2"/>
  <c r="G686" i="2"/>
  <c r="G685" i="2"/>
  <c r="G684" i="2"/>
  <c r="H684" i="2" s="1"/>
  <c r="G683" i="2"/>
  <c r="H683" i="2" s="1"/>
  <c r="G682" i="2"/>
  <c r="H682" i="2" s="1"/>
  <c r="G681" i="2"/>
  <c r="G680" i="2"/>
  <c r="G679" i="2"/>
  <c r="H679" i="2" s="1"/>
  <c r="G678" i="2"/>
  <c r="G677" i="2"/>
  <c r="G676" i="2"/>
  <c r="G675" i="2"/>
  <c r="H675" i="2" s="1"/>
  <c r="G674" i="2"/>
  <c r="G672" i="2"/>
  <c r="G671" i="2"/>
  <c r="H671" i="2" s="1"/>
  <c r="G670" i="2"/>
  <c r="G669" i="2"/>
  <c r="G668" i="2"/>
  <c r="H668" i="2" s="1"/>
  <c r="G667" i="2"/>
  <c r="H667" i="2" s="1"/>
  <c r="G666" i="2"/>
  <c r="G665" i="2"/>
  <c r="G664" i="2"/>
  <c r="G663" i="2"/>
  <c r="H663" i="2" s="1"/>
  <c r="G662" i="2"/>
  <c r="G661" i="2"/>
  <c r="G660" i="2"/>
  <c r="G659" i="2"/>
  <c r="H659" i="2" s="1"/>
  <c r="G658" i="2"/>
  <c r="G657" i="2"/>
  <c r="G656" i="2"/>
  <c r="H656" i="2" s="1"/>
  <c r="G655" i="2"/>
  <c r="H655" i="2" s="1"/>
  <c r="G654" i="2"/>
  <c r="G653" i="2"/>
  <c r="G652" i="2"/>
  <c r="G651" i="2"/>
  <c r="G650" i="2"/>
  <c r="G649" i="2"/>
  <c r="G648" i="2"/>
  <c r="G647" i="2"/>
  <c r="H647" i="2" s="1"/>
  <c r="G646" i="2"/>
  <c r="G645" i="2"/>
  <c r="G644" i="2"/>
  <c r="G643" i="2"/>
  <c r="H643" i="2" s="1"/>
  <c r="G642" i="2"/>
  <c r="G641" i="2"/>
  <c r="G632" i="2"/>
  <c r="H632" i="2" s="1"/>
  <c r="G631" i="2"/>
  <c r="H631" i="2" s="1"/>
  <c r="G630" i="2"/>
  <c r="G629" i="2"/>
  <c r="G628" i="2"/>
  <c r="H628" i="2" s="1"/>
  <c r="G627" i="2"/>
  <c r="H627" i="2" s="1"/>
  <c r="G626" i="2"/>
  <c r="G625" i="2"/>
  <c r="G624" i="2"/>
  <c r="H624" i="2" s="1"/>
  <c r="G623" i="2"/>
  <c r="H623" i="2" s="1"/>
  <c r="G622" i="2"/>
  <c r="G621" i="2"/>
  <c r="G620" i="2"/>
  <c r="H620" i="2" s="1"/>
  <c r="G619" i="2"/>
  <c r="H619" i="2" s="1"/>
  <c r="G618" i="2"/>
  <c r="G617" i="2"/>
  <c r="G616" i="2"/>
  <c r="H616" i="2" s="1"/>
  <c r="G615" i="2"/>
  <c r="G614" i="2"/>
  <c r="G613" i="2"/>
  <c r="G612" i="2"/>
  <c r="H612" i="2" s="1"/>
  <c r="G611" i="2"/>
  <c r="H611" i="2" s="1"/>
  <c r="G610" i="2"/>
  <c r="G609" i="2"/>
  <c r="G608" i="2"/>
  <c r="H608" i="2" s="1"/>
  <c r="G607" i="2"/>
  <c r="H607" i="2" s="1"/>
  <c r="G606" i="2"/>
  <c r="G605" i="2"/>
  <c r="G604" i="2"/>
  <c r="H604" i="2" s="1"/>
  <c r="G603" i="2"/>
  <c r="H603" i="2" s="1"/>
  <c r="G602" i="2"/>
  <c r="G601" i="2"/>
  <c r="G600" i="2"/>
  <c r="H600" i="2" s="1"/>
  <c r="G599" i="2"/>
  <c r="H599" i="2" s="1"/>
  <c r="G598" i="2"/>
  <c r="G597" i="2"/>
  <c r="G488" i="2"/>
  <c r="G487" i="2"/>
  <c r="G486" i="2"/>
  <c r="H486" i="2" s="1"/>
  <c r="G485" i="2"/>
  <c r="H485" i="2" s="1"/>
  <c r="G484" i="2"/>
  <c r="G483" i="2"/>
  <c r="G482" i="2"/>
  <c r="H482" i="2" s="1"/>
  <c r="G481" i="2"/>
  <c r="H481" i="2" s="1"/>
  <c r="G480" i="2"/>
  <c r="G479" i="2"/>
  <c r="G478" i="2"/>
  <c r="H478" i="2" s="1"/>
  <c r="G477" i="2"/>
  <c r="H477" i="2" s="1"/>
  <c r="G476" i="2"/>
  <c r="G475" i="2"/>
  <c r="G474" i="2"/>
  <c r="H474" i="2" s="1"/>
  <c r="G473" i="2"/>
  <c r="H473" i="2" s="1"/>
  <c r="G472" i="2"/>
  <c r="G471" i="2"/>
  <c r="G426" i="2"/>
  <c r="G425" i="2"/>
  <c r="G424" i="2"/>
  <c r="H424" i="2" s="1"/>
  <c r="G423" i="2"/>
  <c r="G422" i="2"/>
  <c r="G421" i="2"/>
  <c r="G420" i="2"/>
  <c r="H420" i="2" s="1"/>
  <c r="G419" i="2"/>
  <c r="G418" i="2"/>
  <c r="G417" i="2"/>
  <c r="G344" i="2"/>
  <c r="H344" i="2" s="1"/>
  <c r="G343" i="2"/>
  <c r="H343" i="2" s="1"/>
  <c r="G342" i="2"/>
  <c r="H342" i="2" s="1"/>
  <c r="G341" i="2"/>
  <c r="G340" i="2"/>
  <c r="H340" i="2" s="1"/>
  <c r="G339" i="2"/>
  <c r="G338" i="2"/>
  <c r="H338" i="2" s="1"/>
  <c r="G337" i="2"/>
  <c r="G336" i="2"/>
  <c r="H336" i="2" s="1"/>
  <c r="G335" i="2"/>
  <c r="G334" i="2"/>
  <c r="H334" i="2" s="1"/>
  <c r="G333" i="2"/>
  <c r="G332" i="2"/>
  <c r="H332" i="2" s="1"/>
  <c r="G331" i="2"/>
  <c r="H331" i="2" s="1"/>
  <c r="G330" i="2"/>
  <c r="H330" i="2" s="1"/>
  <c r="G329" i="2"/>
  <c r="G328" i="2"/>
  <c r="H328" i="2" s="1"/>
  <c r="G327" i="2"/>
  <c r="G290" i="2"/>
  <c r="G289" i="2"/>
  <c r="H289" i="2" s="1"/>
  <c r="G288" i="2"/>
  <c r="H288" i="2" s="1"/>
  <c r="G287" i="2"/>
  <c r="G286" i="2"/>
  <c r="H286" i="2" s="1"/>
  <c r="G285" i="2"/>
  <c r="G284" i="2"/>
  <c r="H284" i="2" s="1"/>
  <c r="G283" i="2"/>
  <c r="G282" i="2"/>
  <c r="H282" i="2" s="1"/>
  <c r="G281" i="2"/>
  <c r="H281" i="2" s="1"/>
  <c r="G280" i="2"/>
  <c r="H280" i="2" s="1"/>
  <c r="G279" i="2"/>
  <c r="G278" i="2"/>
  <c r="H278" i="2" s="1"/>
  <c r="G277" i="2"/>
  <c r="G276" i="2"/>
  <c r="H276" i="2" s="1"/>
  <c r="G275" i="2"/>
  <c r="G274" i="2"/>
  <c r="H274" i="2" s="1"/>
  <c r="G273" i="2"/>
  <c r="G254" i="2"/>
  <c r="G253" i="2"/>
  <c r="G252" i="2"/>
  <c r="H252" i="2" s="1"/>
  <c r="G251" i="2"/>
  <c r="G250" i="2"/>
  <c r="H250" i="2" s="1"/>
  <c r="G249" i="2"/>
  <c r="G248" i="2"/>
  <c r="H248" i="2" s="1"/>
  <c r="G247" i="2"/>
  <c r="H247" i="2" s="1"/>
  <c r="G246" i="2"/>
  <c r="H246" i="2" s="1"/>
  <c r="G245" i="2"/>
  <c r="G244" i="2"/>
  <c r="H244" i="2" s="1"/>
  <c r="G243" i="2"/>
  <c r="G242" i="2"/>
  <c r="H242" i="2" s="1"/>
  <c r="G241" i="2"/>
  <c r="G240" i="2"/>
  <c r="H240" i="2" s="1"/>
  <c r="G239" i="2"/>
  <c r="G238" i="2"/>
  <c r="H238" i="2" s="1"/>
  <c r="G237" i="2"/>
  <c r="G236" i="2"/>
  <c r="H236" i="2" s="1"/>
  <c r="G235" i="2"/>
  <c r="G234" i="2"/>
  <c r="H234" i="2" s="1"/>
  <c r="G233" i="2"/>
  <c r="G232" i="2"/>
  <c r="H232" i="2" s="1"/>
  <c r="G231" i="2"/>
  <c r="G230" i="2"/>
  <c r="H230" i="2" s="1"/>
  <c r="G229" i="2"/>
  <c r="G228" i="2"/>
  <c r="H228" i="2" s="1"/>
  <c r="G227" i="2"/>
  <c r="G226" i="2"/>
  <c r="H226" i="2" s="1"/>
  <c r="G225" i="2"/>
  <c r="G224" i="2"/>
  <c r="H224" i="2" s="1"/>
  <c r="G223" i="2"/>
  <c r="G222" i="2"/>
  <c r="H222" i="2" s="1"/>
  <c r="G221" i="2"/>
  <c r="G220" i="2"/>
  <c r="H220" i="2" s="1"/>
  <c r="G219" i="2"/>
  <c r="G218" i="2"/>
  <c r="H218" i="2" s="1"/>
  <c r="G217" i="2"/>
  <c r="G216" i="2"/>
  <c r="H216" i="2" s="1"/>
  <c r="G215" i="2"/>
  <c r="G214" i="2"/>
  <c r="H214" i="2" s="1"/>
  <c r="G213" i="2"/>
  <c r="G212" i="2"/>
  <c r="H212" i="2" s="1"/>
  <c r="G211" i="2"/>
  <c r="H211" i="2" s="1"/>
  <c r="G210" i="2"/>
  <c r="H210" i="2" s="1"/>
  <c r="G209" i="2"/>
  <c r="G208" i="2"/>
  <c r="H208" i="2" s="1"/>
  <c r="G207" i="2"/>
  <c r="H207" i="2" s="1"/>
  <c r="G206" i="2"/>
  <c r="H206" i="2" s="1"/>
  <c r="G205" i="2"/>
  <c r="G204" i="2"/>
  <c r="H204" i="2" s="1"/>
  <c r="G203" i="2"/>
  <c r="H203" i="2" s="1"/>
  <c r="G202" i="2"/>
  <c r="H202" i="2" s="1"/>
  <c r="G201" i="2"/>
  <c r="G182" i="2"/>
  <c r="H182" i="2" s="1"/>
  <c r="G181" i="2"/>
  <c r="G180" i="2"/>
  <c r="H180" i="2" s="1"/>
  <c r="G179" i="2"/>
  <c r="G178" i="2"/>
  <c r="H178" i="2" s="1"/>
  <c r="G177" i="2"/>
  <c r="G176" i="2"/>
  <c r="H176" i="2" s="1"/>
  <c r="G175" i="2"/>
  <c r="G174" i="2"/>
  <c r="H174" i="2" s="1"/>
  <c r="G173" i="2"/>
  <c r="G172" i="2"/>
  <c r="H172" i="2" s="1"/>
  <c r="G171" i="2"/>
  <c r="G170" i="2"/>
  <c r="H170" i="2" s="1"/>
  <c r="G169" i="2"/>
  <c r="G168" i="2"/>
  <c r="H168" i="2" s="1"/>
  <c r="G167" i="2"/>
  <c r="G166" i="2"/>
  <c r="H166" i="2" s="1"/>
  <c r="G165" i="2"/>
  <c r="G164" i="2"/>
  <c r="H164" i="2" s="1"/>
  <c r="G163" i="2"/>
  <c r="G162" i="2"/>
  <c r="H162" i="2" s="1"/>
  <c r="G161" i="2"/>
  <c r="G160" i="2"/>
  <c r="H160" i="2" s="1"/>
  <c r="G159" i="2"/>
  <c r="G158" i="2"/>
  <c r="H158" i="2" s="1"/>
  <c r="G157" i="2"/>
  <c r="G156" i="2"/>
  <c r="H156" i="2" s="1"/>
  <c r="G155" i="2"/>
  <c r="G154" i="2"/>
  <c r="H154" i="2" s="1"/>
  <c r="G153" i="2"/>
  <c r="G150" i="2"/>
  <c r="G146" i="2"/>
  <c r="H146" i="2" s="1"/>
  <c r="G145" i="2"/>
  <c r="G144" i="2"/>
  <c r="H144" i="2" s="1"/>
  <c r="G143" i="2"/>
  <c r="H143" i="2" s="1"/>
  <c r="G142" i="2"/>
  <c r="H142" i="2" s="1"/>
  <c r="G141" i="2"/>
  <c r="G140" i="2"/>
  <c r="H140" i="2" s="1"/>
  <c r="G139" i="2"/>
  <c r="H139" i="2" s="1"/>
  <c r="G138" i="2"/>
  <c r="H138" i="2" s="1"/>
  <c r="G137" i="2"/>
  <c r="G136" i="2"/>
  <c r="H136" i="2" s="1"/>
  <c r="G135" i="2"/>
  <c r="H135" i="2" s="1"/>
  <c r="G134" i="2"/>
  <c r="H134" i="2" s="1"/>
  <c r="G133" i="2"/>
  <c r="G132" i="2"/>
  <c r="H132" i="2" s="1"/>
  <c r="G131" i="2"/>
  <c r="G130" i="2"/>
  <c r="H130" i="2" s="1"/>
  <c r="G129" i="2"/>
  <c r="G128" i="2"/>
  <c r="H128" i="2" s="1"/>
  <c r="G127" i="2"/>
  <c r="G126" i="2"/>
  <c r="H126" i="2" s="1"/>
  <c r="G125" i="2"/>
  <c r="G124" i="2"/>
  <c r="H124" i="2" s="1"/>
  <c r="G123" i="2"/>
  <c r="G122" i="2"/>
  <c r="H122" i="2" s="1"/>
  <c r="G121" i="2"/>
  <c r="G120" i="2"/>
  <c r="H120" i="2" s="1"/>
  <c r="G119" i="2"/>
  <c r="G118" i="2"/>
  <c r="H118" i="2" s="1"/>
  <c r="G117" i="2"/>
  <c r="G116" i="2"/>
  <c r="H116" i="2" s="1"/>
  <c r="G115" i="2"/>
  <c r="G114" i="2"/>
  <c r="G113" i="2"/>
  <c r="G112" i="2"/>
  <c r="H112" i="2" s="1"/>
  <c r="G111" i="2"/>
  <c r="G110" i="2"/>
  <c r="H110" i="2" s="1"/>
  <c r="G109" i="2"/>
  <c r="G108" i="2"/>
  <c r="H108" i="2" s="1"/>
  <c r="G107" i="2"/>
  <c r="G106" i="2"/>
  <c r="H106" i="2" s="1"/>
  <c r="G105" i="2"/>
  <c r="G104" i="2"/>
  <c r="H104" i="2" s="1"/>
  <c r="G103" i="2"/>
  <c r="G102" i="2"/>
  <c r="H102" i="2" s="1"/>
  <c r="G101" i="2"/>
  <c r="G100" i="2"/>
  <c r="H100" i="2" s="1"/>
  <c r="G99" i="2"/>
  <c r="G98" i="2"/>
  <c r="H98" i="2" s="1"/>
  <c r="G97" i="2"/>
  <c r="G96" i="2"/>
  <c r="H96" i="2" s="1"/>
  <c r="G95" i="2"/>
  <c r="G94" i="2"/>
  <c r="H94" i="2" s="1"/>
  <c r="G93" i="2"/>
  <c r="G56" i="2"/>
  <c r="H56" i="2" s="1"/>
  <c r="G55" i="2"/>
  <c r="G54" i="2"/>
  <c r="H54" i="2" s="1"/>
  <c r="G53" i="2"/>
  <c r="G52" i="2"/>
  <c r="H52" i="2" s="1"/>
  <c r="G51" i="2"/>
  <c r="G50" i="2"/>
  <c r="H50" i="2" s="1"/>
  <c r="G49" i="2"/>
  <c r="G48" i="2"/>
  <c r="H48" i="2" s="1"/>
  <c r="G47" i="2"/>
  <c r="G46" i="2"/>
  <c r="G45" i="2"/>
  <c r="G44" i="2"/>
  <c r="H44" i="2" s="1"/>
  <c r="G43" i="2"/>
  <c r="G42" i="2"/>
  <c r="H42" i="2" s="1"/>
  <c r="G41" i="2"/>
  <c r="G40" i="2"/>
  <c r="H40" i="2" s="1"/>
  <c r="G39" i="2"/>
  <c r="H15" i="2"/>
  <c r="G20" i="2"/>
  <c r="I20" i="2" s="1"/>
  <c r="G5" i="2"/>
  <c r="G6" i="2"/>
  <c r="G7" i="2"/>
  <c r="G8" i="2"/>
  <c r="I8" i="2" s="1"/>
  <c r="G9" i="2"/>
  <c r="G10" i="2"/>
  <c r="G11" i="2"/>
  <c r="G12" i="2"/>
  <c r="I12" i="2" s="1"/>
  <c r="G13" i="2"/>
  <c r="I13" i="2" s="1"/>
  <c r="G14" i="2"/>
  <c r="G15" i="2"/>
  <c r="G16" i="2"/>
  <c r="I16" i="2" s="1"/>
  <c r="G17" i="2"/>
  <c r="I17" i="2" s="1"/>
  <c r="G18" i="2"/>
  <c r="G19" i="2"/>
  <c r="G4" i="2"/>
  <c r="H4" i="2" s="1"/>
  <c r="G3" i="2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3" i="4"/>
  <c r="H20" i="2" l="1"/>
  <c r="H101" i="2"/>
  <c r="H105" i="2"/>
  <c r="H109" i="2"/>
  <c r="H605" i="2"/>
  <c r="I4" i="2"/>
  <c r="H12" i="2"/>
  <c r="I18" i="2"/>
  <c r="I19" i="2"/>
  <c r="H18" i="2"/>
  <c r="I14" i="2"/>
  <c r="I15" i="2"/>
  <c r="H14" i="2"/>
  <c r="I10" i="2"/>
  <c r="I11" i="2"/>
  <c r="H10" i="2"/>
  <c r="I6" i="2"/>
  <c r="I7" i="2"/>
  <c r="H6" i="2"/>
  <c r="H7" i="2"/>
  <c r="H19" i="2"/>
  <c r="H11" i="2"/>
  <c r="H169" i="2"/>
  <c r="H173" i="2"/>
  <c r="H177" i="2"/>
  <c r="H97" i="2"/>
  <c r="I5" i="2"/>
  <c r="H17" i="2"/>
  <c r="H13" i="2"/>
  <c r="H9" i="2"/>
  <c r="H5" i="2"/>
  <c r="H16" i="2"/>
  <c r="H8" i="2"/>
  <c r="I9" i="2"/>
  <c r="H181" i="2"/>
  <c r="H475" i="2"/>
  <c r="H41" i="2"/>
  <c r="H45" i="2"/>
  <c r="H49" i="2"/>
  <c r="H53" i="2"/>
  <c r="H113" i="2"/>
  <c r="H117" i="2"/>
  <c r="H121" i="2"/>
  <c r="H125" i="2"/>
  <c r="H133" i="2"/>
  <c r="H137" i="2"/>
  <c r="H141" i="2"/>
  <c r="H145" i="2"/>
  <c r="H157" i="2"/>
  <c r="H161" i="2"/>
  <c r="H205" i="2"/>
  <c r="H209" i="2"/>
  <c r="H213" i="2"/>
  <c r="H217" i="2"/>
  <c r="H221" i="2"/>
  <c r="H225" i="2"/>
  <c r="H229" i="2"/>
  <c r="H233" i="2"/>
  <c r="H241" i="2"/>
  <c r="H245" i="2"/>
  <c r="H249" i="2"/>
  <c r="H253" i="2"/>
  <c r="H277" i="2"/>
  <c r="H285" i="2"/>
  <c r="H329" i="2"/>
  <c r="H333" i="2"/>
  <c r="H337" i="2"/>
  <c r="H341" i="2"/>
  <c r="H421" i="2"/>
  <c r="H425" i="2"/>
  <c r="H479" i="2"/>
  <c r="H483" i="2"/>
  <c r="H487" i="2"/>
  <c r="H601" i="2"/>
  <c r="H609" i="2"/>
  <c r="H613" i="2"/>
  <c r="H617" i="2"/>
  <c r="H621" i="2"/>
  <c r="H625" i="2"/>
  <c r="H629" i="2"/>
  <c r="H761" i="2"/>
  <c r="H765" i="2"/>
  <c r="H769" i="2"/>
  <c r="H622" i="2"/>
  <c r="H254" i="2"/>
  <c r="H290" i="2"/>
  <c r="H418" i="2"/>
  <c r="H422" i="2"/>
  <c r="H426" i="2"/>
  <c r="H472" i="2"/>
  <c r="H476" i="2"/>
  <c r="H480" i="2"/>
  <c r="H484" i="2"/>
  <c r="H488" i="2"/>
  <c r="H598" i="2"/>
  <c r="H606" i="2"/>
  <c r="H614" i="2"/>
  <c r="H630" i="2"/>
  <c r="H644" i="2"/>
  <c r="H648" i="2"/>
  <c r="H652" i="2"/>
  <c r="H660" i="2"/>
  <c r="H664" i="2"/>
  <c r="H672" i="2"/>
  <c r="H676" i="2"/>
  <c r="H680" i="2"/>
  <c r="H766" i="2"/>
  <c r="H43" i="2"/>
  <c r="H47" i="2"/>
  <c r="H51" i="2"/>
  <c r="H55" i="2"/>
  <c r="H95" i="2"/>
  <c r="H99" i="2"/>
  <c r="H103" i="2"/>
  <c r="H107" i="2"/>
  <c r="H115" i="2"/>
  <c r="H119" i="2"/>
  <c r="H123" i="2"/>
  <c r="H127" i="2"/>
  <c r="H155" i="2"/>
  <c r="H159" i="2"/>
  <c r="H163" i="2"/>
  <c r="H167" i="2"/>
  <c r="H171" i="2"/>
  <c r="H175" i="2"/>
  <c r="H179" i="2"/>
  <c r="H223" i="2"/>
  <c r="H227" i="2"/>
  <c r="H231" i="2"/>
  <c r="H235" i="2"/>
  <c r="H243" i="2"/>
  <c r="H251" i="2"/>
  <c r="H275" i="2"/>
  <c r="H279" i="2"/>
  <c r="H283" i="2"/>
  <c r="H287" i="2"/>
  <c r="H335" i="2"/>
  <c r="H339" i="2"/>
  <c r="H419" i="2"/>
  <c r="H423" i="2"/>
  <c r="H645" i="2"/>
  <c r="H649" i="2"/>
  <c r="H653" i="2"/>
  <c r="H657" i="2"/>
  <c r="H661" i="2"/>
  <c r="H665" i="2"/>
  <c r="H677" i="2"/>
  <c r="H681" i="2"/>
  <c r="H685" i="2"/>
  <c r="H602" i="2"/>
  <c r="H610" i="2"/>
  <c r="H618" i="2"/>
  <c r="H626" i="2"/>
  <c r="H642" i="2"/>
  <c r="H646" i="2"/>
  <c r="H650" i="2"/>
  <c r="H654" i="2"/>
  <c r="H658" i="2"/>
  <c r="H662" i="2"/>
  <c r="H666" i="2"/>
  <c r="H670" i="2"/>
  <c r="H678" i="2"/>
  <c r="H686" i="2"/>
  <c r="H762" i="2"/>
  <c r="H770" i="2"/>
  <c r="C92" i="2"/>
  <c r="G92" i="2" s="1"/>
  <c r="C91" i="2"/>
  <c r="G91" i="2" s="1"/>
  <c r="H91" i="2" s="1"/>
  <c r="C90" i="2"/>
  <c r="G90" i="2" s="1"/>
  <c r="C89" i="2"/>
  <c r="G89" i="2" s="1"/>
  <c r="H89" i="2" s="1"/>
  <c r="C88" i="2"/>
  <c r="G88" i="2" s="1"/>
  <c r="C87" i="2"/>
  <c r="G87" i="2" s="1"/>
  <c r="H87" i="2" s="1"/>
  <c r="C86" i="2"/>
  <c r="G86" i="2" s="1"/>
  <c r="C85" i="2"/>
  <c r="G85" i="2" s="1"/>
  <c r="C83" i="2"/>
  <c r="G83" i="2" s="1"/>
  <c r="H83" i="2" s="1"/>
  <c r="C84" i="2"/>
  <c r="G84" i="2" s="1"/>
  <c r="H84" i="2" s="1"/>
  <c r="C82" i="2"/>
  <c r="G82" i="2" s="1"/>
  <c r="C81" i="2"/>
  <c r="G81" i="2" s="1"/>
  <c r="H81" i="2" s="1"/>
  <c r="C80" i="2"/>
  <c r="G80" i="2" s="1"/>
  <c r="C79" i="2"/>
  <c r="G79" i="2" s="1"/>
  <c r="H79" i="2" s="1"/>
  <c r="C78" i="2"/>
  <c r="G78" i="2" s="1"/>
  <c r="C77" i="2"/>
  <c r="G77" i="2" s="1"/>
  <c r="H77" i="2" s="1"/>
  <c r="C76" i="2"/>
  <c r="G76" i="2" s="1"/>
  <c r="C75" i="2"/>
  <c r="G75" i="2" s="1"/>
  <c r="C812" i="2"/>
  <c r="C794" i="2"/>
  <c r="G794" i="2" s="1"/>
  <c r="C811" i="2"/>
  <c r="G811" i="2" s="1"/>
  <c r="C793" i="2"/>
  <c r="C810" i="2"/>
  <c r="C792" i="2"/>
  <c r="G792" i="2" s="1"/>
  <c r="C809" i="2"/>
  <c r="C791" i="2"/>
  <c r="C808" i="2"/>
  <c r="G808" i="2" s="1"/>
  <c r="C790" i="2"/>
  <c r="G790" i="2" s="1"/>
  <c r="H790" i="2" s="1"/>
  <c r="C789" i="2"/>
  <c r="G789" i="2" s="1"/>
  <c r="C807" i="2"/>
  <c r="C806" i="2"/>
  <c r="C788" i="2"/>
  <c r="G788" i="2" s="1"/>
  <c r="C805" i="2"/>
  <c r="G805" i="2" s="1"/>
  <c r="C787" i="2"/>
  <c r="G787" i="2" s="1"/>
  <c r="C786" i="2"/>
  <c r="C804" i="2"/>
  <c r="G804" i="2" s="1"/>
  <c r="C803" i="2"/>
  <c r="C785" i="2"/>
  <c r="G785" i="2" s="1"/>
  <c r="H785" i="2" s="1"/>
  <c r="C802" i="2"/>
  <c r="G802" i="2" s="1"/>
  <c r="C784" i="2"/>
  <c r="G784" i="2" s="1"/>
  <c r="C801" i="2"/>
  <c r="G801" i="2" s="1"/>
  <c r="C783" i="2"/>
  <c r="G783" i="2" s="1"/>
  <c r="H783" i="2" s="1"/>
  <c r="C799" i="2"/>
  <c r="G799" i="2" s="1"/>
  <c r="C800" i="2"/>
  <c r="C782" i="2"/>
  <c r="G782" i="2" s="1"/>
  <c r="E783" i="2"/>
  <c r="C781" i="2"/>
  <c r="C798" i="2"/>
  <c r="G798" i="2" s="1"/>
  <c r="C780" i="2"/>
  <c r="G780" i="2" s="1"/>
  <c r="H780" i="2" s="1"/>
  <c r="C797" i="2"/>
  <c r="C779" i="2"/>
  <c r="G779" i="2" s="1"/>
  <c r="C778" i="2"/>
  <c r="C796" i="2"/>
  <c r="G796" i="2" s="1"/>
  <c r="H796" i="2" s="1"/>
  <c r="C777" i="2"/>
  <c r="G777" i="2" s="1"/>
  <c r="C795" i="2"/>
  <c r="G795" i="2" s="1"/>
  <c r="D811" i="2"/>
  <c r="E809" i="2"/>
  <c r="D803" i="2"/>
  <c r="D802" i="2"/>
  <c r="D801" i="2"/>
  <c r="E799" i="2"/>
  <c r="E790" i="2"/>
  <c r="E770" i="2"/>
  <c r="E769" i="2"/>
  <c r="E768" i="2"/>
  <c r="D768" i="2"/>
  <c r="E766" i="2"/>
  <c r="E765" i="2"/>
  <c r="E764" i="2"/>
  <c r="D764" i="2"/>
  <c r="E762" i="2"/>
  <c r="E761" i="2"/>
  <c r="E760" i="2"/>
  <c r="D760" i="2"/>
  <c r="C758" i="2"/>
  <c r="G758" i="2" s="1"/>
  <c r="C757" i="2"/>
  <c r="C756" i="2"/>
  <c r="G756" i="2" s="1"/>
  <c r="C755" i="2"/>
  <c r="C754" i="2"/>
  <c r="C753" i="2"/>
  <c r="G753" i="2" s="1"/>
  <c r="C752" i="2"/>
  <c r="C751" i="2"/>
  <c r="G751" i="2" s="1"/>
  <c r="C750" i="2"/>
  <c r="C749" i="2"/>
  <c r="G749" i="2" s="1"/>
  <c r="C747" i="2"/>
  <c r="G747" i="2" s="1"/>
  <c r="C748" i="2"/>
  <c r="C746" i="2"/>
  <c r="G746" i="2" s="1"/>
  <c r="C745" i="2"/>
  <c r="C744" i="2"/>
  <c r="G744" i="2" s="1"/>
  <c r="C743" i="2"/>
  <c r="G743" i="2" s="1"/>
  <c r="C742" i="2"/>
  <c r="G742" i="2" s="1"/>
  <c r="H742" i="2" s="1"/>
  <c r="C741" i="2"/>
  <c r="G741" i="2" s="1"/>
  <c r="E753" i="2"/>
  <c r="D753" i="2"/>
  <c r="E744" i="2"/>
  <c r="E742" i="2"/>
  <c r="E750" i="2" l="1"/>
  <c r="G750" i="2"/>
  <c r="H750" i="2" s="1"/>
  <c r="E754" i="2"/>
  <c r="G754" i="2"/>
  <c r="H754" i="2" s="1"/>
  <c r="D798" i="2"/>
  <c r="G797" i="2"/>
  <c r="H797" i="2" s="1"/>
  <c r="E808" i="2"/>
  <c r="G807" i="2"/>
  <c r="H807" i="2" s="1"/>
  <c r="E748" i="2"/>
  <c r="G748" i="2"/>
  <c r="H748" i="2" s="1"/>
  <c r="H751" i="2"/>
  <c r="E756" i="2"/>
  <c r="G755" i="2"/>
  <c r="D778" i="2"/>
  <c r="E797" i="2"/>
  <c r="H782" i="2"/>
  <c r="D804" i="2"/>
  <c r="G803" i="2"/>
  <c r="H803" i="2" s="1"/>
  <c r="H805" i="2"/>
  <c r="H789" i="2"/>
  <c r="D809" i="2"/>
  <c r="G809" i="2"/>
  <c r="H809" i="2" s="1"/>
  <c r="H811" i="2"/>
  <c r="H76" i="2"/>
  <c r="H80" i="2"/>
  <c r="H88" i="2"/>
  <c r="H92" i="2"/>
  <c r="E791" i="2"/>
  <c r="G791" i="2"/>
  <c r="H791" i="2" s="1"/>
  <c r="H747" i="2"/>
  <c r="E788" i="2"/>
  <c r="E779" i="2"/>
  <c r="G778" i="2"/>
  <c r="H778" i="2" s="1"/>
  <c r="E800" i="2"/>
  <c r="G800" i="2"/>
  <c r="H800" i="2" s="1"/>
  <c r="H784" i="2"/>
  <c r="H804" i="2"/>
  <c r="H788" i="2"/>
  <c r="H85" i="2"/>
  <c r="E794" i="2"/>
  <c r="G793" i="2"/>
  <c r="H793" i="2" s="1"/>
  <c r="H743" i="2"/>
  <c r="D749" i="2"/>
  <c r="E758" i="2"/>
  <c r="H744" i="2"/>
  <c r="E752" i="2"/>
  <c r="G752" i="2"/>
  <c r="H752" i="2" s="1"/>
  <c r="H756" i="2"/>
  <c r="E798" i="2"/>
  <c r="H798" i="2"/>
  <c r="E749" i="2"/>
  <c r="E746" i="2"/>
  <c r="G745" i="2"/>
  <c r="H745" i="2" s="1"/>
  <c r="H749" i="2"/>
  <c r="H753" i="2"/>
  <c r="E757" i="2"/>
  <c r="G757" i="2"/>
  <c r="H757" i="2" s="1"/>
  <c r="D790" i="2"/>
  <c r="D799" i="2"/>
  <c r="E802" i="2"/>
  <c r="D782" i="2"/>
  <c r="G781" i="2"/>
  <c r="H781" i="2" s="1"/>
  <c r="H799" i="2"/>
  <c r="H802" i="2"/>
  <c r="E787" i="2"/>
  <c r="G786" i="2"/>
  <c r="H786" i="2" s="1"/>
  <c r="D806" i="2"/>
  <c r="G806" i="2"/>
  <c r="H806" i="2" s="1"/>
  <c r="H808" i="2"/>
  <c r="E811" i="2"/>
  <c r="G810" i="2"/>
  <c r="H810" i="2" s="1"/>
  <c r="E812" i="2"/>
  <c r="G812" i="2"/>
  <c r="H812" i="2" s="1"/>
  <c r="H78" i="2"/>
  <c r="H82" i="2"/>
  <c r="H86" i="2"/>
  <c r="H90" i="2"/>
  <c r="D812" i="2"/>
  <c r="D794" i="2"/>
  <c r="D793" i="2"/>
  <c r="E810" i="2"/>
  <c r="D810" i="2"/>
  <c r="D808" i="2"/>
  <c r="D807" i="2"/>
  <c r="E807" i="2"/>
  <c r="E806" i="2"/>
  <c r="E805" i="2"/>
  <c r="E786" i="2"/>
  <c r="D786" i="2"/>
  <c r="D805" i="2"/>
  <c r="E804" i="2"/>
  <c r="E803" i="2"/>
  <c r="E784" i="2"/>
  <c r="E801" i="2"/>
  <c r="D800" i="2"/>
  <c r="E782" i="2"/>
  <c r="D781" i="2"/>
  <c r="D797" i="2"/>
  <c r="E778" i="2"/>
  <c r="E796" i="2"/>
  <c r="D796" i="2"/>
  <c r="D785" i="2"/>
  <c r="D789" i="2"/>
  <c r="D780" i="2"/>
  <c r="E781" i="2"/>
  <c r="D784" i="2"/>
  <c r="E785" i="2"/>
  <c r="D788" i="2"/>
  <c r="E789" i="2"/>
  <c r="D792" i="2"/>
  <c r="E793" i="2"/>
  <c r="D779" i="2"/>
  <c r="E780" i="2"/>
  <c r="D783" i="2"/>
  <c r="D787" i="2"/>
  <c r="D791" i="2"/>
  <c r="E792" i="2"/>
  <c r="D763" i="2"/>
  <c r="D767" i="2"/>
  <c r="D771" i="2"/>
  <c r="D762" i="2"/>
  <c r="E763" i="2"/>
  <c r="D766" i="2"/>
  <c r="E767" i="2"/>
  <c r="D770" i="2"/>
  <c r="E771" i="2"/>
  <c r="D761" i="2"/>
  <c r="D765" i="2"/>
  <c r="D769" i="2"/>
  <c r="D757" i="2"/>
  <c r="D745" i="2"/>
  <c r="E745" i="2"/>
  <c r="D752" i="2"/>
  <c r="D743" i="2"/>
  <c r="D747" i="2"/>
  <c r="D751" i="2"/>
  <c r="D755" i="2"/>
  <c r="D742" i="2"/>
  <c r="E743" i="2"/>
  <c r="D746" i="2"/>
  <c r="E747" i="2"/>
  <c r="D750" i="2"/>
  <c r="E751" i="2"/>
  <c r="D754" i="2"/>
  <c r="E755" i="2"/>
  <c r="D758" i="2"/>
  <c r="D744" i="2"/>
  <c r="D748" i="2"/>
  <c r="D756" i="2"/>
  <c r="C740" i="2"/>
  <c r="C739" i="2"/>
  <c r="G739" i="2" s="1"/>
  <c r="H739" i="2" s="1"/>
  <c r="E739" i="2"/>
  <c r="C737" i="2"/>
  <c r="G737" i="2" s="1"/>
  <c r="H737" i="2" s="1"/>
  <c r="C736" i="2"/>
  <c r="G736" i="2" s="1"/>
  <c r="C735" i="2"/>
  <c r="C734" i="2"/>
  <c r="G734" i="2" s="1"/>
  <c r="C733" i="2"/>
  <c r="G733" i="2" s="1"/>
  <c r="H733" i="2" s="1"/>
  <c r="C738" i="2"/>
  <c r="G738" i="2" s="1"/>
  <c r="C732" i="2"/>
  <c r="G732" i="2" s="1"/>
  <c r="C731" i="2"/>
  <c r="C730" i="2"/>
  <c r="G730" i="2" s="1"/>
  <c r="H730" i="2" s="1"/>
  <c r="C729" i="2"/>
  <c r="G729" i="2" s="1"/>
  <c r="C728" i="2"/>
  <c r="C727" i="2"/>
  <c r="G727" i="2" s="1"/>
  <c r="C726" i="2"/>
  <c r="E727" i="2" s="1"/>
  <c r="C725" i="2"/>
  <c r="G725" i="2" s="1"/>
  <c r="C724" i="2"/>
  <c r="C723" i="2"/>
  <c r="G723" i="2" s="1"/>
  <c r="E733" i="2"/>
  <c r="E725" i="2"/>
  <c r="C722" i="2"/>
  <c r="G722" i="2" s="1"/>
  <c r="C721" i="2"/>
  <c r="C720" i="2"/>
  <c r="C719" i="2"/>
  <c r="G719" i="2" s="1"/>
  <c r="C718" i="2"/>
  <c r="C717" i="2"/>
  <c r="C716" i="2"/>
  <c r="C715" i="2"/>
  <c r="G715" i="2" s="1"/>
  <c r="H715" i="2" s="1"/>
  <c r="C714" i="2"/>
  <c r="G714" i="2" s="1"/>
  <c r="C713" i="2"/>
  <c r="G713" i="2" s="1"/>
  <c r="C712" i="2"/>
  <c r="G712" i="2" s="1"/>
  <c r="C711" i="2"/>
  <c r="C710" i="2"/>
  <c r="G710" i="2" s="1"/>
  <c r="C709" i="2"/>
  <c r="G709" i="2" s="1"/>
  <c r="C708" i="2"/>
  <c r="C707" i="2"/>
  <c r="G707" i="2" s="1"/>
  <c r="H707" i="2" s="1"/>
  <c r="C706" i="2"/>
  <c r="G706" i="2" s="1"/>
  <c r="C705" i="2"/>
  <c r="G705" i="2" s="1"/>
  <c r="D722" i="2"/>
  <c r="E716" i="2"/>
  <c r="E714" i="2"/>
  <c r="E706" i="2"/>
  <c r="D716" i="2" l="1"/>
  <c r="G716" i="2"/>
  <c r="H716" i="2" s="1"/>
  <c r="D731" i="2"/>
  <c r="G731" i="2"/>
  <c r="H731" i="2" s="1"/>
  <c r="H734" i="2"/>
  <c r="H779" i="2"/>
  <c r="H794" i="2"/>
  <c r="E712" i="2"/>
  <c r="G711" i="2"/>
  <c r="H711" i="2" s="1"/>
  <c r="H712" i="2"/>
  <c r="H713" i="2"/>
  <c r="E717" i="2"/>
  <c r="G717" i="2"/>
  <c r="H717" i="2" s="1"/>
  <c r="E721" i="2"/>
  <c r="G721" i="2"/>
  <c r="H721" i="2" s="1"/>
  <c r="E731" i="2"/>
  <c r="E724" i="2"/>
  <c r="G724" i="2"/>
  <c r="H724" i="2" s="1"/>
  <c r="E729" i="2"/>
  <c r="G728" i="2"/>
  <c r="H728" i="2" s="1"/>
  <c r="H732" i="2"/>
  <c r="E736" i="2"/>
  <c r="G735" i="2"/>
  <c r="H735" i="2" s="1"/>
  <c r="H792" i="2"/>
  <c r="H758" i="2"/>
  <c r="D727" i="2"/>
  <c r="G726" i="2"/>
  <c r="H726" i="2" s="1"/>
  <c r="E709" i="2"/>
  <c r="G708" i="2"/>
  <c r="H708" i="2" s="1"/>
  <c r="E720" i="2"/>
  <c r="G720" i="2"/>
  <c r="H720" i="2" s="1"/>
  <c r="E713" i="2"/>
  <c r="H709" i="2"/>
  <c r="H706" i="2"/>
  <c r="H710" i="2"/>
  <c r="H714" i="2"/>
  <c r="D719" i="2"/>
  <c r="G718" i="2"/>
  <c r="H718" i="2" s="1"/>
  <c r="E732" i="2"/>
  <c r="H725" i="2"/>
  <c r="H729" i="2"/>
  <c r="H738" i="2"/>
  <c r="E740" i="2"/>
  <c r="G740" i="2"/>
  <c r="H740" i="2" s="1"/>
  <c r="H787" i="2"/>
  <c r="H746" i="2"/>
  <c r="H801" i="2"/>
  <c r="H755" i="2"/>
  <c r="D739" i="2"/>
  <c r="E737" i="2"/>
  <c r="D735" i="2"/>
  <c r="E735" i="2"/>
  <c r="E728" i="2"/>
  <c r="D726" i="2"/>
  <c r="D730" i="2"/>
  <c r="D734" i="2"/>
  <c r="D738" i="2"/>
  <c r="D725" i="2"/>
  <c r="E726" i="2"/>
  <c r="D729" i="2"/>
  <c r="E730" i="2"/>
  <c r="D733" i="2"/>
  <c r="E734" i="2"/>
  <c r="D737" i="2"/>
  <c r="E738" i="2"/>
  <c r="D724" i="2"/>
  <c r="D728" i="2"/>
  <c r="D732" i="2"/>
  <c r="D736" i="2"/>
  <c r="D740" i="2"/>
  <c r="D720" i="2"/>
  <c r="D711" i="2"/>
  <c r="D712" i="2"/>
  <c r="D708" i="2"/>
  <c r="E708" i="2"/>
  <c r="D707" i="2"/>
  <c r="D715" i="2"/>
  <c r="D706" i="2"/>
  <c r="E707" i="2"/>
  <c r="D710" i="2"/>
  <c r="E711" i="2"/>
  <c r="D714" i="2"/>
  <c r="E715" i="2"/>
  <c r="D718" i="2"/>
  <c r="E719" i="2"/>
  <c r="D709" i="2"/>
  <c r="E710" i="2"/>
  <c r="D713" i="2"/>
  <c r="D717" i="2"/>
  <c r="E718" i="2"/>
  <c r="D721" i="2"/>
  <c r="E722" i="2"/>
  <c r="C704" i="2"/>
  <c r="G704" i="2" s="1"/>
  <c r="C703" i="2"/>
  <c r="C702" i="2"/>
  <c r="G702" i="2" s="1"/>
  <c r="C701" i="2"/>
  <c r="D702" i="2" s="1"/>
  <c r="C700" i="2"/>
  <c r="G700" i="2" s="1"/>
  <c r="C699" i="2"/>
  <c r="C698" i="2"/>
  <c r="G698" i="2" s="1"/>
  <c r="C697" i="2"/>
  <c r="C696" i="2"/>
  <c r="C695" i="2"/>
  <c r="G695" i="2" s="1"/>
  <c r="C694" i="2"/>
  <c r="C693" i="2"/>
  <c r="C692" i="2"/>
  <c r="C691" i="2"/>
  <c r="G691" i="2" s="1"/>
  <c r="C690" i="2"/>
  <c r="C689" i="2"/>
  <c r="G689" i="2" s="1"/>
  <c r="H689" i="2" s="1"/>
  <c r="C688" i="2"/>
  <c r="G688" i="2" s="1"/>
  <c r="C687" i="2"/>
  <c r="G687" i="2" s="1"/>
  <c r="D701" i="2"/>
  <c r="E695" i="2"/>
  <c r="D693" i="2"/>
  <c r="C673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3" i="2"/>
  <c r="E672" i="2"/>
  <c r="D672" i="2"/>
  <c r="E671" i="2"/>
  <c r="D671" i="2"/>
  <c r="E670" i="2"/>
  <c r="D670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D659" i="2"/>
  <c r="E659" i="2"/>
  <c r="E657" i="2"/>
  <c r="E656" i="2"/>
  <c r="E655" i="2"/>
  <c r="D655" i="2"/>
  <c r="E653" i="2"/>
  <c r="E652" i="2"/>
  <c r="C640" i="2"/>
  <c r="E641" i="2" s="1"/>
  <c r="C639" i="2"/>
  <c r="C638" i="2"/>
  <c r="G638" i="2" s="1"/>
  <c r="C637" i="2"/>
  <c r="G637" i="2" s="1"/>
  <c r="C636" i="2"/>
  <c r="G636" i="2" s="1"/>
  <c r="C635" i="2"/>
  <c r="C634" i="2"/>
  <c r="G634" i="2" s="1"/>
  <c r="C633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39" i="2"/>
  <c r="D639" i="2"/>
  <c r="E638" i="2"/>
  <c r="D638" i="2"/>
  <c r="E637" i="2"/>
  <c r="E635" i="2"/>
  <c r="E634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4" i="2"/>
  <c r="E613" i="2"/>
  <c r="D613" i="2"/>
  <c r="D611" i="2"/>
  <c r="E610" i="2"/>
  <c r="E609" i="2"/>
  <c r="D609" i="2"/>
  <c r="E608" i="2"/>
  <c r="E606" i="2"/>
  <c r="E605" i="2"/>
  <c r="D605" i="2"/>
  <c r="E604" i="2"/>
  <c r="E602" i="2"/>
  <c r="E601" i="2"/>
  <c r="D601" i="2"/>
  <c r="E599" i="2"/>
  <c r="E598" i="2"/>
  <c r="C596" i="2"/>
  <c r="C595" i="2"/>
  <c r="C594" i="2"/>
  <c r="G594" i="2" s="1"/>
  <c r="C593" i="2"/>
  <c r="G593" i="2" s="1"/>
  <c r="C592" i="2"/>
  <c r="C591" i="2"/>
  <c r="G591" i="2" s="1"/>
  <c r="H591" i="2" s="1"/>
  <c r="C590" i="2"/>
  <c r="G590" i="2" s="1"/>
  <c r="C589" i="2"/>
  <c r="C588" i="2"/>
  <c r="C587" i="2"/>
  <c r="G587" i="2" s="1"/>
  <c r="H587" i="2" s="1"/>
  <c r="C586" i="2"/>
  <c r="G586" i="2" s="1"/>
  <c r="C585" i="2"/>
  <c r="G585" i="2" s="1"/>
  <c r="C584" i="2"/>
  <c r="C583" i="2"/>
  <c r="C582" i="2"/>
  <c r="G582" i="2" s="1"/>
  <c r="C581" i="2"/>
  <c r="C580" i="2"/>
  <c r="G580" i="2" s="1"/>
  <c r="C579" i="2"/>
  <c r="E580" i="2" s="1"/>
  <c r="E593" i="2"/>
  <c r="E590" i="2"/>
  <c r="E587" i="2"/>
  <c r="C577" i="2"/>
  <c r="G577" i="2" s="1"/>
  <c r="H577" i="2" s="1"/>
  <c r="C578" i="2"/>
  <c r="C576" i="2"/>
  <c r="G576" i="2" s="1"/>
  <c r="C575" i="2"/>
  <c r="G575" i="2" s="1"/>
  <c r="C574" i="2"/>
  <c r="C573" i="2"/>
  <c r="C572" i="2"/>
  <c r="G572" i="2" s="1"/>
  <c r="C571" i="2"/>
  <c r="G571" i="2" s="1"/>
  <c r="C569" i="2"/>
  <c r="C570" i="2"/>
  <c r="G570" i="2" s="1"/>
  <c r="C568" i="2"/>
  <c r="G568" i="2" s="1"/>
  <c r="C567" i="2"/>
  <c r="G567" i="2" s="1"/>
  <c r="C566" i="2"/>
  <c r="C565" i="2"/>
  <c r="G565" i="2" s="1"/>
  <c r="H565" i="2" s="1"/>
  <c r="C564" i="2"/>
  <c r="G564" i="2" s="1"/>
  <c r="C563" i="2"/>
  <c r="G563" i="2" s="1"/>
  <c r="H563" i="2" s="1"/>
  <c r="C562" i="2"/>
  <c r="G562" i="2" s="1"/>
  <c r="C561" i="2"/>
  <c r="G561" i="2" s="1"/>
  <c r="E569" i="2"/>
  <c r="E563" i="2"/>
  <c r="E562" i="2"/>
  <c r="C560" i="2"/>
  <c r="G560" i="2" s="1"/>
  <c r="C559" i="2"/>
  <c r="C558" i="2"/>
  <c r="G558" i="2" s="1"/>
  <c r="C557" i="2"/>
  <c r="G557" i="2" s="1"/>
  <c r="H557" i="2" s="1"/>
  <c r="C556" i="2"/>
  <c r="G556" i="2" s="1"/>
  <c r="C555" i="2"/>
  <c r="G555" i="2" s="1"/>
  <c r="C553" i="2"/>
  <c r="G553" i="2" s="1"/>
  <c r="C554" i="2"/>
  <c r="G554" i="2" s="1"/>
  <c r="H554" i="2" s="1"/>
  <c r="C552" i="2"/>
  <c r="C551" i="2"/>
  <c r="C550" i="2"/>
  <c r="C549" i="2"/>
  <c r="G549" i="2" s="1"/>
  <c r="C548" i="2"/>
  <c r="G548" i="2" s="1"/>
  <c r="C547" i="2"/>
  <c r="G547" i="2" s="1"/>
  <c r="C546" i="2"/>
  <c r="C545" i="2"/>
  <c r="G545" i="2" s="1"/>
  <c r="C544" i="2"/>
  <c r="C543" i="2"/>
  <c r="G543" i="2" s="1"/>
  <c r="E558" i="2"/>
  <c r="D549" i="2"/>
  <c r="E548" i="2"/>
  <c r="E547" i="2" l="1"/>
  <c r="G546" i="2"/>
  <c r="H546" i="2" s="1"/>
  <c r="D551" i="2"/>
  <c r="G550" i="2"/>
  <c r="H550" i="2" s="1"/>
  <c r="D573" i="2"/>
  <c r="G573" i="2"/>
  <c r="H573" i="2" s="1"/>
  <c r="H547" i="2"/>
  <c r="E551" i="2"/>
  <c r="G551" i="2"/>
  <c r="H558" i="2"/>
  <c r="E571" i="2"/>
  <c r="H562" i="2"/>
  <c r="E567" i="2"/>
  <c r="G566" i="2"/>
  <c r="H566" i="2" s="1"/>
  <c r="D569" i="2"/>
  <c r="G569" i="2"/>
  <c r="H569" i="2" s="1"/>
  <c r="E575" i="2"/>
  <c r="G574" i="2"/>
  <c r="H574" i="2" s="1"/>
  <c r="E584" i="2"/>
  <c r="G584" i="2"/>
  <c r="E588" i="2"/>
  <c r="G588" i="2"/>
  <c r="H588" i="2" s="1"/>
  <c r="E592" i="2"/>
  <c r="G592" i="2"/>
  <c r="H592" i="2" s="1"/>
  <c r="D596" i="2"/>
  <c r="G596" i="2"/>
  <c r="D640" i="2"/>
  <c r="D634" i="2"/>
  <c r="G633" i="2"/>
  <c r="H637" i="2"/>
  <c r="D690" i="2"/>
  <c r="G690" i="2"/>
  <c r="H690" i="2" s="1"/>
  <c r="D695" i="2"/>
  <c r="G694" i="2"/>
  <c r="H719" i="2"/>
  <c r="H727" i="2"/>
  <c r="E578" i="2"/>
  <c r="G578" i="2"/>
  <c r="H578" i="2" s="1"/>
  <c r="E698" i="2"/>
  <c r="G697" i="2"/>
  <c r="E544" i="2"/>
  <c r="G544" i="2"/>
  <c r="H544" i="2" s="1"/>
  <c r="H555" i="2"/>
  <c r="D565" i="2"/>
  <c r="E573" i="2"/>
  <c r="H567" i="2"/>
  <c r="H571" i="2"/>
  <c r="H575" i="2"/>
  <c r="E581" i="2"/>
  <c r="G581" i="2"/>
  <c r="H581" i="2" s="1"/>
  <c r="H585" i="2"/>
  <c r="E589" i="2"/>
  <c r="G589" i="2"/>
  <c r="H593" i="2"/>
  <c r="H634" i="2"/>
  <c r="H638" i="2"/>
  <c r="D697" i="2"/>
  <c r="H691" i="2"/>
  <c r="H695" i="2"/>
  <c r="E700" i="2"/>
  <c r="G699" i="2"/>
  <c r="H699" i="2" s="1"/>
  <c r="E704" i="2"/>
  <c r="G703" i="2"/>
  <c r="H703" i="2" s="1"/>
  <c r="H736" i="2"/>
  <c r="H570" i="2"/>
  <c r="D580" i="2"/>
  <c r="G579" i="2"/>
  <c r="H580" i="2" s="1"/>
  <c r="E583" i="2"/>
  <c r="G583" i="2"/>
  <c r="H583" i="2" s="1"/>
  <c r="E595" i="2"/>
  <c r="G595" i="2"/>
  <c r="H595" i="2" s="1"/>
  <c r="D641" i="2"/>
  <c r="G640" i="2"/>
  <c r="E694" i="2"/>
  <c r="G693" i="2"/>
  <c r="E701" i="2"/>
  <c r="G701" i="2"/>
  <c r="H701" i="2" s="1"/>
  <c r="H548" i="2"/>
  <c r="E552" i="2"/>
  <c r="G552" i="2"/>
  <c r="H552" i="2" s="1"/>
  <c r="E560" i="2"/>
  <c r="G559" i="2"/>
  <c r="H559" i="2" s="1"/>
  <c r="D555" i="2"/>
  <c r="H545" i="2"/>
  <c r="H549" i="2"/>
  <c r="D554" i="2"/>
  <c r="H556" i="2"/>
  <c r="E565" i="2"/>
  <c r="E574" i="2"/>
  <c r="H564" i="2"/>
  <c r="H568" i="2"/>
  <c r="H572" i="2"/>
  <c r="H576" i="2"/>
  <c r="E585" i="2"/>
  <c r="E596" i="2"/>
  <c r="H582" i="2"/>
  <c r="H586" i="2"/>
  <c r="H590" i="2"/>
  <c r="H594" i="2"/>
  <c r="D637" i="2"/>
  <c r="D635" i="2"/>
  <c r="G635" i="2"/>
  <c r="H635" i="2" s="1"/>
  <c r="E640" i="2"/>
  <c r="G639" i="2"/>
  <c r="H639" i="2" s="1"/>
  <c r="D674" i="2"/>
  <c r="G673" i="2"/>
  <c r="E697" i="2"/>
  <c r="H688" i="2"/>
  <c r="D692" i="2"/>
  <c r="G692" i="2"/>
  <c r="H692" i="2" s="1"/>
  <c r="E696" i="2"/>
  <c r="G696" i="2"/>
  <c r="H696" i="2" s="1"/>
  <c r="H700" i="2"/>
  <c r="H704" i="2"/>
  <c r="H722" i="2"/>
  <c r="D704" i="2"/>
  <c r="E703" i="2"/>
  <c r="D703" i="2"/>
  <c r="E702" i="2"/>
  <c r="D700" i="2"/>
  <c r="E699" i="2"/>
  <c r="D699" i="2"/>
  <c r="D698" i="2"/>
  <c r="D696" i="2"/>
  <c r="D694" i="2"/>
  <c r="E693" i="2"/>
  <c r="E690" i="2"/>
  <c r="E689" i="2"/>
  <c r="D689" i="2"/>
  <c r="E688" i="2"/>
  <c r="D688" i="2"/>
  <c r="E692" i="2"/>
  <c r="D691" i="2"/>
  <c r="E691" i="2"/>
  <c r="E673" i="2"/>
  <c r="D654" i="2"/>
  <c r="D658" i="2"/>
  <c r="D653" i="2"/>
  <c r="E654" i="2"/>
  <c r="D657" i="2"/>
  <c r="E658" i="2"/>
  <c r="D652" i="2"/>
  <c r="D656" i="2"/>
  <c r="E636" i="2"/>
  <c r="D636" i="2"/>
  <c r="D600" i="2"/>
  <c r="D604" i="2"/>
  <c r="D608" i="2"/>
  <c r="D612" i="2"/>
  <c r="E600" i="2"/>
  <c r="D603" i="2"/>
  <c r="E612" i="2"/>
  <c r="E603" i="2"/>
  <c r="D606" i="2"/>
  <c r="E607" i="2"/>
  <c r="D610" i="2"/>
  <c r="E611" i="2"/>
  <c r="D614" i="2"/>
  <c r="D599" i="2"/>
  <c r="D607" i="2"/>
  <c r="D598" i="2"/>
  <c r="D602" i="2"/>
  <c r="D592" i="2"/>
  <c r="D588" i="2"/>
  <c r="D584" i="2"/>
  <c r="D583" i="2"/>
  <c r="D591" i="2"/>
  <c r="D582" i="2"/>
  <c r="D586" i="2"/>
  <c r="D590" i="2"/>
  <c r="E591" i="2"/>
  <c r="D594" i="2"/>
  <c r="D581" i="2"/>
  <c r="E582" i="2"/>
  <c r="D585" i="2"/>
  <c r="E586" i="2"/>
  <c r="D589" i="2"/>
  <c r="D593" i="2"/>
  <c r="E594" i="2"/>
  <c r="D587" i="2"/>
  <c r="D595" i="2"/>
  <c r="E577" i="2"/>
  <c r="D577" i="2"/>
  <c r="E570" i="2"/>
  <c r="E566" i="2"/>
  <c r="D564" i="2"/>
  <c r="D568" i="2"/>
  <c r="D572" i="2"/>
  <c r="D576" i="2"/>
  <c r="D563" i="2"/>
  <c r="E564" i="2"/>
  <c r="D567" i="2"/>
  <c r="E568" i="2"/>
  <c r="D571" i="2"/>
  <c r="E572" i="2"/>
  <c r="D575" i="2"/>
  <c r="E576" i="2"/>
  <c r="D562" i="2"/>
  <c r="D566" i="2"/>
  <c r="D570" i="2"/>
  <c r="D574" i="2"/>
  <c r="D578" i="2"/>
  <c r="E559" i="2"/>
  <c r="D559" i="2"/>
  <c r="E556" i="2"/>
  <c r="E555" i="2"/>
  <c r="E553" i="2"/>
  <c r="D547" i="2"/>
  <c r="E546" i="2"/>
  <c r="D546" i="2"/>
  <c r="D545" i="2"/>
  <c r="E550" i="2"/>
  <c r="D553" i="2"/>
  <c r="E554" i="2"/>
  <c r="D557" i="2"/>
  <c r="D544" i="2"/>
  <c r="E545" i="2"/>
  <c r="D548" i="2"/>
  <c r="E549" i="2"/>
  <c r="D552" i="2"/>
  <c r="D556" i="2"/>
  <c r="E557" i="2"/>
  <c r="D560" i="2"/>
  <c r="D550" i="2"/>
  <c r="D558" i="2"/>
  <c r="C542" i="2"/>
  <c r="C541" i="2"/>
  <c r="G541" i="2" s="1"/>
  <c r="C540" i="2"/>
  <c r="G540" i="2" s="1"/>
  <c r="C539" i="2"/>
  <c r="C538" i="2"/>
  <c r="G538" i="2" s="1"/>
  <c r="C537" i="2"/>
  <c r="C536" i="2"/>
  <c r="G536" i="2" s="1"/>
  <c r="H536" i="2" s="1"/>
  <c r="C535" i="2"/>
  <c r="G535" i="2" s="1"/>
  <c r="C534" i="2"/>
  <c r="C533" i="2"/>
  <c r="G533" i="2" s="1"/>
  <c r="C532" i="2"/>
  <c r="G532" i="2" s="1"/>
  <c r="C531" i="2"/>
  <c r="C530" i="2"/>
  <c r="G530" i="2" s="1"/>
  <c r="C529" i="2"/>
  <c r="C527" i="2"/>
  <c r="G527" i="2" s="1"/>
  <c r="C528" i="2"/>
  <c r="G528" i="2" s="1"/>
  <c r="H528" i="2" s="1"/>
  <c r="E533" i="2"/>
  <c r="E536" i="2"/>
  <c r="E538" i="2"/>
  <c r="E541" i="2"/>
  <c r="E509" i="2"/>
  <c r="E513" i="2"/>
  <c r="E517" i="2"/>
  <c r="E521" i="2"/>
  <c r="E488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72" i="2"/>
  <c r="E419" i="2"/>
  <c r="E420" i="2"/>
  <c r="E421" i="2"/>
  <c r="E422" i="2"/>
  <c r="E423" i="2"/>
  <c r="E424" i="2"/>
  <c r="E425" i="2"/>
  <c r="E426" i="2"/>
  <c r="E418" i="2"/>
  <c r="C526" i="2"/>
  <c r="E526" i="2" s="1"/>
  <c r="C525" i="2"/>
  <c r="G525" i="2" s="1"/>
  <c r="C524" i="2"/>
  <c r="C523" i="2"/>
  <c r="G523" i="2" s="1"/>
  <c r="H523" i="2" s="1"/>
  <c r="C522" i="2"/>
  <c r="G522" i="2" s="1"/>
  <c r="C521" i="2"/>
  <c r="G521" i="2" s="1"/>
  <c r="H521" i="2" s="1"/>
  <c r="C520" i="2"/>
  <c r="G520" i="2" s="1"/>
  <c r="C519" i="2"/>
  <c r="G519" i="2" s="1"/>
  <c r="H519" i="2" s="1"/>
  <c r="C518" i="2"/>
  <c r="G518" i="2" s="1"/>
  <c r="C517" i="2"/>
  <c r="G517" i="2" s="1"/>
  <c r="C516" i="2"/>
  <c r="C515" i="2"/>
  <c r="G515" i="2" s="1"/>
  <c r="H515" i="2" s="1"/>
  <c r="C514" i="2"/>
  <c r="G514" i="2" s="1"/>
  <c r="C513" i="2"/>
  <c r="G513" i="2" s="1"/>
  <c r="H513" i="2" s="1"/>
  <c r="C512" i="2"/>
  <c r="G512" i="2" s="1"/>
  <c r="C511" i="2"/>
  <c r="G511" i="2" s="1"/>
  <c r="H511" i="2" s="1"/>
  <c r="C510" i="2"/>
  <c r="G510" i="2" s="1"/>
  <c r="C509" i="2"/>
  <c r="C508" i="2"/>
  <c r="C507" i="2"/>
  <c r="G507" i="2" s="1"/>
  <c r="D488" i="2"/>
  <c r="D417" i="2"/>
  <c r="D418" i="2"/>
  <c r="D419" i="2"/>
  <c r="D420" i="2"/>
  <c r="D421" i="2"/>
  <c r="D422" i="2"/>
  <c r="D423" i="2"/>
  <c r="D424" i="2"/>
  <c r="D425" i="2"/>
  <c r="D426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H673" i="2" l="1"/>
  <c r="H674" i="2"/>
  <c r="H596" i="2"/>
  <c r="D508" i="2"/>
  <c r="G508" i="2"/>
  <c r="H508" i="2" s="1"/>
  <c r="H512" i="2"/>
  <c r="D516" i="2"/>
  <c r="G516" i="2"/>
  <c r="H516" i="2" s="1"/>
  <c r="H520" i="2"/>
  <c r="D524" i="2"/>
  <c r="G524" i="2"/>
  <c r="H524" i="2" s="1"/>
  <c r="E524" i="2"/>
  <c r="E520" i="2"/>
  <c r="E516" i="2"/>
  <c r="E512" i="2"/>
  <c r="E528" i="2"/>
  <c r="E532" i="2"/>
  <c r="G531" i="2"/>
  <c r="H531" i="2" s="1"/>
  <c r="E540" i="2"/>
  <c r="G539" i="2"/>
  <c r="H539" i="2" s="1"/>
  <c r="H636" i="2"/>
  <c r="H530" i="2"/>
  <c r="H693" i="2"/>
  <c r="D509" i="2"/>
  <c r="G509" i="2"/>
  <c r="H509" i="2" s="1"/>
  <c r="H517" i="2"/>
  <c r="E523" i="2"/>
  <c r="E519" i="2"/>
  <c r="E515" i="2"/>
  <c r="E511" i="2"/>
  <c r="H540" i="2"/>
  <c r="H640" i="2"/>
  <c r="H641" i="2"/>
  <c r="H589" i="2"/>
  <c r="H702" i="2"/>
  <c r="H584" i="2"/>
  <c r="H553" i="2"/>
  <c r="E508" i="2"/>
  <c r="D534" i="2"/>
  <c r="G534" i="2"/>
  <c r="H534" i="2" s="1"/>
  <c r="D542" i="2"/>
  <c r="G542" i="2"/>
  <c r="H542" i="2" s="1"/>
  <c r="H694" i="2"/>
  <c r="D520" i="2"/>
  <c r="H514" i="2"/>
  <c r="H518" i="2"/>
  <c r="H522" i="2"/>
  <c r="D526" i="2"/>
  <c r="G526" i="2"/>
  <c r="H526" i="2" s="1"/>
  <c r="E522" i="2"/>
  <c r="E518" i="2"/>
  <c r="E514" i="2"/>
  <c r="E510" i="2"/>
  <c r="E539" i="2"/>
  <c r="E529" i="2"/>
  <c r="E530" i="2"/>
  <c r="G529" i="2"/>
  <c r="H529" i="2" s="1"/>
  <c r="H533" i="2"/>
  <c r="E537" i="2"/>
  <c r="G537" i="2"/>
  <c r="H537" i="2" s="1"/>
  <c r="H541" i="2"/>
  <c r="H560" i="2"/>
  <c r="H697" i="2"/>
  <c r="H698" i="2"/>
  <c r="H551" i="2"/>
  <c r="E542" i="2"/>
  <c r="D538" i="2"/>
  <c r="E535" i="2"/>
  <c r="E534" i="2"/>
  <c r="E531" i="2"/>
  <c r="D530" i="2"/>
  <c r="E527" i="2"/>
  <c r="D529" i="2"/>
  <c r="D533" i="2"/>
  <c r="D537" i="2"/>
  <c r="D541" i="2"/>
  <c r="D528" i="2"/>
  <c r="D532" i="2"/>
  <c r="D536" i="2"/>
  <c r="D540" i="2"/>
  <c r="D527" i="2"/>
  <c r="D531" i="2"/>
  <c r="D535" i="2"/>
  <c r="D539" i="2"/>
  <c r="D523" i="2"/>
  <c r="D522" i="2"/>
  <c r="D521" i="2"/>
  <c r="D519" i="2"/>
  <c r="D517" i="2"/>
  <c r="D518" i="2"/>
  <c r="D515" i="2"/>
  <c r="D514" i="2"/>
  <c r="D512" i="2"/>
  <c r="D513" i="2"/>
  <c r="D511" i="2"/>
  <c r="D510" i="2"/>
  <c r="C460" i="2"/>
  <c r="C459" i="2"/>
  <c r="C458" i="2"/>
  <c r="C457" i="2"/>
  <c r="C456" i="2"/>
  <c r="C455" i="2"/>
  <c r="C454" i="2"/>
  <c r="C453" i="2"/>
  <c r="G453" i="2" s="1"/>
  <c r="C452" i="2"/>
  <c r="C451" i="2"/>
  <c r="C450" i="2"/>
  <c r="C449" i="2"/>
  <c r="C448" i="2"/>
  <c r="C447" i="2"/>
  <c r="C445" i="2"/>
  <c r="C446" i="2"/>
  <c r="C444" i="2"/>
  <c r="C443" i="2"/>
  <c r="C442" i="2"/>
  <c r="C441" i="2"/>
  <c r="C440" i="2"/>
  <c r="C439" i="2"/>
  <c r="C438" i="2"/>
  <c r="C437" i="2"/>
  <c r="C436" i="2"/>
  <c r="C435" i="2"/>
  <c r="G435" i="2" s="1"/>
  <c r="G438" i="2" l="1"/>
  <c r="E438" i="2"/>
  <c r="D438" i="2"/>
  <c r="G454" i="2"/>
  <c r="H454" i="2" s="1"/>
  <c r="E454" i="2"/>
  <c r="D454" i="2"/>
  <c r="H535" i="2"/>
  <c r="G447" i="2"/>
  <c r="H447" i="2" s="1"/>
  <c r="D447" i="2"/>
  <c r="E447" i="2"/>
  <c r="G451" i="2"/>
  <c r="D451" i="2"/>
  <c r="E451" i="2"/>
  <c r="G459" i="2"/>
  <c r="E459" i="2"/>
  <c r="D459" i="2"/>
  <c r="G442" i="2"/>
  <c r="E442" i="2"/>
  <c r="D442" i="2"/>
  <c r="G450" i="2"/>
  <c r="H450" i="2" s="1"/>
  <c r="E450" i="2"/>
  <c r="D450" i="2"/>
  <c r="G439" i="2"/>
  <c r="H439" i="2" s="1"/>
  <c r="D439" i="2"/>
  <c r="E439" i="2"/>
  <c r="G455" i="2"/>
  <c r="E455" i="2"/>
  <c r="D455" i="2"/>
  <c r="G436" i="2"/>
  <c r="H436" i="2" s="1"/>
  <c r="E436" i="2"/>
  <c r="D436" i="2"/>
  <c r="G440" i="2"/>
  <c r="H440" i="2" s="1"/>
  <c r="D440" i="2"/>
  <c r="E440" i="2"/>
  <c r="G444" i="2"/>
  <c r="H444" i="2" s="1"/>
  <c r="D444" i="2"/>
  <c r="E444" i="2"/>
  <c r="G448" i="2"/>
  <c r="D448" i="2"/>
  <c r="E448" i="2"/>
  <c r="G452" i="2"/>
  <c r="H452" i="2" s="1"/>
  <c r="D452" i="2"/>
  <c r="E452" i="2"/>
  <c r="G456" i="2"/>
  <c r="H456" i="2" s="1"/>
  <c r="E456" i="2"/>
  <c r="D456" i="2"/>
  <c r="G460" i="2"/>
  <c r="D460" i="2"/>
  <c r="E460" i="2"/>
  <c r="H532" i="2"/>
  <c r="G445" i="2"/>
  <c r="H445" i="2" s="1"/>
  <c r="E445" i="2"/>
  <c r="D445" i="2"/>
  <c r="G458" i="2"/>
  <c r="E458" i="2"/>
  <c r="D458" i="2"/>
  <c r="G443" i="2"/>
  <c r="H443" i="2" s="1"/>
  <c r="E443" i="2"/>
  <c r="D443" i="2"/>
  <c r="G437" i="2"/>
  <c r="H437" i="2" s="1"/>
  <c r="E437" i="2"/>
  <c r="D437" i="2"/>
  <c r="G441" i="2"/>
  <c r="E441" i="2"/>
  <c r="D441" i="2"/>
  <c r="G446" i="2"/>
  <c r="H446" i="2" s="1"/>
  <c r="E446" i="2"/>
  <c r="D446" i="2"/>
  <c r="G449" i="2"/>
  <c r="H449" i="2" s="1"/>
  <c r="E449" i="2"/>
  <c r="D449" i="2"/>
  <c r="G457" i="2"/>
  <c r="H457" i="2" s="1"/>
  <c r="D457" i="2"/>
  <c r="E457" i="2"/>
  <c r="H510" i="2"/>
  <c r="H527" i="2"/>
  <c r="H538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G363" i="2" s="1"/>
  <c r="G370" i="2" l="1"/>
  <c r="D370" i="2"/>
  <c r="E370" i="2"/>
  <c r="G367" i="2"/>
  <c r="H367" i="2" s="1"/>
  <c r="E367" i="2"/>
  <c r="D367" i="2"/>
  <c r="H441" i="2"/>
  <c r="H460" i="2"/>
  <c r="H451" i="2"/>
  <c r="G374" i="2"/>
  <c r="E374" i="2"/>
  <c r="D374" i="2"/>
  <c r="G375" i="2"/>
  <c r="E375" i="2"/>
  <c r="D375" i="2"/>
  <c r="G368" i="2"/>
  <c r="D368" i="2"/>
  <c r="E368" i="2"/>
  <c r="G372" i="2"/>
  <c r="E372" i="2"/>
  <c r="D372" i="2"/>
  <c r="G380" i="2"/>
  <c r="E380" i="2"/>
  <c r="D380" i="2"/>
  <c r="H458" i="2"/>
  <c r="H448" i="2"/>
  <c r="H455" i="2"/>
  <c r="H459" i="2"/>
  <c r="G366" i="2"/>
  <c r="D366" i="2"/>
  <c r="E366" i="2"/>
  <c r="G378" i="2"/>
  <c r="E378" i="2"/>
  <c r="D378" i="2"/>
  <c r="G371" i="2"/>
  <c r="H371" i="2" s="1"/>
  <c r="E371" i="2"/>
  <c r="D371" i="2"/>
  <c r="G379" i="2"/>
  <c r="H379" i="2" s="1"/>
  <c r="E379" i="2"/>
  <c r="D379" i="2"/>
  <c r="G364" i="2"/>
  <c r="H364" i="2" s="1"/>
  <c r="D364" i="2"/>
  <c r="E364" i="2"/>
  <c r="G376" i="2"/>
  <c r="H376" i="2" s="1"/>
  <c r="D376" i="2"/>
  <c r="E376" i="2"/>
  <c r="G365" i="2"/>
  <c r="H365" i="2" s="1"/>
  <c r="E365" i="2"/>
  <c r="D365" i="2"/>
  <c r="G369" i="2"/>
  <c r="H369" i="2" s="1"/>
  <c r="E369" i="2"/>
  <c r="D369" i="2"/>
  <c r="G373" i="2"/>
  <c r="E373" i="2"/>
  <c r="D373" i="2"/>
  <c r="G377" i="2"/>
  <c r="H377" i="2" s="1"/>
  <c r="E377" i="2"/>
  <c r="D377" i="2"/>
  <c r="H442" i="2"/>
  <c r="H438" i="2"/>
  <c r="C362" i="2"/>
  <c r="G362" i="2" s="1"/>
  <c r="C361" i="2"/>
  <c r="C360" i="2"/>
  <c r="C359" i="2"/>
  <c r="G359" i="2" s="1"/>
  <c r="C358" i="2"/>
  <c r="C357" i="2"/>
  <c r="C356" i="2"/>
  <c r="C355" i="2"/>
  <c r="C354" i="2"/>
  <c r="C353" i="2"/>
  <c r="C352" i="2"/>
  <c r="G352" i="2" s="1"/>
  <c r="C351" i="2"/>
  <c r="C350" i="2"/>
  <c r="C349" i="2"/>
  <c r="E349" i="2" s="1"/>
  <c r="C348" i="2"/>
  <c r="G348" i="2" s="1"/>
  <c r="C347" i="2"/>
  <c r="C346" i="2"/>
  <c r="C345" i="2"/>
  <c r="G345" i="2" s="1"/>
  <c r="D361" i="2"/>
  <c r="E356" i="2"/>
  <c r="D349" i="2"/>
  <c r="D348" i="2"/>
  <c r="G346" i="2" l="1"/>
  <c r="H346" i="2" s="1"/>
  <c r="E346" i="2"/>
  <c r="E354" i="2"/>
  <c r="G353" i="2"/>
  <c r="H353" i="2" s="1"/>
  <c r="E358" i="2"/>
  <c r="G357" i="2"/>
  <c r="H357" i="2" s="1"/>
  <c r="E362" i="2"/>
  <c r="G361" i="2"/>
  <c r="H380" i="2"/>
  <c r="H374" i="2"/>
  <c r="D356" i="2"/>
  <c r="G356" i="2"/>
  <c r="H372" i="2"/>
  <c r="D357" i="2"/>
  <c r="E350" i="2"/>
  <c r="G350" i="2"/>
  <c r="E351" i="2"/>
  <c r="E357" i="2"/>
  <c r="D362" i="2"/>
  <c r="E348" i="2"/>
  <c r="G347" i="2"/>
  <c r="H347" i="2" s="1"/>
  <c r="D351" i="2"/>
  <c r="G351" i="2"/>
  <c r="H351" i="2" s="1"/>
  <c r="D355" i="2"/>
  <c r="G354" i="2"/>
  <c r="H354" i="2" s="1"/>
  <c r="E359" i="2"/>
  <c r="G358" i="2"/>
  <c r="H358" i="2" s="1"/>
  <c r="H362" i="2"/>
  <c r="H373" i="2"/>
  <c r="H366" i="2"/>
  <c r="H375" i="2"/>
  <c r="D350" i="2"/>
  <c r="G349" i="2"/>
  <c r="H349" i="2" s="1"/>
  <c r="D360" i="2"/>
  <c r="G360" i="2"/>
  <c r="H360" i="2" s="1"/>
  <c r="E361" i="2"/>
  <c r="D354" i="2"/>
  <c r="E360" i="2"/>
  <c r="E347" i="2"/>
  <c r="H348" i="2"/>
  <c r="E352" i="2"/>
  <c r="E355" i="2"/>
  <c r="G355" i="2"/>
  <c r="H355" i="2" s="1"/>
  <c r="H378" i="2"/>
  <c r="H368" i="2"/>
  <c r="H370" i="2"/>
  <c r="D359" i="2"/>
  <c r="D358" i="2"/>
  <c r="D353" i="2"/>
  <c r="E353" i="2"/>
  <c r="D352" i="2"/>
  <c r="D347" i="2"/>
  <c r="D346" i="2"/>
  <c r="H359" i="2" l="1"/>
  <c r="H350" i="2"/>
  <c r="H356" i="2"/>
  <c r="H361" i="2"/>
  <c r="H352" i="2"/>
  <c r="E344" i="2"/>
  <c r="D344" i="2"/>
  <c r="E343" i="2"/>
  <c r="E341" i="2"/>
  <c r="E340" i="2"/>
  <c r="D340" i="2"/>
  <c r="D339" i="2"/>
  <c r="E337" i="2"/>
  <c r="E336" i="2"/>
  <c r="D336" i="2"/>
  <c r="D334" i="2"/>
  <c r="E333" i="2"/>
  <c r="E332" i="2"/>
  <c r="D332" i="2"/>
  <c r="D330" i="2"/>
  <c r="E329" i="2"/>
  <c r="E328" i="2"/>
  <c r="D328" i="2"/>
  <c r="C326" i="2"/>
  <c r="C325" i="2"/>
  <c r="G325" i="2" s="1"/>
  <c r="C324" i="2"/>
  <c r="G324" i="2" s="1"/>
  <c r="C323" i="2"/>
  <c r="G323" i="2" s="1"/>
  <c r="C322" i="2"/>
  <c r="C321" i="2"/>
  <c r="G321" i="2" s="1"/>
  <c r="C320" i="2"/>
  <c r="G320" i="2" s="1"/>
  <c r="C319" i="2"/>
  <c r="G319" i="2" s="1"/>
  <c r="C318" i="2"/>
  <c r="C317" i="2"/>
  <c r="G317" i="2" s="1"/>
  <c r="C316" i="2"/>
  <c r="G316" i="2" s="1"/>
  <c r="C315" i="2"/>
  <c r="C314" i="2"/>
  <c r="G314" i="2" s="1"/>
  <c r="H314" i="2" s="1"/>
  <c r="C313" i="2"/>
  <c r="G313" i="2" s="1"/>
  <c r="C312" i="2"/>
  <c r="G312" i="2" s="1"/>
  <c r="C311" i="2"/>
  <c r="G311" i="2" s="1"/>
  <c r="C310" i="2"/>
  <c r="C309" i="2"/>
  <c r="G309" i="2" s="1"/>
  <c r="E324" i="2"/>
  <c r="E320" i="2"/>
  <c r="E312" i="2"/>
  <c r="C308" i="2"/>
  <c r="C307" i="2"/>
  <c r="G307" i="2" s="1"/>
  <c r="H307" i="2" s="1"/>
  <c r="C306" i="2"/>
  <c r="G306" i="2" s="1"/>
  <c r="C305" i="2"/>
  <c r="C302" i="2"/>
  <c r="G302" i="2" s="1"/>
  <c r="C304" i="2"/>
  <c r="C303" i="2"/>
  <c r="C301" i="2"/>
  <c r="C299" i="2"/>
  <c r="C300" i="2"/>
  <c r="G300" i="2" s="1"/>
  <c r="C298" i="2"/>
  <c r="G298" i="2" s="1"/>
  <c r="C297" i="2"/>
  <c r="C296" i="2"/>
  <c r="C294" i="2"/>
  <c r="C295" i="2"/>
  <c r="G295" i="2" s="1"/>
  <c r="C293" i="2"/>
  <c r="G293" i="2" s="1"/>
  <c r="C292" i="2"/>
  <c r="D293" i="2" s="1"/>
  <c r="C291" i="2"/>
  <c r="G291" i="2" s="1"/>
  <c r="D307" i="2"/>
  <c r="E306" i="2"/>
  <c r="D306" i="2"/>
  <c r="E303" i="2"/>
  <c r="D303" i="2"/>
  <c r="D302" i="2"/>
  <c r="E298" i="2"/>
  <c r="D298" i="2"/>
  <c r="E293" i="2"/>
  <c r="E295" i="2" l="1"/>
  <c r="G294" i="2"/>
  <c r="H294" i="2" s="1"/>
  <c r="E322" i="2"/>
  <c r="G322" i="2"/>
  <c r="H322" i="2" s="1"/>
  <c r="D299" i="2"/>
  <c r="G299" i="2"/>
  <c r="H299" i="2" s="1"/>
  <c r="E308" i="2"/>
  <c r="G308" i="2"/>
  <c r="H308" i="2" s="1"/>
  <c r="D314" i="2"/>
  <c r="E323" i="2"/>
  <c r="H311" i="2"/>
  <c r="E315" i="2"/>
  <c r="G315" i="2"/>
  <c r="H315" i="2" s="1"/>
  <c r="H319" i="2"/>
  <c r="H300" i="2"/>
  <c r="D310" i="2"/>
  <c r="G310" i="2"/>
  <c r="H310" i="2" s="1"/>
  <c r="E319" i="2"/>
  <c r="G318" i="2"/>
  <c r="H318" i="2" s="1"/>
  <c r="E326" i="2"/>
  <c r="G326" i="2"/>
  <c r="H326" i="2" s="1"/>
  <c r="E296" i="2"/>
  <c r="G296" i="2"/>
  <c r="H296" i="2" s="1"/>
  <c r="D296" i="2"/>
  <c r="D308" i="2"/>
  <c r="H293" i="2"/>
  <c r="D297" i="2"/>
  <c r="G297" i="2"/>
  <c r="H297" i="2" s="1"/>
  <c r="D301" i="2"/>
  <c r="G301" i="2"/>
  <c r="H301" i="2" s="1"/>
  <c r="E305" i="2"/>
  <c r="G305" i="2"/>
  <c r="E310" i="2"/>
  <c r="E314" i="2"/>
  <c r="H312" i="2"/>
  <c r="H316" i="2"/>
  <c r="H320" i="2"/>
  <c r="H324" i="2"/>
  <c r="E292" i="2"/>
  <c r="G292" i="2"/>
  <c r="H292" i="2" s="1"/>
  <c r="E304" i="2"/>
  <c r="G304" i="2"/>
  <c r="D295" i="2"/>
  <c r="E307" i="2"/>
  <c r="E297" i="2"/>
  <c r="E302" i="2"/>
  <c r="H295" i="2"/>
  <c r="H298" i="2"/>
  <c r="D304" i="2"/>
  <c r="G303" i="2"/>
  <c r="H303" i="2" s="1"/>
  <c r="H306" i="2"/>
  <c r="E311" i="2"/>
  <c r="E316" i="2"/>
  <c r="H313" i="2"/>
  <c r="H317" i="2"/>
  <c r="H321" i="2"/>
  <c r="H325" i="2"/>
  <c r="D343" i="2"/>
  <c r="E331" i="2"/>
  <c r="E335" i="2"/>
  <c r="D338" i="2"/>
  <c r="E339" i="2"/>
  <c r="D342" i="2"/>
  <c r="D329" i="2"/>
  <c r="E330" i="2"/>
  <c r="D333" i="2"/>
  <c r="E334" i="2"/>
  <c r="D337" i="2"/>
  <c r="E338" i="2"/>
  <c r="D341" i="2"/>
  <c r="E342" i="2"/>
  <c r="D331" i="2"/>
  <c r="D335" i="2"/>
  <c r="D326" i="2"/>
  <c r="D322" i="2"/>
  <c r="D318" i="2"/>
  <c r="E318" i="2"/>
  <c r="D313" i="2"/>
  <c r="D317" i="2"/>
  <c r="D321" i="2"/>
  <c r="D325" i="2"/>
  <c r="D312" i="2"/>
  <c r="E313" i="2"/>
  <c r="D316" i="2"/>
  <c r="E317" i="2"/>
  <c r="D320" i="2"/>
  <c r="E321" i="2"/>
  <c r="D324" i="2"/>
  <c r="E325" i="2"/>
  <c r="D311" i="2"/>
  <c r="D315" i="2"/>
  <c r="D319" i="2"/>
  <c r="D323" i="2"/>
  <c r="D305" i="2"/>
  <c r="E301" i="2"/>
  <c r="E299" i="2"/>
  <c r="E300" i="2"/>
  <c r="D300" i="2"/>
  <c r="E294" i="2"/>
  <c r="D294" i="2"/>
  <c r="D292" i="2"/>
  <c r="E289" i="2"/>
  <c r="E288" i="2"/>
  <c r="E287" i="2"/>
  <c r="D287" i="2"/>
  <c r="E285" i="2"/>
  <c r="E284" i="2"/>
  <c r="E283" i="2"/>
  <c r="D283" i="2"/>
  <c r="E281" i="2"/>
  <c r="E280" i="2"/>
  <c r="E279" i="2"/>
  <c r="D279" i="2"/>
  <c r="E277" i="2"/>
  <c r="E276" i="2"/>
  <c r="E275" i="2"/>
  <c r="D275" i="2"/>
  <c r="E274" i="2"/>
  <c r="D274" i="2"/>
  <c r="C272" i="2"/>
  <c r="G272" i="2" s="1"/>
  <c r="C271" i="2"/>
  <c r="G271" i="2" s="1"/>
  <c r="C270" i="2"/>
  <c r="C269" i="2"/>
  <c r="G269" i="2" s="1"/>
  <c r="C268" i="2"/>
  <c r="C267" i="2"/>
  <c r="C266" i="2"/>
  <c r="C264" i="2"/>
  <c r="G264" i="2" s="1"/>
  <c r="C265" i="2"/>
  <c r="C262" i="2"/>
  <c r="C263" i="2"/>
  <c r="C261" i="2"/>
  <c r="G261" i="2" s="1"/>
  <c r="C260" i="2"/>
  <c r="C259" i="2"/>
  <c r="C258" i="2"/>
  <c r="G258" i="2" s="1"/>
  <c r="C257" i="2"/>
  <c r="C256" i="2"/>
  <c r="G256" i="2" s="1"/>
  <c r="C255" i="2"/>
  <c r="E272" i="2"/>
  <c r="E269" i="2"/>
  <c r="D269" i="2"/>
  <c r="E265" i="2"/>
  <c r="D265" i="2"/>
  <c r="E264" i="2"/>
  <c r="E261" i="2"/>
  <c r="D261" i="2"/>
  <c r="E260" i="2"/>
  <c r="D259" i="2"/>
  <c r="E257" i="2"/>
  <c r="D257" i="2"/>
  <c r="E256" i="2"/>
  <c r="D264" i="2" l="1"/>
  <c r="G263" i="2"/>
  <c r="D267" i="2"/>
  <c r="G266" i="2"/>
  <c r="H266" i="2" s="1"/>
  <c r="E271" i="2"/>
  <c r="G270" i="2"/>
  <c r="H270" i="2" s="1"/>
  <c r="H304" i="2"/>
  <c r="H323" i="2"/>
  <c r="D256" i="2"/>
  <c r="G255" i="2"/>
  <c r="E259" i="2"/>
  <c r="G259" i="2"/>
  <c r="H259" i="2" s="1"/>
  <c r="D263" i="2"/>
  <c r="G262" i="2"/>
  <c r="H262" i="2" s="1"/>
  <c r="D268" i="2"/>
  <c r="G267" i="2"/>
  <c r="H271" i="2"/>
  <c r="H302" i="2"/>
  <c r="H258" i="2"/>
  <c r="D270" i="2"/>
  <c r="H256" i="2"/>
  <c r="D260" i="2"/>
  <c r="G260" i="2"/>
  <c r="E266" i="2"/>
  <c r="G265" i="2"/>
  <c r="H265" i="2" s="1"/>
  <c r="E268" i="2"/>
  <c r="G268" i="2"/>
  <c r="H272" i="2"/>
  <c r="H305" i="2"/>
  <c r="D258" i="2"/>
  <c r="D266" i="2"/>
  <c r="D272" i="2"/>
  <c r="E258" i="2"/>
  <c r="G257" i="2"/>
  <c r="H257" i="2" s="1"/>
  <c r="H261" i="2"/>
  <c r="H264" i="2"/>
  <c r="D278" i="2"/>
  <c r="D282" i="2"/>
  <c r="D286" i="2"/>
  <c r="D290" i="2"/>
  <c r="D277" i="2"/>
  <c r="E278" i="2"/>
  <c r="D281" i="2"/>
  <c r="E282" i="2"/>
  <c r="D285" i="2"/>
  <c r="E286" i="2"/>
  <c r="D289" i="2"/>
  <c r="E290" i="2"/>
  <c r="D276" i="2"/>
  <c r="D280" i="2"/>
  <c r="D284" i="2"/>
  <c r="D288" i="2"/>
  <c r="E270" i="2"/>
  <c r="D271" i="2"/>
  <c r="E267" i="2"/>
  <c r="E262" i="2"/>
  <c r="D262" i="2"/>
  <c r="E263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8" i="2"/>
  <c r="E217" i="2"/>
  <c r="D217" i="2"/>
  <c r="E215" i="2"/>
  <c r="E214" i="2"/>
  <c r="E213" i="2"/>
  <c r="D213" i="2"/>
  <c r="E212" i="2"/>
  <c r="E210" i="2"/>
  <c r="E209" i="2"/>
  <c r="D209" i="2"/>
  <c r="D208" i="2"/>
  <c r="E206" i="2"/>
  <c r="E205" i="2"/>
  <c r="D205" i="2"/>
  <c r="D203" i="2"/>
  <c r="E202" i="2"/>
  <c r="H267" i="2" l="1"/>
  <c r="H268" i="2"/>
  <c r="H260" i="2"/>
  <c r="H263" i="2"/>
  <c r="H269" i="2"/>
  <c r="D204" i="2"/>
  <c r="D216" i="2"/>
  <c r="E204" i="2"/>
  <c r="D207" i="2"/>
  <c r="E208" i="2"/>
  <c r="D211" i="2"/>
  <c r="D215" i="2"/>
  <c r="E216" i="2"/>
  <c r="D202" i="2"/>
  <c r="E203" i="2"/>
  <c r="D206" i="2"/>
  <c r="E207" i="2"/>
  <c r="D210" i="2"/>
  <c r="E211" i="2"/>
  <c r="D214" i="2"/>
  <c r="D218" i="2"/>
  <c r="D212" i="2"/>
  <c r="C199" i="2"/>
  <c r="C200" i="2"/>
  <c r="C198" i="2"/>
  <c r="G198" i="2" s="1"/>
  <c r="C197" i="2"/>
  <c r="G197" i="2" s="1"/>
  <c r="C196" i="2"/>
  <c r="C195" i="2"/>
  <c r="G195" i="2" s="1"/>
  <c r="C194" i="2"/>
  <c r="C193" i="2"/>
  <c r="C192" i="2"/>
  <c r="C191" i="2"/>
  <c r="G191" i="2" s="1"/>
  <c r="C190" i="2"/>
  <c r="C189" i="2"/>
  <c r="C188" i="2"/>
  <c r="C187" i="2"/>
  <c r="C186" i="2"/>
  <c r="C185" i="2"/>
  <c r="C184" i="2"/>
  <c r="C183" i="2"/>
  <c r="G183" i="2" s="1"/>
  <c r="E198" i="2"/>
  <c r="D198" i="2"/>
  <c r="D197" i="2"/>
  <c r="E193" i="2"/>
  <c r="D190" i="2"/>
  <c r="E189" i="2"/>
  <c r="E185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D171" i="2"/>
  <c r="E171" i="2"/>
  <c r="E169" i="2"/>
  <c r="D168" i="2"/>
  <c r="E168" i="2"/>
  <c r="E166" i="2"/>
  <c r="C151" i="2"/>
  <c r="C149" i="2"/>
  <c r="G149" i="2" s="1"/>
  <c r="C148" i="2"/>
  <c r="C147" i="2"/>
  <c r="G147" i="2" s="1"/>
  <c r="C152" i="2"/>
  <c r="G152" i="2" s="1"/>
  <c r="D151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1" i="2"/>
  <c r="D188" i="2" l="1"/>
  <c r="G187" i="2"/>
  <c r="E200" i="2"/>
  <c r="G200" i="2"/>
  <c r="E149" i="2"/>
  <c r="G148" i="2"/>
  <c r="H148" i="2" s="1"/>
  <c r="D185" i="2"/>
  <c r="G184" i="2"/>
  <c r="H184" i="2" s="1"/>
  <c r="E188" i="2"/>
  <c r="G188" i="2"/>
  <c r="H188" i="2" s="1"/>
  <c r="D193" i="2"/>
  <c r="G192" i="2"/>
  <c r="H192" i="2" s="1"/>
  <c r="E196" i="2"/>
  <c r="G196" i="2"/>
  <c r="H196" i="2" s="1"/>
  <c r="E199" i="2"/>
  <c r="G199" i="2"/>
  <c r="H199" i="2" s="1"/>
  <c r="H149" i="2"/>
  <c r="H150" i="2"/>
  <c r="E186" i="2"/>
  <c r="G185" i="2"/>
  <c r="D189" i="2"/>
  <c r="G189" i="2"/>
  <c r="H189" i="2" s="1"/>
  <c r="E194" i="2"/>
  <c r="G193" i="2"/>
  <c r="H197" i="2"/>
  <c r="H195" i="2"/>
  <c r="H152" i="2"/>
  <c r="H153" i="2"/>
  <c r="E152" i="2"/>
  <c r="G151" i="2"/>
  <c r="H151" i="2" s="1"/>
  <c r="E191" i="2"/>
  <c r="E187" i="2"/>
  <c r="G186" i="2"/>
  <c r="H186" i="2" s="1"/>
  <c r="D191" i="2"/>
  <c r="G190" i="2"/>
  <c r="H190" i="2" s="1"/>
  <c r="E195" i="2"/>
  <c r="G194" i="2"/>
  <c r="H194" i="2" s="1"/>
  <c r="H198" i="2"/>
  <c r="D199" i="2"/>
  <c r="D200" i="2"/>
  <c r="D196" i="2"/>
  <c r="E197" i="2"/>
  <c r="D195" i="2"/>
  <c r="D194" i="2"/>
  <c r="D192" i="2"/>
  <c r="E192" i="2"/>
  <c r="E190" i="2"/>
  <c r="D187" i="2"/>
  <c r="D186" i="2"/>
  <c r="E184" i="2"/>
  <c r="D184" i="2"/>
  <c r="D167" i="2"/>
  <c r="D170" i="2"/>
  <c r="D166" i="2"/>
  <c r="E167" i="2"/>
  <c r="D169" i="2"/>
  <c r="E170" i="2"/>
  <c r="D152" i="2"/>
  <c r="E148" i="2"/>
  <c r="D149" i="2"/>
  <c r="E150" i="2"/>
  <c r="D150" i="2"/>
  <c r="D148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146" i="2"/>
  <c r="E145" i="2"/>
  <c r="D145" i="2"/>
  <c r="E143" i="2"/>
  <c r="E142" i="2"/>
  <c r="E141" i="2"/>
  <c r="D141" i="2"/>
  <c r="E139" i="2"/>
  <c r="E138" i="2"/>
  <c r="E137" i="2"/>
  <c r="D137" i="2"/>
  <c r="E135" i="2"/>
  <c r="E134" i="2"/>
  <c r="E133" i="2"/>
  <c r="D133" i="2"/>
  <c r="E131" i="2"/>
  <c r="E130" i="2"/>
  <c r="C74" i="2"/>
  <c r="G74" i="2" s="1"/>
  <c r="C73" i="2"/>
  <c r="G73" i="2" s="1"/>
  <c r="C72" i="2"/>
  <c r="C71" i="2"/>
  <c r="G71" i="2" s="1"/>
  <c r="C70" i="2"/>
  <c r="G70" i="2" s="1"/>
  <c r="C69" i="2"/>
  <c r="C68" i="2"/>
  <c r="C67" i="2"/>
  <c r="G67" i="2" s="1"/>
  <c r="C66" i="2"/>
  <c r="C65" i="2"/>
  <c r="C64" i="2"/>
  <c r="C63" i="2"/>
  <c r="G63" i="2" s="1"/>
  <c r="H63" i="2" s="1"/>
  <c r="C62" i="2"/>
  <c r="G62" i="2" s="1"/>
  <c r="C61" i="2"/>
  <c r="C60" i="2"/>
  <c r="C59" i="2"/>
  <c r="G59" i="2" s="1"/>
  <c r="C58" i="2"/>
  <c r="G58" i="2" s="1"/>
  <c r="C57" i="2"/>
  <c r="E73" i="2"/>
  <c r="D67" i="2"/>
  <c r="E63" i="2"/>
  <c r="E59" i="2"/>
  <c r="D73" i="2" l="1"/>
  <c r="G72" i="2"/>
  <c r="H72" i="2" s="1"/>
  <c r="H200" i="2"/>
  <c r="D58" i="2"/>
  <c r="G57" i="2"/>
  <c r="E62" i="2"/>
  <c r="G61" i="2"/>
  <c r="H61" i="2" s="1"/>
  <c r="E66" i="2"/>
  <c r="G65" i="2"/>
  <c r="E70" i="2"/>
  <c r="G69" i="2"/>
  <c r="H69" i="2" s="1"/>
  <c r="H73" i="2"/>
  <c r="D60" i="2"/>
  <c r="G60" i="2"/>
  <c r="H60" i="2" s="1"/>
  <c r="H58" i="2"/>
  <c r="H62" i="2"/>
  <c r="E67" i="2"/>
  <c r="G66" i="2"/>
  <c r="H66" i="2" s="1"/>
  <c r="H70" i="2"/>
  <c r="H74" i="2"/>
  <c r="H187" i="2"/>
  <c r="D64" i="2"/>
  <c r="G64" i="2"/>
  <c r="H64" i="2" s="1"/>
  <c r="D69" i="2"/>
  <c r="G68" i="2"/>
  <c r="H68" i="2" s="1"/>
  <c r="H59" i="2"/>
  <c r="H67" i="2"/>
  <c r="H71" i="2"/>
  <c r="H193" i="2"/>
  <c r="H185" i="2"/>
  <c r="H191" i="2"/>
  <c r="D68" i="2"/>
  <c r="E69" i="2"/>
  <c r="E58" i="2"/>
  <c r="D70" i="2"/>
  <c r="E74" i="2"/>
  <c r="E71" i="2"/>
  <c r="D59" i="2"/>
  <c r="D63" i="2"/>
  <c r="E68" i="2"/>
  <c r="D71" i="2"/>
  <c r="D132" i="2"/>
  <c r="D136" i="2"/>
  <c r="D140" i="2"/>
  <c r="D144" i="2"/>
  <c r="D131" i="2"/>
  <c r="E132" i="2"/>
  <c r="D135" i="2"/>
  <c r="E136" i="2"/>
  <c r="D139" i="2"/>
  <c r="E140" i="2"/>
  <c r="D143" i="2"/>
  <c r="E144" i="2"/>
  <c r="D130" i="2"/>
  <c r="D134" i="2"/>
  <c r="D138" i="2"/>
  <c r="D142" i="2"/>
  <c r="D146" i="2"/>
  <c r="D74" i="2"/>
  <c r="E72" i="2"/>
  <c r="D72" i="2"/>
  <c r="D66" i="2"/>
  <c r="E65" i="2"/>
  <c r="D65" i="2"/>
  <c r="E64" i="2"/>
  <c r="D62" i="2"/>
  <c r="E61" i="2"/>
  <c r="D61" i="2"/>
  <c r="E60" i="2"/>
  <c r="H65" i="2" l="1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C26" i="2"/>
  <c r="G26" i="2" s="1"/>
  <c r="C23" i="2"/>
  <c r="C25" i="2"/>
  <c r="G25" i="2" s="1"/>
  <c r="C24" i="2"/>
  <c r="C22" i="2"/>
  <c r="G22" i="2" s="1"/>
  <c r="C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25" i="2" l="1"/>
  <c r="G24" i="2"/>
  <c r="H26" i="2"/>
  <c r="D22" i="2"/>
  <c r="G21" i="2"/>
  <c r="H22" i="2" s="1"/>
  <c r="E23" i="2"/>
  <c r="G23" i="2"/>
  <c r="H23" i="2" s="1"/>
  <c r="D25" i="2"/>
  <c r="E22" i="2"/>
  <c r="E26" i="2"/>
  <c r="D26" i="2"/>
  <c r="E24" i="2"/>
  <c r="D24" i="2"/>
  <c r="D23" i="2"/>
  <c r="H24" i="2" l="1"/>
  <c r="H25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76" i="2"/>
  <c r="D205" i="1"/>
  <c r="D193" i="1"/>
  <c r="D181" i="1"/>
  <c r="D169" i="1"/>
  <c r="D157" i="1"/>
  <c r="D145" i="1"/>
  <c r="D133" i="1"/>
  <c r="D121" i="1"/>
  <c r="D109" i="1"/>
  <c r="D97" i="1"/>
  <c r="D85" i="1"/>
  <c r="D73" i="1"/>
  <c r="D61" i="1"/>
  <c r="D49" i="1"/>
  <c r="D37" i="1"/>
  <c r="D25" i="1"/>
  <c r="D13" i="1"/>
  <c r="D1" i="1"/>
</calcChain>
</file>

<file path=xl/sharedStrings.xml><?xml version="1.0" encoding="utf-8"?>
<sst xmlns="http://schemas.openxmlformats.org/spreadsheetml/2006/main" count="1716" uniqueCount="112">
  <si>
    <t>Year</t>
  </si>
  <si>
    <t>Element</t>
  </si>
  <si>
    <t>NA</t>
  </si>
  <si>
    <t>Al</t>
  </si>
  <si>
    <t>He</t>
  </si>
  <si>
    <t>Li</t>
  </si>
  <si>
    <t>Notes</t>
  </si>
  <si>
    <t>Lithium Carbonate Custom Value from Chile</t>
  </si>
  <si>
    <t>(From USGS figures)</t>
  </si>
  <si>
    <t>Be</t>
  </si>
  <si>
    <t>Byerillium vacuum-cast ingots</t>
  </si>
  <si>
    <t>2204.62 lbs to 1 metric ton</t>
  </si>
  <si>
    <t>B</t>
  </si>
  <si>
    <t>(From USGS)</t>
  </si>
  <si>
    <t>Chilean Ulexite</t>
  </si>
  <si>
    <t>N</t>
  </si>
  <si>
    <t>Corn Belt Anhydrous Ammonia</t>
  </si>
  <si>
    <t>K</t>
  </si>
  <si>
    <t>Standard Muriate</t>
  </si>
  <si>
    <t>P</t>
  </si>
  <si>
    <t>Weighted Average Phosphate Rock</t>
  </si>
  <si>
    <t>S</t>
  </si>
  <si>
    <t>Elemental sulfur</t>
  </si>
  <si>
    <t>Ca</t>
  </si>
  <si>
    <t>Groups to Disregard:</t>
  </si>
  <si>
    <t>Crushed Stone</t>
  </si>
  <si>
    <t>Ti</t>
  </si>
  <si>
    <t>Ilmenite</t>
  </si>
  <si>
    <t>Vanadium Pentoxide</t>
  </si>
  <si>
    <t>V</t>
  </si>
  <si>
    <t>Cr</t>
  </si>
  <si>
    <t>Chromite ore</t>
  </si>
  <si>
    <t>Mn</t>
  </si>
  <si>
    <t>Manganese Ore</t>
  </si>
  <si>
    <t>Fe</t>
  </si>
  <si>
    <t>Iron ore</t>
  </si>
  <si>
    <t>Co</t>
  </si>
  <si>
    <t>US Spot Cathode</t>
  </si>
  <si>
    <t>Ni</t>
  </si>
  <si>
    <t>Pure Nickel</t>
  </si>
  <si>
    <t>Cu</t>
  </si>
  <si>
    <t>US Producers</t>
  </si>
  <si>
    <t>Zn</t>
  </si>
  <si>
    <t>Dollars per kilogram</t>
  </si>
  <si>
    <t>99.99999% pure</t>
  </si>
  <si>
    <t>Ga</t>
  </si>
  <si>
    <t>Yearend</t>
  </si>
  <si>
    <t>As</t>
  </si>
  <si>
    <t>Arsenic Trioxide</t>
  </si>
  <si>
    <t>(Mexico until 2005, China from 2006-2011, Morocco from 2012)</t>
  </si>
  <si>
    <t>Se</t>
  </si>
  <si>
    <t>Domestic Selenium</t>
  </si>
  <si>
    <t>Br</t>
  </si>
  <si>
    <t>Sr</t>
  </si>
  <si>
    <t>Rare Earth Chlorides</t>
  </si>
  <si>
    <t>Rare Earths</t>
  </si>
  <si>
    <t>Zr</t>
  </si>
  <si>
    <t>Bulk domestic standard grade</t>
  </si>
  <si>
    <t>Dollars per metric ton</t>
  </si>
  <si>
    <t>Nb</t>
  </si>
  <si>
    <t>Ferrocolumbium (Ferroniobium)</t>
  </si>
  <si>
    <t>Mo</t>
  </si>
  <si>
    <t>Molybdenum Oxide</t>
  </si>
  <si>
    <t>Platinum Group</t>
  </si>
  <si>
    <t>Ag</t>
  </si>
  <si>
    <t>Silver Ingot</t>
  </si>
  <si>
    <t>Cd</t>
  </si>
  <si>
    <t>99.95% pure lots</t>
  </si>
  <si>
    <t>Sn</t>
  </si>
  <si>
    <t>New York Market</t>
  </si>
  <si>
    <t>Sb</t>
  </si>
  <si>
    <t>Antimony metal</t>
  </si>
  <si>
    <t>Standard grade Tellurium</t>
  </si>
  <si>
    <t>Te</t>
  </si>
  <si>
    <t>I</t>
  </si>
  <si>
    <t>Imported c.i.f. value</t>
  </si>
  <si>
    <t>Ba</t>
  </si>
  <si>
    <t>Primary Barite</t>
  </si>
  <si>
    <t>Ta</t>
  </si>
  <si>
    <t>Tantalite Ore</t>
  </si>
  <si>
    <t>W</t>
  </si>
  <si>
    <t>Ammonium Paratungstate on US Market</t>
  </si>
  <si>
    <t>Re</t>
  </si>
  <si>
    <t>Metal Powder</t>
  </si>
  <si>
    <t>Au</t>
  </si>
  <si>
    <t>Ingots</t>
  </si>
  <si>
    <t>Hg</t>
  </si>
  <si>
    <t>Mercury is commonly sold in flasks of 76 lbs or 34.473 kg</t>
  </si>
  <si>
    <t>Pb</t>
  </si>
  <si>
    <t>Free Market Mercury</t>
  </si>
  <si>
    <t>North American average</t>
  </si>
  <si>
    <t>Bi</t>
  </si>
  <si>
    <t>Th</t>
  </si>
  <si>
    <t>Rhodia, Inc. Thorium Oxide, 99.9% pure</t>
  </si>
  <si>
    <t>Pd</t>
  </si>
  <si>
    <t>Pt</t>
  </si>
  <si>
    <t>US Primary Aluminum</t>
  </si>
  <si>
    <t>Dollars</t>
  </si>
  <si>
    <t>Dollarss per metric ton</t>
  </si>
  <si>
    <t>Dollarss per kilogram</t>
  </si>
  <si>
    <t>New York dealer Dollars</t>
  </si>
  <si>
    <t>Time since 1998</t>
  </si>
  <si>
    <t>CPI</t>
  </si>
  <si>
    <t>Change in CPI</t>
  </si>
  <si>
    <t>% Change</t>
  </si>
  <si>
    <t>Price Index</t>
  </si>
  <si>
    <t>1998 Dollars</t>
  </si>
  <si>
    <t>Change in 1998 Dollars</t>
  </si>
  <si>
    <t>Change in 1998 Dollars (%)</t>
  </si>
  <si>
    <t>Change in AbsoluteDollars</t>
  </si>
  <si>
    <t>Change in Absolute Dollars (%)</t>
  </si>
  <si>
    <t>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</si>
</sst>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right" vertical="center" wrapText="1"/>
    </xf>
    <xf numFmtId="4" fontId="1" fillId="3" borderId="1" xfId="0" applyNumberFormat="1" applyFont="1" applyFill="1" applyBorder="1" applyAlignment="1">
      <alignment horizontal="right" vertical="center" wrapText="1"/>
    </xf>
    <xf numFmtId="17" fontId="1" fillId="2" borderId="1" xfId="0" applyNumberFormat="1" applyFont="1" applyFill="1" applyBorder="1" applyAlignment="1">
      <alignment horizontal="right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17" fontId="1" fillId="3" borderId="1" xfId="0" applyNumberFormat="1" applyFont="1" applyFill="1" applyBorder="1" applyAlignment="1">
      <alignment horizontal="right" vertical="center" wrapText="1"/>
    </xf>
    <xf numFmtId="10" fontId="0" fillId="0" borderId="0" xfId="0" applyNumberFormat="1"/>
    <xf numFmtId="0" fontId="0" fillId="0" borderId="2" xfId="0" applyBorder="1"/>
    <xf numFmtId="10" fontId="0" fillId="0" borderId="2" xfId="0" applyNumberFormat="1" applyBorder="1"/>
    <xf numFmtId="0" fontId="0" fillId="0" borderId="0" xfId="0" applyFill="1" applyBorder="1"/>
    <xf numFmtId="0" fontId="0" fillId="0" borderId="2" xfId="0" applyFill="1" applyBorder="1"/>
    <xf numFmtId="0" fontId="2" fillId="0" borderId="0" xfId="0" applyFont="1"/>
    <xf numFmtId="0" fontId="2" fillId="0" borderId="2" xfId="0" applyFont="1" applyBorder="1"/>
    <xf numFmtId="164" fontId="4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25D0-F70F-40EA-9400-DF3A8C580B7C}">
  <dimension ref="A1:D216"/>
  <sheetViews>
    <sheetView workbookViewId="0">
      <selection activeCell="E13" sqref="E13"/>
    </sheetView>
  </sheetViews>
  <sheetFormatPr defaultRowHeight="15" x14ac:dyDescent="0.25"/>
  <cols>
    <col min="3" max="3" width="9" customWidth="1"/>
    <col min="4" max="4" width="14.28515625" bestFit="1" customWidth="1"/>
  </cols>
  <sheetData>
    <row r="1" spans="1:4" x14ac:dyDescent="0.25">
      <c r="A1">
        <v>1998</v>
      </c>
      <c r="B1" s="1"/>
      <c r="C1" s="2"/>
      <c r="D1">
        <f>SUM(C1:C12)/12</f>
        <v>0</v>
      </c>
    </row>
    <row r="2" spans="1:4" x14ac:dyDescent="0.25">
      <c r="B2" s="3"/>
      <c r="C2" s="4"/>
    </row>
    <row r="3" spans="1:4" x14ac:dyDescent="0.25">
      <c r="B3" s="5"/>
      <c r="C3" s="2"/>
    </row>
    <row r="4" spans="1:4" x14ac:dyDescent="0.25">
      <c r="B4" s="3"/>
      <c r="C4" s="4"/>
    </row>
    <row r="5" spans="1:4" x14ac:dyDescent="0.25">
      <c r="B5" s="5"/>
      <c r="C5" s="2"/>
    </row>
    <row r="6" spans="1:4" x14ac:dyDescent="0.25">
      <c r="B6" s="3"/>
      <c r="C6" s="4"/>
    </row>
    <row r="7" spans="1:4" x14ac:dyDescent="0.25">
      <c r="B7" s="5"/>
      <c r="C7" s="2"/>
    </row>
    <row r="8" spans="1:4" x14ac:dyDescent="0.25">
      <c r="B8" s="3"/>
      <c r="C8" s="4"/>
    </row>
    <row r="9" spans="1:4" x14ac:dyDescent="0.25">
      <c r="B9" s="5"/>
      <c r="C9" s="2"/>
    </row>
    <row r="10" spans="1:4" x14ac:dyDescent="0.25">
      <c r="B10" s="3"/>
      <c r="C10" s="4"/>
    </row>
    <row r="11" spans="1:4" x14ac:dyDescent="0.25">
      <c r="B11" s="5"/>
      <c r="C11" s="2"/>
    </row>
    <row r="12" spans="1:4" x14ac:dyDescent="0.25">
      <c r="B12" s="3"/>
      <c r="C12" s="4"/>
    </row>
    <row r="13" spans="1:4" x14ac:dyDescent="0.25">
      <c r="A13">
        <v>1999</v>
      </c>
      <c r="B13" s="5"/>
      <c r="C13" s="2"/>
      <c r="D13">
        <f>SUM(C13:C24)/12</f>
        <v>0</v>
      </c>
    </row>
    <row r="14" spans="1:4" x14ac:dyDescent="0.25">
      <c r="B14" s="3"/>
      <c r="C14" s="4"/>
    </row>
    <row r="15" spans="1:4" x14ac:dyDescent="0.25">
      <c r="B15" s="5"/>
      <c r="C15" s="2"/>
    </row>
    <row r="16" spans="1:4" x14ac:dyDescent="0.25">
      <c r="B16" s="3"/>
      <c r="C16" s="4"/>
    </row>
    <row r="17" spans="1:4" x14ac:dyDescent="0.25">
      <c r="B17" s="5"/>
      <c r="C17" s="2"/>
    </row>
    <row r="18" spans="1:4" x14ac:dyDescent="0.25">
      <c r="B18" s="3"/>
      <c r="C18" s="4"/>
    </row>
    <row r="19" spans="1:4" x14ac:dyDescent="0.25">
      <c r="B19" s="5"/>
      <c r="C19" s="2"/>
    </row>
    <row r="20" spans="1:4" x14ac:dyDescent="0.25">
      <c r="B20" s="3"/>
      <c r="C20" s="4"/>
    </row>
    <row r="21" spans="1:4" x14ac:dyDescent="0.25">
      <c r="B21" s="5"/>
      <c r="C21" s="2"/>
    </row>
    <row r="22" spans="1:4" x14ac:dyDescent="0.25">
      <c r="B22" s="3"/>
      <c r="C22" s="4"/>
    </row>
    <row r="23" spans="1:4" x14ac:dyDescent="0.25">
      <c r="B23" s="5"/>
      <c r="C23" s="2"/>
    </row>
    <row r="24" spans="1:4" x14ac:dyDescent="0.25">
      <c r="B24" s="3"/>
      <c r="C24" s="4"/>
    </row>
    <row r="25" spans="1:4" x14ac:dyDescent="0.25">
      <c r="A25">
        <v>2000</v>
      </c>
      <c r="B25" s="5"/>
      <c r="C25" s="2"/>
      <c r="D25">
        <f>SUM(C25:C36)/12</f>
        <v>0</v>
      </c>
    </row>
    <row r="26" spans="1:4" x14ac:dyDescent="0.25">
      <c r="B26" s="3"/>
      <c r="C26" s="4"/>
    </row>
    <row r="27" spans="1:4" x14ac:dyDescent="0.25">
      <c r="B27" s="5"/>
      <c r="C27" s="2"/>
    </row>
    <row r="28" spans="1:4" x14ac:dyDescent="0.25">
      <c r="B28" s="3"/>
      <c r="C28" s="4"/>
    </row>
    <row r="29" spans="1:4" x14ac:dyDescent="0.25">
      <c r="B29" s="5"/>
      <c r="C29" s="2"/>
    </row>
    <row r="30" spans="1:4" x14ac:dyDescent="0.25">
      <c r="B30" s="3"/>
      <c r="C30" s="4"/>
    </row>
    <row r="31" spans="1:4" x14ac:dyDescent="0.25">
      <c r="B31" s="5"/>
      <c r="C31" s="2"/>
    </row>
    <row r="32" spans="1:4" x14ac:dyDescent="0.25">
      <c r="B32" s="3"/>
      <c r="C32" s="4"/>
    </row>
    <row r="33" spans="1:4" x14ac:dyDescent="0.25">
      <c r="B33" s="5"/>
      <c r="C33" s="2"/>
    </row>
    <row r="34" spans="1:4" x14ac:dyDescent="0.25">
      <c r="B34" s="3"/>
      <c r="C34" s="4"/>
    </row>
    <row r="35" spans="1:4" x14ac:dyDescent="0.25">
      <c r="B35" s="5"/>
      <c r="C35" s="2"/>
    </row>
    <row r="36" spans="1:4" x14ac:dyDescent="0.25">
      <c r="B36" s="3"/>
      <c r="C36" s="4"/>
    </row>
    <row r="37" spans="1:4" x14ac:dyDescent="0.25">
      <c r="A37">
        <v>2001</v>
      </c>
      <c r="B37" s="5"/>
      <c r="C37" s="2"/>
      <c r="D37">
        <f>SUM(C37:C48)/12</f>
        <v>0</v>
      </c>
    </row>
    <row r="38" spans="1:4" x14ac:dyDescent="0.25">
      <c r="B38" s="3"/>
      <c r="C38" s="4"/>
    </row>
    <row r="39" spans="1:4" x14ac:dyDescent="0.25">
      <c r="B39" s="5"/>
      <c r="C39" s="2"/>
    </row>
    <row r="40" spans="1:4" x14ac:dyDescent="0.25">
      <c r="B40" s="3"/>
      <c r="C40" s="4"/>
    </row>
    <row r="41" spans="1:4" x14ac:dyDescent="0.25">
      <c r="B41" s="5"/>
      <c r="C41" s="2"/>
    </row>
    <row r="42" spans="1:4" x14ac:dyDescent="0.25">
      <c r="B42" s="3"/>
      <c r="C42" s="4"/>
    </row>
    <row r="43" spans="1:4" x14ac:dyDescent="0.25">
      <c r="B43" s="5"/>
      <c r="C43" s="2"/>
    </row>
    <row r="44" spans="1:4" x14ac:dyDescent="0.25">
      <c r="B44" s="3"/>
      <c r="C44" s="4"/>
    </row>
    <row r="45" spans="1:4" x14ac:dyDescent="0.25">
      <c r="B45" s="5"/>
      <c r="C45" s="2"/>
    </row>
    <row r="46" spans="1:4" x14ac:dyDescent="0.25">
      <c r="B46" s="3"/>
      <c r="C46" s="4"/>
    </row>
    <row r="47" spans="1:4" x14ac:dyDescent="0.25">
      <c r="B47" s="5"/>
      <c r="C47" s="2"/>
    </row>
    <row r="48" spans="1:4" x14ac:dyDescent="0.25">
      <c r="B48" s="3"/>
      <c r="C48" s="4"/>
    </row>
    <row r="49" spans="1:4" x14ac:dyDescent="0.25">
      <c r="A49">
        <v>2002</v>
      </c>
      <c r="B49" s="5"/>
      <c r="C49" s="2"/>
      <c r="D49">
        <f>SUM(C49:C60)/12</f>
        <v>0</v>
      </c>
    </row>
    <row r="50" spans="1:4" x14ac:dyDescent="0.25">
      <c r="B50" s="3"/>
      <c r="C50" s="4"/>
    </row>
    <row r="51" spans="1:4" x14ac:dyDescent="0.25">
      <c r="B51" s="5"/>
      <c r="C51" s="2"/>
    </row>
    <row r="52" spans="1:4" x14ac:dyDescent="0.25">
      <c r="B52" s="3"/>
      <c r="C52" s="4"/>
    </row>
    <row r="53" spans="1:4" x14ac:dyDescent="0.25">
      <c r="B53" s="5"/>
      <c r="C53" s="2"/>
    </row>
    <row r="54" spans="1:4" x14ac:dyDescent="0.25">
      <c r="B54" s="3"/>
      <c r="C54" s="4"/>
    </row>
    <row r="55" spans="1:4" x14ac:dyDescent="0.25">
      <c r="B55" s="5"/>
      <c r="C55" s="2"/>
    </row>
    <row r="56" spans="1:4" x14ac:dyDescent="0.25">
      <c r="B56" s="3"/>
      <c r="C56" s="4"/>
    </row>
    <row r="57" spans="1:4" x14ac:dyDescent="0.25">
      <c r="B57" s="5"/>
      <c r="C57" s="2"/>
    </row>
    <row r="58" spans="1:4" x14ac:dyDescent="0.25">
      <c r="B58" s="3"/>
      <c r="C58" s="4"/>
    </row>
    <row r="59" spans="1:4" x14ac:dyDescent="0.25">
      <c r="B59" s="5"/>
      <c r="C59" s="2"/>
    </row>
    <row r="60" spans="1:4" x14ac:dyDescent="0.25">
      <c r="B60" s="3"/>
      <c r="C60" s="4"/>
    </row>
    <row r="61" spans="1:4" x14ac:dyDescent="0.25">
      <c r="A61">
        <v>2003</v>
      </c>
      <c r="B61" s="5"/>
      <c r="C61" s="2"/>
      <c r="D61">
        <f>SUM(C61:C72)/12</f>
        <v>0</v>
      </c>
    </row>
    <row r="62" spans="1:4" x14ac:dyDescent="0.25">
      <c r="B62" s="3"/>
      <c r="C62" s="4"/>
    </row>
    <row r="63" spans="1:4" x14ac:dyDescent="0.25">
      <c r="B63" s="5"/>
      <c r="C63" s="2"/>
    </row>
    <row r="64" spans="1:4" x14ac:dyDescent="0.25">
      <c r="B64" s="3"/>
      <c r="C64" s="4"/>
    </row>
    <row r="65" spans="1:4" x14ac:dyDescent="0.25">
      <c r="B65" s="5"/>
      <c r="C65" s="2"/>
    </row>
    <row r="66" spans="1:4" x14ac:dyDescent="0.25">
      <c r="B66" s="3"/>
      <c r="C66" s="4"/>
    </row>
    <row r="67" spans="1:4" x14ac:dyDescent="0.25">
      <c r="B67" s="5"/>
      <c r="C67" s="2"/>
    </row>
    <row r="68" spans="1:4" x14ac:dyDescent="0.25">
      <c r="B68" s="3"/>
      <c r="C68" s="4"/>
    </row>
    <row r="69" spans="1:4" x14ac:dyDescent="0.25">
      <c r="B69" s="5"/>
      <c r="C69" s="2"/>
    </row>
    <row r="70" spans="1:4" x14ac:dyDescent="0.25">
      <c r="B70" s="3"/>
      <c r="C70" s="4"/>
    </row>
    <row r="71" spans="1:4" x14ac:dyDescent="0.25">
      <c r="B71" s="5"/>
      <c r="C71" s="2"/>
    </row>
    <row r="72" spans="1:4" x14ac:dyDescent="0.25">
      <c r="B72" s="3"/>
      <c r="C72" s="4"/>
    </row>
    <row r="73" spans="1:4" x14ac:dyDescent="0.25">
      <c r="A73">
        <v>2004</v>
      </c>
      <c r="B73" s="5"/>
      <c r="C73" s="2"/>
      <c r="D73">
        <f>SUM(C73:C84)/12</f>
        <v>0</v>
      </c>
    </row>
    <row r="74" spans="1:4" x14ac:dyDescent="0.25">
      <c r="B74" s="3"/>
      <c r="C74" s="4"/>
    </row>
    <row r="75" spans="1:4" x14ac:dyDescent="0.25">
      <c r="B75" s="5"/>
      <c r="C75" s="2"/>
    </row>
    <row r="76" spans="1:4" x14ac:dyDescent="0.25">
      <c r="B76" s="3"/>
      <c r="C76" s="4"/>
    </row>
    <row r="77" spans="1:4" x14ac:dyDescent="0.25">
      <c r="B77" s="5"/>
      <c r="C77" s="2"/>
    </row>
    <row r="78" spans="1:4" x14ac:dyDescent="0.25">
      <c r="B78" s="3"/>
      <c r="C78" s="4"/>
    </row>
    <row r="79" spans="1:4" x14ac:dyDescent="0.25">
      <c r="B79" s="5"/>
      <c r="C79" s="2"/>
    </row>
    <row r="80" spans="1:4" x14ac:dyDescent="0.25">
      <c r="B80" s="3"/>
      <c r="C80" s="4"/>
    </row>
    <row r="81" spans="1:4" x14ac:dyDescent="0.25">
      <c r="B81" s="5"/>
      <c r="C81" s="2"/>
    </row>
    <row r="82" spans="1:4" x14ac:dyDescent="0.25">
      <c r="B82" s="3"/>
      <c r="C82" s="4"/>
    </row>
    <row r="83" spans="1:4" x14ac:dyDescent="0.25">
      <c r="B83" s="5"/>
      <c r="C83" s="2"/>
    </row>
    <row r="84" spans="1:4" x14ac:dyDescent="0.25">
      <c r="B84" s="3"/>
      <c r="C84" s="4"/>
    </row>
    <row r="85" spans="1:4" x14ac:dyDescent="0.25">
      <c r="A85">
        <v>2005</v>
      </c>
      <c r="B85" s="5"/>
      <c r="C85" s="2"/>
      <c r="D85">
        <f>SUM(C85:C96)/12</f>
        <v>0</v>
      </c>
    </row>
    <row r="86" spans="1:4" x14ac:dyDescent="0.25">
      <c r="B86" s="3"/>
      <c r="C86" s="4"/>
    </row>
    <row r="87" spans="1:4" x14ac:dyDescent="0.25">
      <c r="B87" s="5"/>
      <c r="C87" s="2"/>
    </row>
    <row r="88" spans="1:4" x14ac:dyDescent="0.25">
      <c r="B88" s="3"/>
      <c r="C88" s="4"/>
    </row>
    <row r="89" spans="1:4" x14ac:dyDescent="0.25">
      <c r="B89" s="5"/>
      <c r="C89" s="2"/>
    </row>
    <row r="90" spans="1:4" x14ac:dyDescent="0.25">
      <c r="B90" s="3"/>
      <c r="C90" s="4"/>
    </row>
    <row r="91" spans="1:4" x14ac:dyDescent="0.25">
      <c r="B91" s="5"/>
      <c r="C91" s="2"/>
    </row>
    <row r="92" spans="1:4" x14ac:dyDescent="0.25">
      <c r="B92" s="3"/>
      <c r="C92" s="4"/>
    </row>
    <row r="93" spans="1:4" x14ac:dyDescent="0.25">
      <c r="B93" s="5"/>
      <c r="C93" s="2"/>
    </row>
    <row r="94" spans="1:4" x14ac:dyDescent="0.25">
      <c r="B94" s="3"/>
      <c r="C94" s="4"/>
    </row>
    <row r="95" spans="1:4" x14ac:dyDescent="0.25">
      <c r="B95" s="5"/>
      <c r="C95" s="2"/>
    </row>
    <row r="96" spans="1:4" x14ac:dyDescent="0.25">
      <c r="B96" s="3"/>
      <c r="C96" s="4"/>
    </row>
    <row r="97" spans="1:4" x14ac:dyDescent="0.25">
      <c r="A97">
        <v>2006</v>
      </c>
      <c r="B97" s="5"/>
      <c r="C97" s="2"/>
      <c r="D97">
        <f>SUM(C97:C108)/12</f>
        <v>0</v>
      </c>
    </row>
    <row r="98" spans="1:4" x14ac:dyDescent="0.25">
      <c r="B98" s="3"/>
      <c r="C98" s="4"/>
    </row>
    <row r="99" spans="1:4" x14ac:dyDescent="0.25">
      <c r="B99" s="5"/>
      <c r="C99" s="2"/>
    </row>
    <row r="100" spans="1:4" x14ac:dyDescent="0.25">
      <c r="B100" s="3"/>
      <c r="C100" s="4"/>
    </row>
    <row r="101" spans="1:4" x14ac:dyDescent="0.25">
      <c r="B101" s="5"/>
      <c r="C101" s="2"/>
    </row>
    <row r="102" spans="1:4" x14ac:dyDescent="0.25">
      <c r="B102" s="3"/>
      <c r="C102" s="4"/>
    </row>
    <row r="103" spans="1:4" x14ac:dyDescent="0.25">
      <c r="B103" s="5"/>
      <c r="C103" s="2"/>
    </row>
    <row r="104" spans="1:4" x14ac:dyDescent="0.25">
      <c r="B104" s="3"/>
      <c r="C104" s="4"/>
    </row>
    <row r="105" spans="1:4" x14ac:dyDescent="0.25">
      <c r="B105" s="5"/>
      <c r="C105" s="2"/>
    </row>
    <row r="106" spans="1:4" x14ac:dyDescent="0.25">
      <c r="B106" s="3"/>
      <c r="C106" s="4"/>
    </row>
    <row r="107" spans="1:4" x14ac:dyDescent="0.25">
      <c r="B107" s="5"/>
      <c r="C107" s="2"/>
    </row>
    <row r="108" spans="1:4" x14ac:dyDescent="0.25">
      <c r="B108" s="3"/>
      <c r="C108" s="4"/>
    </row>
    <row r="109" spans="1:4" x14ac:dyDescent="0.25">
      <c r="A109">
        <v>2007</v>
      </c>
      <c r="B109" s="5"/>
      <c r="C109" s="2"/>
      <c r="D109">
        <f>SUM(C109:C120)/12</f>
        <v>0</v>
      </c>
    </row>
    <row r="110" spans="1:4" x14ac:dyDescent="0.25">
      <c r="B110" s="3"/>
      <c r="C110" s="4"/>
    </row>
    <row r="111" spans="1:4" x14ac:dyDescent="0.25">
      <c r="B111" s="5"/>
      <c r="C111" s="2"/>
    </row>
    <row r="112" spans="1:4" x14ac:dyDescent="0.25">
      <c r="B112" s="3"/>
      <c r="C112" s="4"/>
    </row>
    <row r="113" spans="1:4" x14ac:dyDescent="0.25">
      <c r="B113" s="5"/>
      <c r="C113" s="2"/>
    </row>
    <row r="114" spans="1:4" x14ac:dyDescent="0.25">
      <c r="B114" s="3"/>
      <c r="C114" s="4"/>
    </row>
    <row r="115" spans="1:4" x14ac:dyDescent="0.25">
      <c r="B115" s="5"/>
      <c r="C115" s="2"/>
    </row>
    <row r="116" spans="1:4" x14ac:dyDescent="0.25">
      <c r="B116" s="3"/>
      <c r="C116" s="4"/>
    </row>
    <row r="117" spans="1:4" x14ac:dyDescent="0.25">
      <c r="B117" s="5"/>
      <c r="C117" s="2"/>
    </row>
    <row r="118" spans="1:4" x14ac:dyDescent="0.25">
      <c r="B118" s="3"/>
      <c r="C118" s="4"/>
    </row>
    <row r="119" spans="1:4" x14ac:dyDescent="0.25">
      <c r="B119" s="5"/>
      <c r="C119" s="2"/>
    </row>
    <row r="120" spans="1:4" x14ac:dyDescent="0.25">
      <c r="B120" s="3"/>
      <c r="C120" s="4"/>
    </row>
    <row r="121" spans="1:4" x14ac:dyDescent="0.25">
      <c r="A121">
        <v>2008</v>
      </c>
      <c r="B121" s="5"/>
      <c r="C121" s="2"/>
      <c r="D121">
        <f>SUM(C121:C132)/12</f>
        <v>0</v>
      </c>
    </row>
    <row r="122" spans="1:4" x14ac:dyDescent="0.25">
      <c r="B122" s="3"/>
      <c r="C122" s="4"/>
    </row>
    <row r="123" spans="1:4" x14ac:dyDescent="0.25">
      <c r="B123" s="5"/>
      <c r="C123" s="2"/>
    </row>
    <row r="124" spans="1:4" x14ac:dyDescent="0.25">
      <c r="B124" s="3"/>
      <c r="C124" s="4"/>
    </row>
    <row r="125" spans="1:4" x14ac:dyDescent="0.25">
      <c r="B125" s="5"/>
      <c r="C125" s="2"/>
    </row>
    <row r="126" spans="1:4" x14ac:dyDescent="0.25">
      <c r="B126" s="3"/>
      <c r="C126" s="4"/>
    </row>
    <row r="127" spans="1:4" x14ac:dyDescent="0.25">
      <c r="B127" s="5"/>
      <c r="C127" s="2"/>
    </row>
    <row r="128" spans="1:4" x14ac:dyDescent="0.25">
      <c r="B128" s="3"/>
      <c r="C128" s="4"/>
    </row>
    <row r="129" spans="1:4" x14ac:dyDescent="0.25">
      <c r="B129" s="5"/>
      <c r="C129" s="2"/>
    </row>
    <row r="130" spans="1:4" x14ac:dyDescent="0.25">
      <c r="B130" s="3"/>
      <c r="C130" s="4"/>
    </row>
    <row r="131" spans="1:4" x14ac:dyDescent="0.25">
      <c r="B131" s="5"/>
      <c r="C131" s="2"/>
    </row>
    <row r="132" spans="1:4" x14ac:dyDescent="0.25">
      <c r="B132" s="3"/>
      <c r="C132" s="4"/>
    </row>
    <row r="133" spans="1:4" x14ac:dyDescent="0.25">
      <c r="A133">
        <v>2009</v>
      </c>
      <c r="B133" s="5"/>
      <c r="C133" s="2"/>
      <c r="D133">
        <f>SUM(C133:C144)/12</f>
        <v>0</v>
      </c>
    </row>
    <row r="134" spans="1:4" x14ac:dyDescent="0.25">
      <c r="B134" s="3"/>
      <c r="C134" s="4"/>
    </row>
    <row r="135" spans="1:4" x14ac:dyDescent="0.25">
      <c r="B135" s="5"/>
      <c r="C135" s="2"/>
    </row>
    <row r="136" spans="1:4" x14ac:dyDescent="0.25">
      <c r="B136" s="3"/>
      <c r="C136" s="4"/>
    </row>
    <row r="137" spans="1:4" x14ac:dyDescent="0.25">
      <c r="B137" s="5"/>
      <c r="C137" s="2"/>
    </row>
    <row r="138" spans="1:4" x14ac:dyDescent="0.25">
      <c r="B138" s="3"/>
      <c r="C138" s="4"/>
    </row>
    <row r="139" spans="1:4" x14ac:dyDescent="0.25">
      <c r="B139" s="5"/>
      <c r="C139" s="2"/>
    </row>
    <row r="140" spans="1:4" x14ac:dyDescent="0.25">
      <c r="B140" s="3"/>
      <c r="C140" s="4"/>
    </row>
    <row r="141" spans="1:4" x14ac:dyDescent="0.25">
      <c r="B141" s="5"/>
      <c r="C141" s="2"/>
    </row>
    <row r="142" spans="1:4" x14ac:dyDescent="0.25">
      <c r="B142" s="3"/>
      <c r="C142" s="4"/>
    </row>
    <row r="143" spans="1:4" x14ac:dyDescent="0.25">
      <c r="B143" s="5"/>
      <c r="C143" s="2"/>
    </row>
    <row r="144" spans="1:4" x14ac:dyDescent="0.25">
      <c r="B144" s="3"/>
      <c r="C144" s="4"/>
    </row>
    <row r="145" spans="1:4" x14ac:dyDescent="0.25">
      <c r="A145">
        <v>2010</v>
      </c>
      <c r="B145" s="5"/>
      <c r="C145" s="2"/>
      <c r="D145">
        <f>SUM(C145:C156)/12</f>
        <v>0</v>
      </c>
    </row>
    <row r="146" spans="1:4" x14ac:dyDescent="0.25">
      <c r="B146" s="3"/>
      <c r="C146" s="4"/>
    </row>
    <row r="147" spans="1:4" x14ac:dyDescent="0.25">
      <c r="B147" s="5"/>
      <c r="C147" s="2"/>
    </row>
    <row r="148" spans="1:4" x14ac:dyDescent="0.25">
      <c r="B148" s="3"/>
      <c r="C148" s="4"/>
    </row>
    <row r="149" spans="1:4" x14ac:dyDescent="0.25">
      <c r="B149" s="5"/>
      <c r="C149" s="2"/>
    </row>
    <row r="150" spans="1:4" x14ac:dyDescent="0.25">
      <c r="B150" s="3"/>
      <c r="C150" s="4"/>
    </row>
    <row r="151" spans="1:4" x14ac:dyDescent="0.25">
      <c r="B151" s="5"/>
      <c r="C151" s="2"/>
    </row>
    <row r="152" spans="1:4" x14ac:dyDescent="0.25">
      <c r="B152" s="3"/>
      <c r="C152" s="4"/>
    </row>
    <row r="153" spans="1:4" x14ac:dyDescent="0.25">
      <c r="B153" s="5"/>
      <c r="C153" s="2"/>
    </row>
    <row r="154" spans="1:4" x14ac:dyDescent="0.25">
      <c r="B154" s="3"/>
      <c r="C154" s="4"/>
    </row>
    <row r="155" spans="1:4" x14ac:dyDescent="0.25">
      <c r="B155" s="5"/>
      <c r="C155" s="2"/>
    </row>
    <row r="156" spans="1:4" x14ac:dyDescent="0.25">
      <c r="B156" s="3"/>
      <c r="C156" s="4"/>
    </row>
    <row r="157" spans="1:4" x14ac:dyDescent="0.25">
      <c r="A157">
        <v>2011</v>
      </c>
      <c r="B157" s="5"/>
      <c r="C157" s="2"/>
      <c r="D157">
        <f>SUM(C157:C168)/12</f>
        <v>0</v>
      </c>
    </row>
    <row r="158" spans="1:4" x14ac:dyDescent="0.25">
      <c r="B158" s="3"/>
      <c r="C158" s="4"/>
    </row>
    <row r="159" spans="1:4" x14ac:dyDescent="0.25">
      <c r="B159" s="5"/>
      <c r="C159" s="2"/>
    </row>
    <row r="160" spans="1:4" x14ac:dyDescent="0.25">
      <c r="B160" s="3"/>
      <c r="C160" s="4"/>
    </row>
    <row r="161" spans="1:4" x14ac:dyDescent="0.25">
      <c r="B161" s="5"/>
      <c r="C161" s="2"/>
    </row>
    <row r="162" spans="1:4" x14ac:dyDescent="0.25">
      <c r="B162" s="3"/>
      <c r="C162" s="4"/>
    </row>
    <row r="163" spans="1:4" x14ac:dyDescent="0.25">
      <c r="B163" s="5"/>
      <c r="C163" s="2"/>
    </row>
    <row r="164" spans="1:4" x14ac:dyDescent="0.25">
      <c r="B164" s="3"/>
      <c r="C164" s="4"/>
    </row>
    <row r="165" spans="1:4" x14ac:dyDescent="0.25">
      <c r="B165" s="5"/>
      <c r="C165" s="2"/>
    </row>
    <row r="166" spans="1:4" x14ac:dyDescent="0.25">
      <c r="B166" s="3"/>
      <c r="C166" s="4"/>
    </row>
    <row r="167" spans="1:4" x14ac:dyDescent="0.25">
      <c r="B167" s="5"/>
      <c r="C167" s="2"/>
    </row>
    <row r="168" spans="1:4" x14ac:dyDescent="0.25">
      <c r="B168" s="3"/>
      <c r="C168" s="4"/>
    </row>
    <row r="169" spans="1:4" x14ac:dyDescent="0.25">
      <c r="A169">
        <v>2012</v>
      </c>
      <c r="B169" s="5"/>
      <c r="C169" s="2"/>
      <c r="D169">
        <f>SUM(C169:C180)/12</f>
        <v>0</v>
      </c>
    </row>
    <row r="170" spans="1:4" x14ac:dyDescent="0.25">
      <c r="B170" s="3"/>
      <c r="C170" s="4"/>
    </row>
    <row r="171" spans="1:4" x14ac:dyDescent="0.25">
      <c r="B171" s="5"/>
      <c r="C171" s="2"/>
    </row>
    <row r="172" spans="1:4" x14ac:dyDescent="0.25">
      <c r="B172" s="3"/>
      <c r="C172" s="4"/>
    </row>
    <row r="173" spans="1:4" x14ac:dyDescent="0.25">
      <c r="B173" s="5"/>
      <c r="C173" s="2"/>
    </row>
    <row r="174" spans="1:4" x14ac:dyDescent="0.25">
      <c r="B174" s="3"/>
      <c r="C174" s="4"/>
    </row>
    <row r="175" spans="1:4" x14ac:dyDescent="0.25">
      <c r="B175" s="5"/>
      <c r="C175" s="2"/>
    </row>
    <row r="176" spans="1:4" x14ac:dyDescent="0.25">
      <c r="B176" s="3"/>
      <c r="C176" s="4"/>
    </row>
    <row r="177" spans="1:4" x14ac:dyDescent="0.25">
      <c r="B177" s="5"/>
      <c r="C177" s="2"/>
    </row>
    <row r="178" spans="1:4" x14ac:dyDescent="0.25">
      <c r="B178" s="3"/>
      <c r="C178" s="4"/>
    </row>
    <row r="179" spans="1:4" x14ac:dyDescent="0.25">
      <c r="B179" s="5"/>
      <c r="C179" s="2"/>
    </row>
    <row r="180" spans="1:4" x14ac:dyDescent="0.25">
      <c r="B180" s="3"/>
      <c r="C180" s="4"/>
    </row>
    <row r="181" spans="1:4" x14ac:dyDescent="0.25">
      <c r="A181">
        <v>2013</v>
      </c>
      <c r="B181" s="5"/>
      <c r="C181" s="2"/>
      <c r="D181">
        <f>SUM(C181:C192)/12</f>
        <v>0</v>
      </c>
    </row>
    <row r="182" spans="1:4" x14ac:dyDescent="0.25">
      <c r="B182" s="3"/>
      <c r="C182" s="4"/>
    </row>
    <row r="183" spans="1:4" x14ac:dyDescent="0.25">
      <c r="B183" s="5"/>
      <c r="C183" s="2"/>
    </row>
    <row r="184" spans="1:4" x14ac:dyDescent="0.25">
      <c r="B184" s="3"/>
      <c r="C184" s="4"/>
    </row>
    <row r="185" spans="1:4" x14ac:dyDescent="0.25">
      <c r="B185" s="5"/>
      <c r="C185" s="2"/>
    </row>
    <row r="186" spans="1:4" x14ac:dyDescent="0.25">
      <c r="B186" s="3"/>
      <c r="C186" s="4"/>
    </row>
    <row r="187" spans="1:4" x14ac:dyDescent="0.25">
      <c r="B187" s="5"/>
      <c r="C187" s="2"/>
    </row>
    <row r="188" spans="1:4" x14ac:dyDescent="0.25">
      <c r="B188" s="3"/>
      <c r="C188" s="4"/>
    </row>
    <row r="189" spans="1:4" x14ac:dyDescent="0.25">
      <c r="B189" s="5"/>
      <c r="C189" s="2"/>
    </row>
    <row r="190" spans="1:4" x14ac:dyDescent="0.25">
      <c r="B190" s="3"/>
      <c r="C190" s="4"/>
    </row>
    <row r="191" spans="1:4" x14ac:dyDescent="0.25">
      <c r="B191" s="5"/>
      <c r="C191" s="2"/>
    </row>
    <row r="192" spans="1:4" x14ac:dyDescent="0.25">
      <c r="B192" s="3"/>
      <c r="C192" s="4"/>
    </row>
    <row r="193" spans="1:4" x14ac:dyDescent="0.25">
      <c r="A193">
        <v>2014</v>
      </c>
      <c r="B193" s="5"/>
      <c r="C193" s="2"/>
      <c r="D193">
        <f>SUM(C193:C204)/12</f>
        <v>0</v>
      </c>
    </row>
    <row r="194" spans="1:4" x14ac:dyDescent="0.25">
      <c r="B194" s="3"/>
      <c r="C194" s="4"/>
    </row>
    <row r="195" spans="1:4" x14ac:dyDescent="0.25">
      <c r="B195" s="5"/>
      <c r="C195" s="2"/>
    </row>
    <row r="196" spans="1:4" x14ac:dyDescent="0.25">
      <c r="B196" s="3"/>
      <c r="C196" s="4"/>
    </row>
    <row r="197" spans="1:4" x14ac:dyDescent="0.25">
      <c r="B197" s="5"/>
      <c r="C197" s="2"/>
    </row>
    <row r="198" spans="1:4" x14ac:dyDescent="0.25">
      <c r="B198" s="3"/>
      <c r="C198" s="4"/>
    </row>
    <row r="199" spans="1:4" x14ac:dyDescent="0.25">
      <c r="B199" s="5"/>
      <c r="C199" s="2"/>
    </row>
    <row r="200" spans="1:4" x14ac:dyDescent="0.25">
      <c r="B200" s="3"/>
      <c r="C200" s="4"/>
    </row>
    <row r="201" spans="1:4" x14ac:dyDescent="0.25">
      <c r="B201" s="5"/>
      <c r="C201" s="2"/>
    </row>
    <row r="202" spans="1:4" x14ac:dyDescent="0.25">
      <c r="B202" s="3"/>
      <c r="C202" s="4"/>
    </row>
    <row r="203" spans="1:4" x14ac:dyDescent="0.25">
      <c r="B203" s="5"/>
      <c r="C203" s="2"/>
    </row>
    <row r="204" spans="1:4" x14ac:dyDescent="0.25">
      <c r="B204" s="3"/>
      <c r="C204" s="4"/>
    </row>
    <row r="205" spans="1:4" x14ac:dyDescent="0.25">
      <c r="A205">
        <v>2015</v>
      </c>
      <c r="B205" s="5"/>
      <c r="C205" s="2"/>
      <c r="D205">
        <f>SUM(C205:C216)/12</f>
        <v>0</v>
      </c>
    </row>
    <row r="206" spans="1:4" x14ac:dyDescent="0.25">
      <c r="B206" s="3"/>
      <c r="C206" s="4"/>
    </row>
    <row r="207" spans="1:4" x14ac:dyDescent="0.25">
      <c r="B207" s="5"/>
      <c r="C207" s="2"/>
    </row>
    <row r="208" spans="1:4" x14ac:dyDescent="0.25">
      <c r="B208" s="3"/>
      <c r="C208" s="4"/>
    </row>
    <row r="209" spans="2:3" x14ac:dyDescent="0.25">
      <c r="B209" s="5"/>
      <c r="C209" s="2"/>
    </row>
    <row r="210" spans="2:3" x14ac:dyDescent="0.25">
      <c r="B210" s="3"/>
      <c r="C210" s="4"/>
    </row>
    <row r="211" spans="2:3" x14ac:dyDescent="0.25">
      <c r="B211" s="5"/>
      <c r="C211" s="2"/>
    </row>
    <row r="212" spans="2:3" x14ac:dyDescent="0.25">
      <c r="B212" s="3"/>
      <c r="C212" s="4"/>
    </row>
    <row r="213" spans="2:3" x14ac:dyDescent="0.25">
      <c r="B213" s="5"/>
      <c r="C213" s="2"/>
    </row>
    <row r="214" spans="2:3" x14ac:dyDescent="0.25">
      <c r="B214" s="3"/>
      <c r="C214" s="4"/>
    </row>
    <row r="215" spans="2:3" x14ac:dyDescent="0.25">
      <c r="B215" s="5"/>
      <c r="C215" s="2"/>
    </row>
    <row r="216" spans="2:3" x14ac:dyDescent="0.25">
      <c r="B216" s="3"/>
      <c r="C21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A7D9-2E98-473E-BB6D-222BEC04A6DC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4</v>
      </c>
    </row>
    <row r="3" spans="1:1" x14ac:dyDescent="0.25">
      <c r="A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1943-FAB4-4811-8649-18E87250CA5A}">
  <dimension ref="A1:O812"/>
  <sheetViews>
    <sheetView tabSelected="1" zoomScaleNormal="100" workbookViewId="0">
      <pane ySplit="1" topLeftCell="A2" activePane="bottomLeft" state="frozen"/>
      <selection pane="bottomLeft" activeCell="I32" sqref="I32"/>
    </sheetView>
  </sheetViews>
  <sheetFormatPr defaultRowHeight="15" x14ac:dyDescent="0.25"/>
  <cols>
    <col min="1" max="1" width="10.85546875" style="11" bestFit="1" customWidth="1"/>
    <col min="4" max="4" width="24.7109375" bestFit="1" customWidth="1"/>
    <col min="5" max="5" width="28.7109375" bestFit="1" customWidth="1"/>
    <col min="6" max="6" width="10.85546875" bestFit="1" customWidth="1"/>
    <col min="7" max="7" width="11.5703125" bestFit="1" customWidth="1"/>
    <col min="8" max="8" width="24.7109375" bestFit="1" customWidth="1"/>
    <col min="9" max="9" width="28.7109375" style="6" bestFit="1" customWidth="1"/>
    <col min="10" max="10" width="20.28515625" bestFit="1" customWidth="1"/>
  </cols>
  <sheetData>
    <row r="1" spans="1:15" x14ac:dyDescent="0.25">
      <c r="A1" s="12" t="s">
        <v>1</v>
      </c>
      <c r="B1" s="7" t="s">
        <v>0</v>
      </c>
      <c r="C1" s="7" t="s">
        <v>97</v>
      </c>
      <c r="D1" s="7" t="s">
        <v>109</v>
      </c>
      <c r="E1" s="7" t="s">
        <v>110</v>
      </c>
      <c r="F1" s="7" t="s">
        <v>105</v>
      </c>
      <c r="G1" s="7" t="s">
        <v>106</v>
      </c>
      <c r="H1" s="7" t="s">
        <v>107</v>
      </c>
      <c r="I1" s="8" t="s">
        <v>108</v>
      </c>
      <c r="J1" s="12" t="s">
        <v>6</v>
      </c>
    </row>
    <row r="2" spans="1:15" x14ac:dyDescent="0.25">
      <c r="A2" s="12" t="s">
        <v>4</v>
      </c>
      <c r="B2" s="7" t="s">
        <v>2</v>
      </c>
      <c r="C2" s="7"/>
      <c r="D2" s="7"/>
      <c r="E2" s="7"/>
      <c r="F2" s="7"/>
      <c r="G2" s="7"/>
      <c r="H2" s="7"/>
      <c r="I2" s="8"/>
    </row>
    <row r="3" spans="1:15" x14ac:dyDescent="0.25">
      <c r="A3" s="11" t="s">
        <v>5</v>
      </c>
      <c r="B3">
        <v>1998</v>
      </c>
      <c r="C3" s="9">
        <v>1670</v>
      </c>
      <c r="D3" t="s">
        <v>2</v>
      </c>
      <c r="E3" t="s">
        <v>2</v>
      </c>
      <c r="F3">
        <v>1</v>
      </c>
      <c r="G3">
        <f>C3</f>
        <v>1670</v>
      </c>
      <c r="H3" t="s">
        <v>2</v>
      </c>
      <c r="I3" s="6" t="s">
        <v>2</v>
      </c>
      <c r="J3" t="s">
        <v>7</v>
      </c>
    </row>
    <row r="4" spans="1:15" x14ac:dyDescent="0.25">
      <c r="A4" s="11" t="s">
        <v>5</v>
      </c>
      <c r="B4">
        <v>1999</v>
      </c>
      <c r="C4" s="9">
        <v>1460</v>
      </c>
      <c r="D4">
        <f>C4-C3</f>
        <v>-210</v>
      </c>
      <c r="E4" s="6">
        <f>C4/C3-1</f>
        <v>-0.12574850299401197</v>
      </c>
      <c r="F4">
        <v>1.021294363256785</v>
      </c>
      <c r="G4">
        <f>C4/F4</f>
        <v>1429.5584627964022</v>
      </c>
      <c r="H4">
        <f>G4-G3</f>
        <v>-240.44153720359782</v>
      </c>
      <c r="I4" s="6">
        <f>G4/G3-1</f>
        <v>-0.14397696838538787</v>
      </c>
      <c r="O4" t="s">
        <v>11</v>
      </c>
    </row>
    <row r="5" spans="1:15" x14ac:dyDescent="0.25">
      <c r="A5" s="11" t="s">
        <v>5</v>
      </c>
      <c r="B5">
        <v>2000</v>
      </c>
      <c r="C5" s="9">
        <v>1450</v>
      </c>
      <c r="D5">
        <f t="shared" ref="D5:D20" si="0">C5-C4</f>
        <v>-10</v>
      </c>
      <c r="E5" s="6">
        <f t="shared" ref="E5:E20" si="1">C5/C4-1</f>
        <v>-6.8493150684931781E-3</v>
      </c>
      <c r="F5">
        <v>1.0559498956158664</v>
      </c>
      <c r="G5">
        <f t="shared" ref="G5:G19" si="2">C5/F5</f>
        <v>1373.1712139185449</v>
      </c>
      <c r="H5">
        <f t="shared" ref="H5:H20" si="3">G5-G4</f>
        <v>-56.387248877857246</v>
      </c>
      <c r="I5" s="6">
        <f t="shared" ref="I5:I20" si="4">G5/G4-1</f>
        <v>-3.9443821533228118E-2</v>
      </c>
      <c r="J5" t="s">
        <v>8</v>
      </c>
    </row>
    <row r="6" spans="1:15" x14ac:dyDescent="0.25">
      <c r="A6" s="11" t="s">
        <v>5</v>
      </c>
      <c r="B6">
        <v>2001</v>
      </c>
      <c r="C6" s="9">
        <v>1440</v>
      </c>
      <c r="D6">
        <f t="shared" si="0"/>
        <v>-10</v>
      </c>
      <c r="E6" s="6">
        <f t="shared" si="1"/>
        <v>-6.8965517241379448E-3</v>
      </c>
      <c r="F6">
        <v>1.0860125260960336</v>
      </c>
      <c r="G6">
        <f t="shared" si="2"/>
        <v>1325.9515570934254</v>
      </c>
      <c r="H6">
        <f t="shared" si="3"/>
        <v>-47.2196568251195</v>
      </c>
      <c r="I6" s="6">
        <f t="shared" si="4"/>
        <v>-3.4387304617587544E-2</v>
      </c>
    </row>
    <row r="7" spans="1:15" x14ac:dyDescent="0.25">
      <c r="A7" s="11" t="s">
        <v>5</v>
      </c>
      <c r="B7">
        <v>2002</v>
      </c>
      <c r="C7" s="9">
        <v>1590</v>
      </c>
      <c r="D7">
        <f t="shared" si="0"/>
        <v>150</v>
      </c>
      <c r="E7" s="6">
        <f t="shared" si="1"/>
        <v>0.10416666666666674</v>
      </c>
      <c r="F7">
        <v>1.1031315240083506</v>
      </c>
      <c r="G7">
        <f t="shared" si="2"/>
        <v>1441.3512490537473</v>
      </c>
      <c r="H7">
        <f t="shared" si="3"/>
        <v>115.39969196032189</v>
      </c>
      <c r="I7" s="6">
        <f t="shared" si="4"/>
        <v>8.7031604844814758E-2</v>
      </c>
      <c r="J7" t="s">
        <v>58</v>
      </c>
    </row>
    <row r="8" spans="1:15" x14ac:dyDescent="0.25">
      <c r="A8" s="11" t="s">
        <v>5</v>
      </c>
      <c r="B8">
        <v>2003</v>
      </c>
      <c r="C8" s="9">
        <v>1550</v>
      </c>
      <c r="D8">
        <f t="shared" si="0"/>
        <v>-40</v>
      </c>
      <c r="E8" s="6">
        <f t="shared" si="1"/>
        <v>-2.515723270440251E-2</v>
      </c>
      <c r="F8">
        <v>1.1281837160751564</v>
      </c>
      <c r="G8">
        <f t="shared" si="2"/>
        <v>1373.8897113249448</v>
      </c>
      <c r="H8">
        <f t="shared" si="3"/>
        <v>-67.461537728802568</v>
      </c>
      <c r="I8" s="6">
        <f t="shared" si="4"/>
        <v>-4.6804370394164074E-2</v>
      </c>
    </row>
    <row r="9" spans="1:15" x14ac:dyDescent="0.25">
      <c r="A9" s="11" t="s">
        <v>5</v>
      </c>
      <c r="B9">
        <v>2004</v>
      </c>
      <c r="C9" s="9">
        <v>1720</v>
      </c>
      <c r="D9">
        <f t="shared" si="0"/>
        <v>170</v>
      </c>
      <c r="E9" s="6">
        <f t="shared" si="1"/>
        <v>0.10967741935483866</v>
      </c>
      <c r="F9">
        <v>1.1586638830897704</v>
      </c>
      <c r="G9">
        <f t="shared" si="2"/>
        <v>1484.4684684684685</v>
      </c>
      <c r="H9">
        <f t="shared" si="3"/>
        <v>110.57875714352372</v>
      </c>
      <c r="I9" s="6">
        <f t="shared" si="4"/>
        <v>8.0485905260098578E-2</v>
      </c>
    </row>
    <row r="10" spans="1:15" x14ac:dyDescent="0.25">
      <c r="A10" s="11" t="s">
        <v>5</v>
      </c>
      <c r="B10">
        <v>2005</v>
      </c>
      <c r="C10" s="9">
        <v>1460</v>
      </c>
      <c r="D10">
        <f t="shared" si="0"/>
        <v>-260</v>
      </c>
      <c r="E10" s="6">
        <f t="shared" si="1"/>
        <v>-0.15116279069767447</v>
      </c>
      <c r="F10">
        <v>1.1979123173277662</v>
      </c>
      <c r="G10">
        <f t="shared" si="2"/>
        <v>1218.7870338096898</v>
      </c>
      <c r="H10">
        <f t="shared" si="3"/>
        <v>-265.6814346587787</v>
      </c>
      <c r="I10" s="6">
        <f t="shared" si="4"/>
        <v>-0.1789741178759312</v>
      </c>
    </row>
    <row r="11" spans="1:15" x14ac:dyDescent="0.25">
      <c r="A11" s="11" t="s">
        <v>5</v>
      </c>
      <c r="B11">
        <v>2006</v>
      </c>
      <c r="C11" s="9">
        <v>2320</v>
      </c>
      <c r="D11">
        <f t="shared" si="0"/>
        <v>860</v>
      </c>
      <c r="E11" s="6">
        <f t="shared" si="1"/>
        <v>0.58904109589041087</v>
      </c>
      <c r="F11">
        <v>1.2367432150313151</v>
      </c>
      <c r="G11">
        <f t="shared" si="2"/>
        <v>1875.8946657663741</v>
      </c>
      <c r="H11">
        <f t="shared" si="3"/>
        <v>657.10763195668437</v>
      </c>
      <c r="I11" s="6">
        <f t="shared" si="4"/>
        <v>0.53914885351437847</v>
      </c>
    </row>
    <row r="12" spans="1:15" x14ac:dyDescent="0.25">
      <c r="A12" s="11" t="s">
        <v>5</v>
      </c>
      <c r="B12">
        <v>2007</v>
      </c>
      <c r="C12" s="9">
        <v>3530</v>
      </c>
      <c r="D12">
        <f t="shared" si="0"/>
        <v>1210</v>
      </c>
      <c r="E12" s="6">
        <f t="shared" si="1"/>
        <v>0.52155172413793105</v>
      </c>
      <c r="F12">
        <v>1.2718162839248435</v>
      </c>
      <c r="G12">
        <f t="shared" si="2"/>
        <v>2775.5581089954039</v>
      </c>
      <c r="H12">
        <f t="shared" si="3"/>
        <v>899.66344322902978</v>
      </c>
      <c r="I12" s="6">
        <f t="shared" si="4"/>
        <v>0.47959166345914372</v>
      </c>
    </row>
    <row r="13" spans="1:15" x14ac:dyDescent="0.25">
      <c r="A13" s="11" t="s">
        <v>5</v>
      </c>
      <c r="B13">
        <v>2008</v>
      </c>
      <c r="C13" s="9">
        <v>4440</v>
      </c>
      <c r="D13">
        <f t="shared" si="0"/>
        <v>910</v>
      </c>
      <c r="E13" s="6">
        <f t="shared" si="1"/>
        <v>0.25779036827195467</v>
      </c>
      <c r="F13">
        <v>1.3206680584551149</v>
      </c>
      <c r="G13">
        <f t="shared" si="2"/>
        <v>3361.9348719570025</v>
      </c>
      <c r="H13">
        <f t="shared" si="3"/>
        <v>586.37676296159862</v>
      </c>
      <c r="I13" s="6">
        <f t="shared" si="4"/>
        <v>0.21126445202541055</v>
      </c>
    </row>
    <row r="14" spans="1:15" x14ac:dyDescent="0.25">
      <c r="A14" s="11" t="s">
        <v>5</v>
      </c>
      <c r="B14">
        <v>2009</v>
      </c>
      <c r="C14" s="9">
        <v>4530</v>
      </c>
      <c r="D14">
        <f t="shared" si="0"/>
        <v>90</v>
      </c>
      <c r="E14" s="6">
        <f t="shared" si="1"/>
        <v>2.0270270270270174E-2</v>
      </c>
      <c r="F14">
        <v>1.3160751565762003</v>
      </c>
      <c r="G14">
        <f t="shared" si="2"/>
        <v>3442.0526649746193</v>
      </c>
      <c r="H14">
        <f t="shared" si="3"/>
        <v>80.117793017616805</v>
      </c>
      <c r="I14" s="6">
        <f t="shared" si="4"/>
        <v>2.3830858142406486E-2</v>
      </c>
    </row>
    <row r="15" spans="1:15" x14ac:dyDescent="0.25">
      <c r="A15" s="11" t="s">
        <v>5</v>
      </c>
      <c r="B15">
        <v>2010</v>
      </c>
      <c r="C15" s="9">
        <v>4350</v>
      </c>
      <c r="D15">
        <f t="shared" si="0"/>
        <v>-180</v>
      </c>
      <c r="E15" s="6">
        <f t="shared" si="1"/>
        <v>-3.9735099337748325E-2</v>
      </c>
      <c r="F15">
        <v>1.3377870563674321</v>
      </c>
      <c r="G15">
        <f t="shared" si="2"/>
        <v>3251.6385767790262</v>
      </c>
      <c r="H15">
        <f t="shared" si="3"/>
        <v>-190.41408819559319</v>
      </c>
      <c r="I15" s="6">
        <f t="shared" si="4"/>
        <v>-5.531992294400212E-2</v>
      </c>
    </row>
    <row r="16" spans="1:15" x14ac:dyDescent="0.25">
      <c r="A16" s="11" t="s">
        <v>5</v>
      </c>
      <c r="B16">
        <v>2011</v>
      </c>
      <c r="C16" s="9">
        <v>3870</v>
      </c>
      <c r="D16">
        <f t="shared" si="0"/>
        <v>-480</v>
      </c>
      <c r="E16" s="6">
        <f t="shared" si="1"/>
        <v>-0.1103448275862069</v>
      </c>
      <c r="F16">
        <v>1.3799582463465554</v>
      </c>
      <c r="G16">
        <f t="shared" si="2"/>
        <v>2804.4326777609681</v>
      </c>
      <c r="H16">
        <f t="shared" si="3"/>
        <v>-447.20589901805806</v>
      </c>
      <c r="I16" s="6">
        <f t="shared" si="4"/>
        <v>-0.13753247430747562</v>
      </c>
    </row>
    <row r="17" spans="1:10" x14ac:dyDescent="0.25">
      <c r="A17" s="11" t="s">
        <v>5</v>
      </c>
      <c r="B17">
        <v>2012</v>
      </c>
      <c r="C17" s="9">
        <v>4220</v>
      </c>
      <c r="D17">
        <f t="shared" si="0"/>
        <v>350</v>
      </c>
      <c r="E17" s="6">
        <f t="shared" si="1"/>
        <v>9.04392764857882E-2</v>
      </c>
      <c r="F17">
        <v>1.4091858037578289</v>
      </c>
      <c r="G17">
        <f t="shared" si="2"/>
        <v>2994.6370370370369</v>
      </c>
      <c r="H17">
        <f t="shared" si="3"/>
        <v>190.20435927606877</v>
      </c>
      <c r="I17" s="6">
        <f t="shared" si="4"/>
        <v>6.7822758158675445E-2</v>
      </c>
    </row>
    <row r="18" spans="1:10" x14ac:dyDescent="0.25">
      <c r="A18" s="11" t="s">
        <v>5</v>
      </c>
      <c r="B18">
        <v>2013</v>
      </c>
      <c r="C18" s="9">
        <v>4390</v>
      </c>
      <c r="D18">
        <f t="shared" si="0"/>
        <v>170</v>
      </c>
      <c r="E18" s="6">
        <f t="shared" si="1"/>
        <v>4.0284360189573487E-2</v>
      </c>
      <c r="F18">
        <v>1.4300626304801669</v>
      </c>
      <c r="G18">
        <f t="shared" si="2"/>
        <v>3069.7956204379566</v>
      </c>
      <c r="H18">
        <f t="shared" si="3"/>
        <v>75.158583400919724</v>
      </c>
      <c r="I18" s="6">
        <f t="shared" si="4"/>
        <v>2.5097727194105524E-2</v>
      </c>
    </row>
    <row r="19" spans="1:10" x14ac:dyDescent="0.25">
      <c r="A19" s="11" t="s">
        <v>5</v>
      </c>
      <c r="B19">
        <v>2014</v>
      </c>
      <c r="C19" s="9">
        <v>5050</v>
      </c>
      <c r="D19">
        <f t="shared" si="0"/>
        <v>660</v>
      </c>
      <c r="E19" s="6">
        <f t="shared" si="1"/>
        <v>0.15034168564920281</v>
      </c>
      <c r="F19">
        <v>1.4542797494780795</v>
      </c>
      <c r="G19">
        <f t="shared" si="2"/>
        <v>3472.5093310364623</v>
      </c>
      <c r="H19">
        <f t="shared" si="3"/>
        <v>402.71371059850571</v>
      </c>
      <c r="I19" s="6">
        <f t="shared" si="4"/>
        <v>0.13118583788358262</v>
      </c>
    </row>
    <row r="20" spans="1:10" x14ac:dyDescent="0.25">
      <c r="A20" s="12" t="s">
        <v>5</v>
      </c>
      <c r="B20" s="7">
        <v>2015</v>
      </c>
      <c r="C20" s="10">
        <v>6500</v>
      </c>
      <c r="D20" s="7">
        <f t="shared" si="0"/>
        <v>1450</v>
      </c>
      <c r="E20" s="8">
        <f t="shared" si="1"/>
        <v>0.28712871287128716</v>
      </c>
      <c r="F20" s="7">
        <v>1.4567849686847598</v>
      </c>
      <c r="G20" s="7">
        <f>C20/F20</f>
        <v>4461.8801948982518</v>
      </c>
      <c r="H20" s="7">
        <f t="shared" si="3"/>
        <v>989.37086386178953</v>
      </c>
      <c r="I20" s="8">
        <f t="shared" si="4"/>
        <v>0.28491524990848216</v>
      </c>
    </row>
    <row r="21" spans="1:10" x14ac:dyDescent="0.25">
      <c r="A21" s="11" t="s">
        <v>9</v>
      </c>
      <c r="B21">
        <v>1998</v>
      </c>
      <c r="C21" s="9">
        <f>327*2204.62</f>
        <v>720910.74</v>
      </c>
      <c r="D21" t="s">
        <v>2</v>
      </c>
      <c r="E21" t="s">
        <v>2</v>
      </c>
      <c r="F21">
        <v>1</v>
      </c>
      <c r="G21">
        <f>C21</f>
        <v>720910.74</v>
      </c>
      <c r="H21" t="s">
        <v>2</v>
      </c>
      <c r="I21" s="6" t="s">
        <v>2</v>
      </c>
      <c r="J21" t="s">
        <v>10</v>
      </c>
    </row>
    <row r="22" spans="1:10" x14ac:dyDescent="0.25">
      <c r="A22" s="11" t="s">
        <v>9</v>
      </c>
      <c r="B22">
        <v>1999</v>
      </c>
      <c r="C22" s="9">
        <f>327*2204.62</f>
        <v>720910.74</v>
      </c>
      <c r="D22">
        <f>C22-C21</f>
        <v>0</v>
      </c>
      <c r="E22" s="6">
        <f>C22/C21-1</f>
        <v>0</v>
      </c>
      <c r="F22">
        <v>1.021294363256785</v>
      </c>
      <c r="G22">
        <f>C22/F22</f>
        <v>705879.48581357312</v>
      </c>
      <c r="H22">
        <f>G22-G21</f>
        <v>-15031.254186426871</v>
      </c>
      <c r="I22" s="6">
        <f>G22/G21-1</f>
        <v>-2.0850367947669701E-2</v>
      </c>
    </row>
    <row r="23" spans="1:10" x14ac:dyDescent="0.25">
      <c r="A23" s="11" t="s">
        <v>9</v>
      </c>
      <c r="B23">
        <v>2000</v>
      </c>
      <c r="C23" s="9">
        <f>492*2204.62</f>
        <v>1084673.04</v>
      </c>
      <c r="D23">
        <f t="shared" ref="D23:D26" si="5">C23-C22</f>
        <v>363762.30000000005</v>
      </c>
      <c r="E23" s="6">
        <f t="shared" ref="E23:E26" si="6">C23/C22-1</f>
        <v>0.50458715596330284</v>
      </c>
      <c r="F23">
        <v>1.0559498956158664</v>
      </c>
      <c r="G23">
        <f t="shared" ref="G23:G26" si="7">C23/F23</f>
        <v>1027201.2379596679</v>
      </c>
      <c r="H23">
        <f t="shared" ref="H23:H38" si="8">G23-G22</f>
        <v>321321.7521460948</v>
      </c>
      <c r="I23" s="6">
        <f t="shared" ref="I23:I38" si="9">G23/G22-1</f>
        <v>0.45520766448645289</v>
      </c>
      <c r="J23" t="s">
        <v>8</v>
      </c>
    </row>
    <row r="24" spans="1:10" x14ac:dyDescent="0.25">
      <c r="A24" s="11" t="s">
        <v>9</v>
      </c>
      <c r="B24">
        <v>2001</v>
      </c>
      <c r="C24" s="9">
        <f>337.5*2204.62</f>
        <v>744059.25</v>
      </c>
      <c r="D24">
        <f t="shared" si="5"/>
        <v>-340613.79000000004</v>
      </c>
      <c r="E24" s="6">
        <f t="shared" si="6"/>
        <v>-0.3140243902439025</v>
      </c>
      <c r="F24">
        <v>1.0860125260960336</v>
      </c>
      <c r="G24">
        <f t="shared" si="7"/>
        <v>685129.52854671271</v>
      </c>
      <c r="H24">
        <f t="shared" si="8"/>
        <v>-342071.70941295521</v>
      </c>
      <c r="I24" s="6">
        <f t="shared" si="9"/>
        <v>-0.33301333445860426</v>
      </c>
    </row>
    <row r="25" spans="1:10" x14ac:dyDescent="0.25">
      <c r="A25" s="11" t="s">
        <v>9</v>
      </c>
      <c r="B25">
        <v>2002</v>
      </c>
      <c r="C25" s="9">
        <f>337.5*2204.62</f>
        <v>744059.25</v>
      </c>
      <c r="D25">
        <f t="shared" si="5"/>
        <v>0</v>
      </c>
      <c r="E25" s="6">
        <f t="shared" si="6"/>
        <v>0</v>
      </c>
      <c r="F25">
        <v>1.1031315240083506</v>
      </c>
      <c r="G25">
        <f t="shared" si="7"/>
        <v>674497.31406131724</v>
      </c>
      <c r="H25">
        <f t="shared" si="8"/>
        <v>-10632.214485395467</v>
      </c>
      <c r="I25" s="6">
        <f t="shared" si="9"/>
        <v>-1.5518546555639445E-2</v>
      </c>
      <c r="J25" t="s">
        <v>58</v>
      </c>
    </row>
    <row r="26" spans="1:10" x14ac:dyDescent="0.25">
      <c r="A26" s="11" t="s">
        <v>9</v>
      </c>
      <c r="B26">
        <v>2003</v>
      </c>
      <c r="C26" s="9">
        <f>337.5*2204.62</f>
        <v>744059.25</v>
      </c>
      <c r="D26">
        <f t="shared" si="5"/>
        <v>0</v>
      </c>
      <c r="E26" s="6">
        <f t="shared" si="6"/>
        <v>0</v>
      </c>
      <c r="F26">
        <v>1.1281837160751564</v>
      </c>
      <c r="G26">
        <f t="shared" si="7"/>
        <v>659519.57947816444</v>
      </c>
      <c r="H26">
        <f t="shared" si="8"/>
        <v>-14977.734583152807</v>
      </c>
      <c r="I26" s="6">
        <f t="shared" si="9"/>
        <v>-2.2205773501110193E-2</v>
      </c>
    </row>
    <row r="27" spans="1:10" x14ac:dyDescent="0.25">
      <c r="A27" s="11" t="s">
        <v>9</v>
      </c>
      <c r="B27">
        <v>2004</v>
      </c>
      <c r="C27" s="9" t="s">
        <v>2</v>
      </c>
      <c r="D27" s="9" t="s">
        <v>2</v>
      </c>
      <c r="E27" s="9" t="s">
        <v>2</v>
      </c>
      <c r="F27" s="9" t="s">
        <v>2</v>
      </c>
      <c r="G27" s="9" t="s">
        <v>2</v>
      </c>
      <c r="H27" s="9" t="s">
        <v>2</v>
      </c>
      <c r="I27" s="9" t="s">
        <v>2</v>
      </c>
    </row>
    <row r="28" spans="1:10" x14ac:dyDescent="0.25">
      <c r="A28" s="11" t="s">
        <v>9</v>
      </c>
      <c r="B28">
        <v>2005</v>
      </c>
      <c r="C28" s="9" t="s">
        <v>2</v>
      </c>
      <c r="D28" s="9" t="s">
        <v>2</v>
      </c>
      <c r="E28" s="9" t="s">
        <v>2</v>
      </c>
      <c r="F28" s="9" t="s">
        <v>2</v>
      </c>
      <c r="G28" s="9" t="s">
        <v>2</v>
      </c>
      <c r="H28" s="9" t="s">
        <v>2</v>
      </c>
      <c r="I28" s="9" t="s">
        <v>2</v>
      </c>
    </row>
    <row r="29" spans="1:10" x14ac:dyDescent="0.25">
      <c r="A29" s="11" t="s">
        <v>9</v>
      </c>
      <c r="B29">
        <v>2006</v>
      </c>
      <c r="C29" s="9" t="s">
        <v>2</v>
      </c>
      <c r="D29" s="9" t="s">
        <v>2</v>
      </c>
      <c r="E29" s="9" t="s">
        <v>2</v>
      </c>
      <c r="F29" s="9" t="s">
        <v>2</v>
      </c>
      <c r="G29" s="9" t="s">
        <v>2</v>
      </c>
      <c r="H29" s="9" t="s">
        <v>2</v>
      </c>
      <c r="I29" s="9" t="s">
        <v>2</v>
      </c>
    </row>
    <row r="30" spans="1:10" x14ac:dyDescent="0.25">
      <c r="A30" s="11" t="s">
        <v>9</v>
      </c>
      <c r="B30">
        <v>2007</v>
      </c>
      <c r="C30" s="9" t="s">
        <v>2</v>
      </c>
      <c r="D30" s="9" t="s">
        <v>2</v>
      </c>
      <c r="E30" s="9" t="s">
        <v>2</v>
      </c>
      <c r="F30" s="9" t="s">
        <v>2</v>
      </c>
      <c r="G30" s="9" t="s">
        <v>2</v>
      </c>
      <c r="H30" s="9" t="s">
        <v>2</v>
      </c>
      <c r="I30" s="9" t="s">
        <v>2</v>
      </c>
    </row>
    <row r="31" spans="1:10" x14ac:dyDescent="0.25">
      <c r="A31" s="11" t="s">
        <v>9</v>
      </c>
      <c r="B31">
        <v>2008</v>
      </c>
      <c r="C31" s="9" t="s">
        <v>2</v>
      </c>
      <c r="D31" s="9" t="s">
        <v>2</v>
      </c>
      <c r="E31" s="9" t="s">
        <v>2</v>
      </c>
      <c r="F31" s="9" t="s">
        <v>2</v>
      </c>
      <c r="G31" s="9" t="s">
        <v>2</v>
      </c>
      <c r="H31" s="9" t="s">
        <v>2</v>
      </c>
      <c r="I31" s="9" t="s">
        <v>2</v>
      </c>
    </row>
    <row r="32" spans="1:10" x14ac:dyDescent="0.25">
      <c r="A32" s="11" t="s">
        <v>9</v>
      </c>
      <c r="B32">
        <v>2009</v>
      </c>
      <c r="C32" s="9" t="s">
        <v>2</v>
      </c>
      <c r="D32" s="9" t="s">
        <v>2</v>
      </c>
      <c r="E32" s="9" t="s">
        <v>2</v>
      </c>
      <c r="F32" s="9" t="s">
        <v>2</v>
      </c>
      <c r="G32" s="9" t="s">
        <v>2</v>
      </c>
      <c r="H32" s="9" t="s">
        <v>2</v>
      </c>
      <c r="I32" s="9" t="s">
        <v>2</v>
      </c>
    </row>
    <row r="33" spans="1:10" x14ac:dyDescent="0.25">
      <c r="A33" s="11" t="s">
        <v>9</v>
      </c>
      <c r="B33">
        <v>2010</v>
      </c>
      <c r="C33" s="9" t="s">
        <v>2</v>
      </c>
      <c r="D33" s="9" t="s">
        <v>2</v>
      </c>
      <c r="E33" s="9" t="s">
        <v>2</v>
      </c>
      <c r="F33" s="9" t="s">
        <v>2</v>
      </c>
      <c r="G33" s="9" t="s">
        <v>2</v>
      </c>
      <c r="H33" s="9" t="s">
        <v>2</v>
      </c>
      <c r="I33" s="9" t="s">
        <v>2</v>
      </c>
    </row>
    <row r="34" spans="1:10" x14ac:dyDescent="0.25">
      <c r="A34" s="11" t="s">
        <v>9</v>
      </c>
      <c r="B34">
        <v>2011</v>
      </c>
      <c r="C34" s="9" t="s">
        <v>2</v>
      </c>
      <c r="D34" s="9" t="s">
        <v>2</v>
      </c>
      <c r="E34" s="9" t="s">
        <v>2</v>
      </c>
      <c r="F34" s="9" t="s">
        <v>2</v>
      </c>
      <c r="G34" s="9" t="s">
        <v>2</v>
      </c>
      <c r="H34" s="9" t="s">
        <v>2</v>
      </c>
      <c r="I34" s="9" t="s">
        <v>2</v>
      </c>
    </row>
    <row r="35" spans="1:10" x14ac:dyDescent="0.25">
      <c r="A35" s="11" t="s">
        <v>9</v>
      </c>
      <c r="B35">
        <v>2012</v>
      </c>
      <c r="C35" s="9" t="s">
        <v>2</v>
      </c>
      <c r="D35" s="9" t="s">
        <v>2</v>
      </c>
      <c r="E35" s="9" t="s">
        <v>2</v>
      </c>
      <c r="F35" s="9" t="s">
        <v>2</v>
      </c>
      <c r="G35" s="9" t="s">
        <v>2</v>
      </c>
      <c r="H35" s="9" t="s">
        <v>2</v>
      </c>
      <c r="I35" s="9" t="s">
        <v>2</v>
      </c>
    </row>
    <row r="36" spans="1:10" x14ac:dyDescent="0.25">
      <c r="A36" s="11" t="s">
        <v>9</v>
      </c>
      <c r="B36">
        <v>2013</v>
      </c>
      <c r="C36" s="9" t="s">
        <v>2</v>
      </c>
      <c r="D36" s="9" t="s">
        <v>2</v>
      </c>
      <c r="E36" s="9" t="s">
        <v>2</v>
      </c>
      <c r="F36" s="9" t="s">
        <v>2</v>
      </c>
      <c r="G36" s="9" t="s">
        <v>2</v>
      </c>
      <c r="H36" s="9" t="s">
        <v>2</v>
      </c>
      <c r="I36" s="9" t="s">
        <v>2</v>
      </c>
    </row>
    <row r="37" spans="1:10" x14ac:dyDescent="0.25">
      <c r="A37" s="11" t="s">
        <v>9</v>
      </c>
      <c r="B37">
        <v>2014</v>
      </c>
      <c r="C37" s="9" t="s">
        <v>2</v>
      </c>
      <c r="D37" s="9" t="s">
        <v>2</v>
      </c>
      <c r="E37" s="9" t="s">
        <v>2</v>
      </c>
      <c r="F37" s="9" t="s">
        <v>2</v>
      </c>
      <c r="G37" s="9" t="s">
        <v>2</v>
      </c>
      <c r="H37" s="9" t="s">
        <v>2</v>
      </c>
      <c r="I37" s="9" t="s">
        <v>2</v>
      </c>
    </row>
    <row r="38" spans="1:10" x14ac:dyDescent="0.25">
      <c r="A38" s="12" t="s">
        <v>9</v>
      </c>
      <c r="B38" s="7">
        <v>2015</v>
      </c>
      <c r="C38" s="10" t="s">
        <v>2</v>
      </c>
      <c r="D38" s="10" t="s">
        <v>2</v>
      </c>
      <c r="E38" s="10" t="s">
        <v>2</v>
      </c>
      <c r="F38" s="10" t="s">
        <v>2</v>
      </c>
      <c r="G38" s="10" t="s">
        <v>2</v>
      </c>
      <c r="H38" s="10" t="s">
        <v>2</v>
      </c>
      <c r="I38" s="10" t="s">
        <v>2</v>
      </c>
    </row>
    <row r="39" spans="1:10" x14ac:dyDescent="0.25">
      <c r="A39" s="11" t="s">
        <v>12</v>
      </c>
      <c r="B39">
        <v>1998</v>
      </c>
      <c r="C39" s="9">
        <v>200</v>
      </c>
      <c r="D39" t="s">
        <v>2</v>
      </c>
      <c r="E39" t="s">
        <v>2</v>
      </c>
      <c r="F39">
        <v>1</v>
      </c>
      <c r="G39">
        <f>C39</f>
        <v>200</v>
      </c>
      <c r="H39" t="s">
        <v>2</v>
      </c>
      <c r="I39" s="6" t="s">
        <v>2</v>
      </c>
      <c r="J39" t="s">
        <v>14</v>
      </c>
    </row>
    <row r="40" spans="1:10" x14ac:dyDescent="0.25">
      <c r="A40" s="11" t="s">
        <v>12</v>
      </c>
      <c r="B40">
        <v>1999</v>
      </c>
      <c r="C40" s="9">
        <v>200</v>
      </c>
      <c r="D40">
        <f>C40-C39</f>
        <v>0</v>
      </c>
      <c r="E40" s="6">
        <f>C40/C39-1</f>
        <v>0</v>
      </c>
      <c r="F40">
        <v>1.021294363256785</v>
      </c>
      <c r="G40">
        <f>C40/F40</f>
        <v>195.82992641046604</v>
      </c>
      <c r="H40">
        <f>G40-G39</f>
        <v>-4.1700735895339562</v>
      </c>
      <c r="I40" s="6">
        <f>G40/G39-1</f>
        <v>-2.0850367947669812E-2</v>
      </c>
    </row>
    <row r="41" spans="1:10" x14ac:dyDescent="0.25">
      <c r="A41" s="11" t="s">
        <v>12</v>
      </c>
      <c r="B41">
        <v>2000</v>
      </c>
      <c r="C41" s="9">
        <v>200</v>
      </c>
      <c r="D41">
        <f t="shared" ref="D41:D56" si="10">C41-C40</f>
        <v>0</v>
      </c>
      <c r="E41" s="6">
        <f t="shared" ref="E41:E56" si="11">C41/C40-1</f>
        <v>0</v>
      </c>
      <c r="F41">
        <v>1.0559498956158664</v>
      </c>
      <c r="G41">
        <f t="shared" ref="G41:G55" si="12">C41/F41</f>
        <v>189.40292605773033</v>
      </c>
      <c r="H41">
        <f t="shared" ref="H41:H56" si="13">G41-G40</f>
        <v>-6.4270003527357176</v>
      </c>
      <c r="I41" s="6">
        <f t="shared" ref="I41:I56" si="14">G41/G40-1</f>
        <v>-3.2819296164491751E-2</v>
      </c>
      <c r="J41" t="s">
        <v>13</v>
      </c>
    </row>
    <row r="42" spans="1:10" x14ac:dyDescent="0.25">
      <c r="A42" s="11" t="s">
        <v>12</v>
      </c>
      <c r="B42">
        <v>2001</v>
      </c>
      <c r="C42" s="9">
        <v>200</v>
      </c>
      <c r="D42">
        <f t="shared" si="10"/>
        <v>0</v>
      </c>
      <c r="E42" s="6">
        <f t="shared" si="11"/>
        <v>0</v>
      </c>
      <c r="F42">
        <v>1.0860125260960336</v>
      </c>
      <c r="G42">
        <f t="shared" si="12"/>
        <v>184.15993848519796</v>
      </c>
      <c r="H42">
        <f t="shared" si="13"/>
        <v>-5.2429875725323711</v>
      </c>
      <c r="I42" s="6">
        <f t="shared" si="14"/>
        <v>-2.7681660899654181E-2</v>
      </c>
    </row>
    <row r="43" spans="1:10" x14ac:dyDescent="0.25">
      <c r="A43" s="11" t="s">
        <v>12</v>
      </c>
      <c r="B43">
        <v>2002</v>
      </c>
      <c r="C43" s="9">
        <v>200</v>
      </c>
      <c r="D43">
        <f t="shared" si="10"/>
        <v>0</v>
      </c>
      <c r="E43" s="6">
        <f t="shared" si="11"/>
        <v>0</v>
      </c>
      <c r="F43">
        <v>1.1031315240083506</v>
      </c>
      <c r="G43">
        <f t="shared" si="12"/>
        <v>181.30204390613176</v>
      </c>
      <c r="H43">
        <f t="shared" si="13"/>
        <v>-2.8578945790661976</v>
      </c>
      <c r="I43" s="6">
        <f t="shared" si="14"/>
        <v>-1.5518546555639223E-2</v>
      </c>
      <c r="J43" t="s">
        <v>58</v>
      </c>
    </row>
    <row r="44" spans="1:10" x14ac:dyDescent="0.25">
      <c r="A44" s="11" t="s">
        <v>12</v>
      </c>
      <c r="B44">
        <v>2003</v>
      </c>
      <c r="C44" s="9">
        <v>200</v>
      </c>
      <c r="D44">
        <f t="shared" si="10"/>
        <v>0</v>
      </c>
      <c r="E44" s="6">
        <f t="shared" si="11"/>
        <v>0</v>
      </c>
      <c r="F44">
        <v>1.1281837160751564</v>
      </c>
      <c r="G44">
        <f t="shared" si="12"/>
        <v>177.27609178386382</v>
      </c>
      <c r="H44">
        <f t="shared" si="13"/>
        <v>-4.0259521222679382</v>
      </c>
      <c r="I44" s="6">
        <f t="shared" si="14"/>
        <v>-2.2205773501110415E-2</v>
      </c>
    </row>
    <row r="45" spans="1:10" x14ac:dyDescent="0.25">
      <c r="A45" s="11" t="s">
        <v>12</v>
      </c>
      <c r="B45">
        <v>2004</v>
      </c>
      <c r="C45" s="9">
        <v>200</v>
      </c>
      <c r="D45">
        <f t="shared" si="10"/>
        <v>0</v>
      </c>
      <c r="E45" s="6">
        <f t="shared" si="11"/>
        <v>0</v>
      </c>
      <c r="F45">
        <v>1.1586638830897704</v>
      </c>
      <c r="G45">
        <f t="shared" si="12"/>
        <v>172.61261261261259</v>
      </c>
      <c r="H45">
        <f t="shared" si="13"/>
        <v>-4.6634791712512254</v>
      </c>
      <c r="I45" s="6">
        <f t="shared" si="14"/>
        <v>-2.6306306306306482E-2</v>
      </c>
    </row>
    <row r="46" spans="1:10" x14ac:dyDescent="0.25">
      <c r="A46" s="11" t="s">
        <v>12</v>
      </c>
      <c r="B46">
        <v>2005</v>
      </c>
      <c r="C46" s="9">
        <v>275</v>
      </c>
      <c r="D46">
        <f t="shared" si="10"/>
        <v>75</v>
      </c>
      <c r="E46" s="6">
        <f t="shared" si="11"/>
        <v>0.375</v>
      </c>
      <c r="F46">
        <v>1.1979123173277662</v>
      </c>
      <c r="G46">
        <f t="shared" si="12"/>
        <v>229.56605088881145</v>
      </c>
      <c r="H46">
        <f t="shared" si="13"/>
        <v>56.953438276198852</v>
      </c>
      <c r="I46" s="6">
        <f t="shared" si="14"/>
        <v>0.32994945974207068</v>
      </c>
    </row>
    <row r="47" spans="1:10" x14ac:dyDescent="0.25">
      <c r="A47" s="11" t="s">
        <v>12</v>
      </c>
      <c r="B47">
        <v>2006</v>
      </c>
      <c r="C47" s="9">
        <v>275</v>
      </c>
      <c r="D47">
        <f t="shared" si="10"/>
        <v>0</v>
      </c>
      <c r="E47" s="6">
        <f t="shared" si="11"/>
        <v>0</v>
      </c>
      <c r="F47">
        <v>1.2367432150313151</v>
      </c>
      <c r="G47">
        <f t="shared" si="12"/>
        <v>222.3582039162728</v>
      </c>
      <c r="H47">
        <f t="shared" si="13"/>
        <v>-7.2078469725386469</v>
      </c>
      <c r="I47" s="6">
        <f t="shared" si="14"/>
        <v>-3.1397704253882552E-2</v>
      </c>
    </row>
    <row r="48" spans="1:10" x14ac:dyDescent="0.25">
      <c r="A48" s="11" t="s">
        <v>12</v>
      </c>
      <c r="B48">
        <v>2007</v>
      </c>
      <c r="C48" s="9">
        <v>275</v>
      </c>
      <c r="D48">
        <f t="shared" si="10"/>
        <v>0</v>
      </c>
      <c r="E48" s="6">
        <f t="shared" si="11"/>
        <v>0</v>
      </c>
      <c r="F48">
        <v>1.2718162839248435</v>
      </c>
      <c r="G48">
        <f t="shared" si="12"/>
        <v>216.22619829284307</v>
      </c>
      <c r="H48">
        <f t="shared" si="13"/>
        <v>-6.132005623429734</v>
      </c>
      <c r="I48" s="6">
        <f t="shared" si="14"/>
        <v>-2.7577150361129399E-2</v>
      </c>
    </row>
    <row r="49" spans="1:10" x14ac:dyDescent="0.25">
      <c r="A49" s="11" t="s">
        <v>12</v>
      </c>
      <c r="B49">
        <v>2008</v>
      </c>
      <c r="C49" s="9">
        <v>505</v>
      </c>
      <c r="D49">
        <f t="shared" si="10"/>
        <v>230</v>
      </c>
      <c r="E49" s="6">
        <f t="shared" si="11"/>
        <v>0.83636363636363642</v>
      </c>
      <c r="F49">
        <v>1.3206680584551149</v>
      </c>
      <c r="G49">
        <f t="shared" si="12"/>
        <v>382.38223205817258</v>
      </c>
      <c r="H49">
        <f t="shared" si="13"/>
        <v>166.15603376532951</v>
      </c>
      <c r="I49" s="6">
        <f t="shared" si="14"/>
        <v>0.76843617969131706</v>
      </c>
    </row>
    <row r="50" spans="1:10" x14ac:dyDescent="0.25">
      <c r="A50" s="11" t="s">
        <v>12</v>
      </c>
      <c r="B50">
        <v>2009</v>
      </c>
      <c r="C50" s="9">
        <v>400</v>
      </c>
      <c r="D50">
        <f t="shared" si="10"/>
        <v>-105</v>
      </c>
      <c r="E50" s="6">
        <f t="shared" si="11"/>
        <v>-0.20792079207920788</v>
      </c>
      <c r="F50">
        <v>1.3160751565762003</v>
      </c>
      <c r="G50">
        <f t="shared" si="12"/>
        <v>303.93401015228426</v>
      </c>
      <c r="H50">
        <f t="shared" si="13"/>
        <v>-78.448221905888317</v>
      </c>
      <c r="I50" s="6">
        <f t="shared" si="14"/>
        <v>-0.20515655626476348</v>
      </c>
    </row>
    <row r="51" spans="1:10" x14ac:dyDescent="0.25">
      <c r="A51" s="11" t="s">
        <v>12</v>
      </c>
      <c r="B51">
        <v>2010</v>
      </c>
      <c r="C51" s="9">
        <v>400</v>
      </c>
      <c r="D51">
        <f t="shared" si="10"/>
        <v>0</v>
      </c>
      <c r="E51" s="6">
        <f t="shared" si="11"/>
        <v>0</v>
      </c>
      <c r="F51">
        <v>1.3377870563674321</v>
      </c>
      <c r="G51">
        <f t="shared" si="12"/>
        <v>299.00124843945071</v>
      </c>
      <c r="H51">
        <f t="shared" si="13"/>
        <v>-4.9327617128335532</v>
      </c>
      <c r="I51" s="6">
        <f t="shared" si="14"/>
        <v>-1.6229712858926271E-2</v>
      </c>
    </row>
    <row r="52" spans="1:10" x14ac:dyDescent="0.25">
      <c r="A52" s="11" t="s">
        <v>12</v>
      </c>
      <c r="B52">
        <v>2011</v>
      </c>
      <c r="C52" s="9">
        <v>713</v>
      </c>
      <c r="D52">
        <f t="shared" si="10"/>
        <v>313</v>
      </c>
      <c r="E52" s="6">
        <f t="shared" si="11"/>
        <v>0.78249999999999997</v>
      </c>
      <c r="F52">
        <v>1.3799582463465554</v>
      </c>
      <c r="G52">
        <f t="shared" si="12"/>
        <v>516.68229954614219</v>
      </c>
      <c r="H52">
        <f t="shared" si="13"/>
        <v>217.68105110669148</v>
      </c>
      <c r="I52" s="6">
        <f t="shared" si="14"/>
        <v>0.72802723146747339</v>
      </c>
    </row>
    <row r="53" spans="1:10" x14ac:dyDescent="0.25">
      <c r="A53" s="11" t="s">
        <v>12</v>
      </c>
      <c r="B53">
        <v>2012</v>
      </c>
      <c r="C53" s="9">
        <v>713</v>
      </c>
      <c r="D53">
        <f t="shared" si="10"/>
        <v>0</v>
      </c>
      <c r="E53" s="6">
        <f t="shared" si="11"/>
        <v>0</v>
      </c>
      <c r="F53">
        <v>1.4091858037578289</v>
      </c>
      <c r="G53">
        <f t="shared" si="12"/>
        <v>505.96592592592589</v>
      </c>
      <c r="H53">
        <f t="shared" si="13"/>
        <v>-10.716373620216302</v>
      </c>
      <c r="I53" s="6">
        <f t="shared" si="14"/>
        <v>-2.0740740740740726E-2</v>
      </c>
    </row>
    <row r="54" spans="1:10" x14ac:dyDescent="0.25">
      <c r="A54" s="11" t="s">
        <v>12</v>
      </c>
      <c r="B54">
        <v>2013</v>
      </c>
      <c r="C54" s="9">
        <v>713</v>
      </c>
      <c r="D54">
        <f t="shared" si="10"/>
        <v>0</v>
      </c>
      <c r="E54" s="6">
        <f t="shared" si="11"/>
        <v>0</v>
      </c>
      <c r="F54">
        <v>1.4300626304801669</v>
      </c>
      <c r="G54">
        <f t="shared" si="12"/>
        <v>498.57956204379565</v>
      </c>
      <c r="H54">
        <f t="shared" si="13"/>
        <v>-7.3863638821302402</v>
      </c>
      <c r="I54" s="6">
        <f t="shared" si="14"/>
        <v>-1.4598540145985273E-2</v>
      </c>
    </row>
    <row r="55" spans="1:10" x14ac:dyDescent="0.25">
      <c r="A55" s="11" t="s">
        <v>12</v>
      </c>
      <c r="B55">
        <v>2014</v>
      </c>
      <c r="C55" s="9">
        <v>770</v>
      </c>
      <c r="D55">
        <f t="shared" si="10"/>
        <v>57</v>
      </c>
      <c r="E55" s="6">
        <f t="shared" si="11"/>
        <v>7.9943899018232845E-2</v>
      </c>
      <c r="F55">
        <v>1.4542797494780795</v>
      </c>
      <c r="G55">
        <f t="shared" si="12"/>
        <v>529.47171978179722</v>
      </c>
      <c r="H55">
        <f t="shared" si="13"/>
        <v>30.892157738001572</v>
      </c>
      <c r="I55" s="6">
        <f t="shared" si="14"/>
        <v>6.1960337105209984E-2</v>
      </c>
    </row>
    <row r="56" spans="1:10" x14ac:dyDescent="0.25">
      <c r="A56" s="12" t="s">
        <v>12</v>
      </c>
      <c r="B56" s="7">
        <v>2015</v>
      </c>
      <c r="C56" s="10">
        <v>770</v>
      </c>
      <c r="D56" s="7">
        <f t="shared" si="10"/>
        <v>0</v>
      </c>
      <c r="E56" s="8">
        <f t="shared" si="11"/>
        <v>0</v>
      </c>
      <c r="F56" s="7">
        <v>1.4567849686847598</v>
      </c>
      <c r="G56" s="7">
        <f>C56/F56</f>
        <v>528.56119231871605</v>
      </c>
      <c r="H56" s="7">
        <f t="shared" si="13"/>
        <v>-0.91052746308116639</v>
      </c>
      <c r="I56" s="8">
        <f t="shared" si="14"/>
        <v>-1.7196904557176262E-3</v>
      </c>
    </row>
    <row r="57" spans="1:10" x14ac:dyDescent="0.25">
      <c r="A57" s="11" t="s">
        <v>15</v>
      </c>
      <c r="B57">
        <v>1998</v>
      </c>
      <c r="C57" s="9">
        <f>136*1.10231</f>
        <v>149.91415999999998</v>
      </c>
      <c r="D57" t="s">
        <v>2</v>
      </c>
      <c r="E57" t="s">
        <v>2</v>
      </c>
      <c r="F57">
        <v>1</v>
      </c>
      <c r="G57">
        <f>C57</f>
        <v>149.91415999999998</v>
      </c>
      <c r="H57" t="s">
        <v>2</v>
      </c>
      <c r="I57" s="6" t="s">
        <v>2</v>
      </c>
      <c r="J57" t="s">
        <v>16</v>
      </c>
    </row>
    <row r="58" spans="1:10" x14ac:dyDescent="0.25">
      <c r="A58" s="11" t="s">
        <v>15</v>
      </c>
      <c r="B58">
        <v>1999</v>
      </c>
      <c r="C58" s="9">
        <f>161*1.10231</f>
        <v>177.47190999999998</v>
      </c>
      <c r="D58">
        <f>C58-C57</f>
        <v>27.557749999999999</v>
      </c>
      <c r="E58" s="6">
        <f>C58/C57-1</f>
        <v>0.18382352941176472</v>
      </c>
      <c r="F58">
        <v>1.021294363256785</v>
      </c>
      <c r="G58">
        <f>C58/F58</f>
        <v>173.77155537612427</v>
      </c>
      <c r="H58">
        <f>G58-G57</f>
        <v>23.857395376124288</v>
      </c>
      <c r="I58" s="6">
        <f>G58/G57-1</f>
        <v>0.15914037323842045</v>
      </c>
    </row>
    <row r="59" spans="1:10" x14ac:dyDescent="0.25">
      <c r="A59" s="11" t="s">
        <v>15</v>
      </c>
      <c r="B59">
        <v>2000</v>
      </c>
      <c r="C59" s="9">
        <f>290*1.10231</f>
        <v>319.66989999999998</v>
      </c>
      <c r="D59">
        <f t="shared" ref="D59:D74" si="15">C59-C58</f>
        <v>142.19799</v>
      </c>
      <c r="E59" s="6">
        <f t="shared" ref="E59:E74" si="16">C59/C58-1</f>
        <v>0.80124223602484479</v>
      </c>
      <c r="F59">
        <v>1.0559498956158664</v>
      </c>
      <c r="G59">
        <f t="shared" ref="G59:G73" si="17">C59/F59</f>
        <v>302.73207216291024</v>
      </c>
      <c r="H59">
        <f t="shared" ref="H59:H74" si="18">G59-G58</f>
        <v>128.96051678678597</v>
      </c>
      <c r="I59" s="6">
        <f t="shared" ref="I59:I74" si="19">G59/G58-1</f>
        <v>0.74212673361675385</v>
      </c>
      <c r="J59" t="s">
        <v>13</v>
      </c>
    </row>
    <row r="60" spans="1:10" x14ac:dyDescent="0.25">
      <c r="A60" s="11" t="s">
        <v>15</v>
      </c>
      <c r="B60">
        <v>2001</v>
      </c>
      <c r="C60" s="9">
        <f>175*1.10231</f>
        <v>192.90424999999999</v>
      </c>
      <c r="D60">
        <f t="shared" si="15"/>
        <v>-126.76564999999999</v>
      </c>
      <c r="E60" s="6">
        <f t="shared" si="16"/>
        <v>-0.39655172413793105</v>
      </c>
      <c r="F60">
        <v>1.0860125260960336</v>
      </c>
      <c r="G60">
        <f t="shared" si="17"/>
        <v>177.62617406766623</v>
      </c>
      <c r="H60">
        <f t="shared" si="18"/>
        <v>-125.10589809524402</v>
      </c>
      <c r="I60" s="6">
        <f t="shared" si="19"/>
        <v>-0.41325617468082587</v>
      </c>
    </row>
    <row r="61" spans="1:10" x14ac:dyDescent="0.25">
      <c r="A61" s="11" t="s">
        <v>15</v>
      </c>
      <c r="B61">
        <v>2002</v>
      </c>
      <c r="C61" s="9">
        <f>239*1.10231</f>
        <v>263.45209</v>
      </c>
      <c r="D61">
        <f t="shared" si="15"/>
        <v>70.547840000000008</v>
      </c>
      <c r="E61" s="6">
        <f t="shared" si="16"/>
        <v>0.36571428571428588</v>
      </c>
      <c r="F61">
        <v>1.1031315240083506</v>
      </c>
      <c r="G61">
        <f t="shared" si="17"/>
        <v>238.82201194171085</v>
      </c>
      <c r="H61">
        <f t="shared" si="18"/>
        <v>61.195837874044628</v>
      </c>
      <c r="I61" s="6">
        <f t="shared" si="19"/>
        <v>0.34452038498972692</v>
      </c>
      <c r="J61" t="s">
        <v>58</v>
      </c>
    </row>
    <row r="62" spans="1:10" x14ac:dyDescent="0.25">
      <c r="A62" s="11" t="s">
        <v>15</v>
      </c>
      <c r="B62">
        <v>2003</v>
      </c>
      <c r="C62" s="9">
        <f>322.5*1.10231</f>
        <v>355.49497499999995</v>
      </c>
      <c r="D62">
        <f t="shared" si="15"/>
        <v>92.042884999999956</v>
      </c>
      <c r="E62" s="6">
        <f t="shared" si="16"/>
        <v>0.34937238493723832</v>
      </c>
      <c r="F62">
        <v>1.1281837160751564</v>
      </c>
      <c r="G62">
        <f t="shared" si="17"/>
        <v>315.10379908401183</v>
      </c>
      <c r="H62">
        <f t="shared" si="18"/>
        <v>76.281787142300971</v>
      </c>
      <c r="I62" s="6">
        <f t="shared" si="19"/>
        <v>0.31940852738866887</v>
      </c>
    </row>
    <row r="63" spans="1:10" x14ac:dyDescent="0.25">
      <c r="A63" s="11" t="s">
        <v>15</v>
      </c>
      <c r="B63">
        <v>2004</v>
      </c>
      <c r="C63" s="9">
        <f>360*1.10231</f>
        <v>396.83159999999998</v>
      </c>
      <c r="D63">
        <f t="shared" si="15"/>
        <v>41.336625000000026</v>
      </c>
      <c r="E63" s="6">
        <f t="shared" si="16"/>
        <v>0.11627906976744184</v>
      </c>
      <c r="F63">
        <v>1.1586638830897704</v>
      </c>
      <c r="G63">
        <f t="shared" si="17"/>
        <v>342.49069621621618</v>
      </c>
      <c r="H63">
        <f t="shared" si="18"/>
        <v>27.386897132204354</v>
      </c>
      <c r="I63" s="6">
        <f t="shared" si="19"/>
        <v>8.6913890634820801E-2</v>
      </c>
    </row>
    <row r="64" spans="1:10" x14ac:dyDescent="0.25">
      <c r="A64" s="11" t="s">
        <v>15</v>
      </c>
      <c r="B64">
        <v>2005</v>
      </c>
      <c r="C64" s="9">
        <f>482.5*1.10231</f>
        <v>531.86457499999995</v>
      </c>
      <c r="D64">
        <f t="shared" si="15"/>
        <v>135.03297499999996</v>
      </c>
      <c r="E64" s="6">
        <f t="shared" si="16"/>
        <v>0.34027777777777768</v>
      </c>
      <c r="F64">
        <v>1.1979123173277662</v>
      </c>
      <c r="G64">
        <f t="shared" si="17"/>
        <v>443.99290941965836</v>
      </c>
      <c r="H64">
        <f t="shared" si="18"/>
        <v>101.50221320344218</v>
      </c>
      <c r="I64" s="6">
        <f t="shared" si="19"/>
        <v>0.29636487742535134</v>
      </c>
    </row>
    <row r="65" spans="1:10" x14ac:dyDescent="0.25">
      <c r="A65" s="11" t="s">
        <v>15</v>
      </c>
      <c r="B65">
        <v>2006</v>
      </c>
      <c r="C65" s="9">
        <f>372.5*1.10231</f>
        <v>410.61047499999995</v>
      </c>
      <c r="D65">
        <f t="shared" si="15"/>
        <v>-121.25409999999999</v>
      </c>
      <c r="E65" s="6">
        <f t="shared" si="16"/>
        <v>-0.227979274611399</v>
      </c>
      <c r="F65">
        <v>1.2367432150313151</v>
      </c>
      <c r="G65">
        <f t="shared" si="17"/>
        <v>332.00948265530047</v>
      </c>
      <c r="H65">
        <f t="shared" si="18"/>
        <v>-111.98342676435789</v>
      </c>
      <c r="I65" s="6">
        <f t="shared" si="19"/>
        <v>-0.25221895302501796</v>
      </c>
    </row>
    <row r="66" spans="1:10" x14ac:dyDescent="0.25">
      <c r="A66" s="11" t="s">
        <v>15</v>
      </c>
      <c r="B66">
        <v>2007</v>
      </c>
      <c r="C66" s="9">
        <f>605*1.10231</f>
        <v>666.89754999999991</v>
      </c>
      <c r="D66">
        <f t="shared" si="15"/>
        <v>256.28707499999996</v>
      </c>
      <c r="E66" s="6">
        <f t="shared" si="16"/>
        <v>0.62416107382550323</v>
      </c>
      <c r="F66">
        <v>1.2718162839248435</v>
      </c>
      <c r="G66">
        <f t="shared" si="17"/>
        <v>524.3662614084044</v>
      </c>
      <c r="H66">
        <f t="shared" si="18"/>
        <v>192.35677875310392</v>
      </c>
      <c r="I66" s="6">
        <f t="shared" si="19"/>
        <v>0.579371339681924</v>
      </c>
    </row>
    <row r="67" spans="1:10" x14ac:dyDescent="0.25">
      <c r="A67" s="11" t="s">
        <v>15</v>
      </c>
      <c r="B67">
        <v>2008</v>
      </c>
      <c r="C67" s="9">
        <f>550*1.10231</f>
        <v>606.27049999999997</v>
      </c>
      <c r="D67">
        <f t="shared" si="15"/>
        <v>-60.62704999999994</v>
      </c>
      <c r="E67" s="6">
        <f t="shared" si="16"/>
        <v>-9.0909090909090828E-2</v>
      </c>
      <c r="F67">
        <v>1.3206680584551149</v>
      </c>
      <c r="G67">
        <f t="shared" si="17"/>
        <v>459.06349905153331</v>
      </c>
      <c r="H67">
        <f t="shared" si="18"/>
        <v>-65.302762356871085</v>
      </c>
      <c r="I67" s="6">
        <f t="shared" si="19"/>
        <v>-0.12453654470726871</v>
      </c>
    </row>
    <row r="68" spans="1:10" x14ac:dyDescent="0.25">
      <c r="A68" s="11" t="s">
        <v>15</v>
      </c>
      <c r="B68">
        <v>2009</v>
      </c>
      <c r="C68" s="9">
        <f>365*1.10231</f>
        <v>402.34314999999998</v>
      </c>
      <c r="D68">
        <f t="shared" si="15"/>
        <v>-203.92734999999999</v>
      </c>
      <c r="E68" s="6">
        <f t="shared" si="16"/>
        <v>-0.33636363636363631</v>
      </c>
      <c r="F68">
        <v>1.3160751565762003</v>
      </c>
      <c r="G68">
        <f t="shared" si="17"/>
        <v>305.71441759200508</v>
      </c>
      <c r="H68">
        <f t="shared" si="18"/>
        <v>-153.34908145952824</v>
      </c>
      <c r="I68" s="6">
        <f t="shared" si="19"/>
        <v>-0.33404764651592056</v>
      </c>
    </row>
    <row r="69" spans="1:10" x14ac:dyDescent="0.25">
      <c r="A69" s="11" t="s">
        <v>15</v>
      </c>
      <c r="B69">
        <v>2010</v>
      </c>
      <c r="C69" s="9">
        <f>662.5*1.10231</f>
        <v>730.28037499999994</v>
      </c>
      <c r="D69">
        <f t="shared" si="15"/>
        <v>327.93722499999996</v>
      </c>
      <c r="E69" s="6">
        <f t="shared" si="16"/>
        <v>0.81506849315068486</v>
      </c>
      <c r="F69">
        <v>1.3377870563674321</v>
      </c>
      <c r="G69">
        <f t="shared" si="17"/>
        <v>545.88685958957547</v>
      </c>
      <c r="H69">
        <f t="shared" si="18"/>
        <v>240.17244199757039</v>
      </c>
      <c r="I69" s="6">
        <f t="shared" si="19"/>
        <v>0.78561045268756491</v>
      </c>
    </row>
    <row r="70" spans="1:10" x14ac:dyDescent="0.25">
      <c r="A70" s="11" t="s">
        <v>15</v>
      </c>
      <c r="B70">
        <v>2011</v>
      </c>
      <c r="C70" s="9">
        <f>690*1.10231</f>
        <v>760.59389999999996</v>
      </c>
      <c r="D70">
        <f t="shared" si="15"/>
        <v>30.313525000000027</v>
      </c>
      <c r="E70" s="6">
        <f t="shared" si="16"/>
        <v>4.1509433962264142E-2</v>
      </c>
      <c r="F70">
        <v>1.3799582463465554</v>
      </c>
      <c r="G70">
        <f t="shared" si="17"/>
        <v>551.17167639939476</v>
      </c>
      <c r="H70">
        <f t="shared" si="18"/>
        <v>5.28481680981929</v>
      </c>
      <c r="I70" s="6">
        <f t="shared" si="19"/>
        <v>9.6811577655353531E-3</v>
      </c>
    </row>
    <row r="71" spans="1:10" x14ac:dyDescent="0.25">
      <c r="A71" s="11" t="s">
        <v>15</v>
      </c>
      <c r="B71">
        <v>2012</v>
      </c>
      <c r="C71" s="9">
        <f>790*1.10231</f>
        <v>870.82489999999996</v>
      </c>
      <c r="D71">
        <f t="shared" si="15"/>
        <v>110.23099999999999</v>
      </c>
      <c r="E71" s="6">
        <f t="shared" si="16"/>
        <v>0.14492753623188404</v>
      </c>
      <c r="F71">
        <v>1.4091858037578289</v>
      </c>
      <c r="G71">
        <f t="shared" si="17"/>
        <v>617.96315125925923</v>
      </c>
      <c r="H71">
        <f t="shared" si="18"/>
        <v>66.791474859864479</v>
      </c>
      <c r="I71" s="6">
        <f t="shared" si="19"/>
        <v>0.12118089103596374</v>
      </c>
    </row>
    <row r="72" spans="1:10" x14ac:dyDescent="0.25">
      <c r="A72" s="11" t="s">
        <v>15</v>
      </c>
      <c r="B72">
        <v>2013</v>
      </c>
      <c r="C72" s="9">
        <f>530*1.10231</f>
        <v>584.22429999999997</v>
      </c>
      <c r="D72">
        <f t="shared" si="15"/>
        <v>-286.60059999999999</v>
      </c>
      <c r="E72" s="6">
        <f t="shared" si="16"/>
        <v>-0.32911392405063289</v>
      </c>
      <c r="F72">
        <v>1.4300626304801669</v>
      </c>
      <c r="G72">
        <f t="shared" si="17"/>
        <v>408.53056890510948</v>
      </c>
      <c r="H72">
        <f t="shared" si="18"/>
        <v>-209.43258235414976</v>
      </c>
      <c r="I72" s="6">
        <f t="shared" si="19"/>
        <v>-0.33890788136376238</v>
      </c>
    </row>
    <row r="73" spans="1:10" x14ac:dyDescent="0.25">
      <c r="A73" s="11" t="s">
        <v>15</v>
      </c>
      <c r="B73">
        <v>2014</v>
      </c>
      <c r="C73" s="9">
        <f>605*1.10231</f>
        <v>666.89754999999991</v>
      </c>
      <c r="D73">
        <f t="shared" si="15"/>
        <v>82.673249999999939</v>
      </c>
      <c r="E73" s="6">
        <f t="shared" si="16"/>
        <v>0.14150943396226401</v>
      </c>
      <c r="F73">
        <v>1.4542797494780795</v>
      </c>
      <c r="G73">
        <f t="shared" si="17"/>
        <v>458.57583469710011</v>
      </c>
      <c r="H73">
        <f t="shared" si="18"/>
        <v>50.04526579199063</v>
      </c>
      <c r="I73" s="6">
        <f t="shared" si="19"/>
        <v>0.122500663600561</v>
      </c>
    </row>
    <row r="74" spans="1:10" x14ac:dyDescent="0.25">
      <c r="A74" s="12" t="s">
        <v>15</v>
      </c>
      <c r="B74" s="7">
        <v>2015</v>
      </c>
      <c r="C74" s="10">
        <f>457.5*1.10231</f>
        <v>504.30682499999995</v>
      </c>
      <c r="D74" s="7">
        <f t="shared" si="15"/>
        <v>-162.59072499999996</v>
      </c>
      <c r="E74" s="8">
        <f t="shared" si="16"/>
        <v>-0.24380165289256195</v>
      </c>
      <c r="F74" s="7">
        <v>1.4567849686847598</v>
      </c>
      <c r="G74" s="7">
        <f>C74/F74</f>
        <v>346.17794378761823</v>
      </c>
      <c r="H74" s="7">
        <f t="shared" si="18"/>
        <v>-112.39789090948187</v>
      </c>
      <c r="I74" s="8">
        <f t="shared" si="19"/>
        <v>-0.24510207997271216</v>
      </c>
    </row>
    <row r="75" spans="1:10" x14ac:dyDescent="0.25">
      <c r="A75" s="11" t="s">
        <v>3</v>
      </c>
      <c r="B75">
        <v>1998</v>
      </c>
      <c r="C75">
        <f>0.655*2.20462</f>
        <v>1.4440260999999999</v>
      </c>
      <c r="D75" t="s">
        <v>2</v>
      </c>
      <c r="E75" t="s">
        <v>2</v>
      </c>
      <c r="F75">
        <v>1</v>
      </c>
      <c r="G75">
        <f>C75</f>
        <v>1.4440260999999999</v>
      </c>
      <c r="H75" t="s">
        <v>2</v>
      </c>
      <c r="I75" s="6" t="s">
        <v>2</v>
      </c>
      <c r="J75" t="s">
        <v>96</v>
      </c>
    </row>
    <row r="76" spans="1:10" x14ac:dyDescent="0.25">
      <c r="A76" s="11" t="s">
        <v>3</v>
      </c>
      <c r="B76">
        <v>1999</v>
      </c>
      <c r="C76">
        <f>0.657*2.20462</f>
        <v>1.4484353399999998</v>
      </c>
      <c r="D76">
        <f>C76-C75</f>
        <v>4.409239999999981E-3</v>
      </c>
      <c r="E76" s="6">
        <f>C76/C75-1</f>
        <v>3.0534351145037331E-3</v>
      </c>
      <c r="F76">
        <v>1.021294363256785</v>
      </c>
      <c r="G76">
        <f>C76/F76</f>
        <v>1.4182349302125918</v>
      </c>
      <c r="H76">
        <f>G76-G75</f>
        <v>-2.579116978740803E-2</v>
      </c>
      <c r="I76" s="6">
        <f>G76/G75-1</f>
        <v>-1.7860598078807577E-2</v>
      </c>
    </row>
    <row r="77" spans="1:10" x14ac:dyDescent="0.25">
      <c r="A77" s="11" t="s">
        <v>3</v>
      </c>
      <c r="B77">
        <v>2000</v>
      </c>
      <c r="C77">
        <f>0.746*2.20462</f>
        <v>1.6446465199999998</v>
      </c>
      <c r="D77">
        <f t="shared" ref="D77:D92" si="20">C77-C76</f>
        <v>0.19621117999999993</v>
      </c>
      <c r="E77" s="6">
        <f t="shared" ref="E77:E92" si="21">C77/C76-1</f>
        <v>0.13546423135464236</v>
      </c>
      <c r="F77">
        <v>1.0559498956158664</v>
      </c>
      <c r="G77">
        <f t="shared" ref="G77:G91" si="22">C77/F77</f>
        <v>1.5575043160933173</v>
      </c>
      <c r="H77">
        <f t="shared" ref="H77:H92" si="23">G77-G76</f>
        <v>0.13926938588072546</v>
      </c>
      <c r="I77" s="6">
        <f t="shared" ref="I77:I92" si="24">G77/G76-1</f>
        <v>9.8199094461627112E-2</v>
      </c>
      <c r="J77" t="s">
        <v>13</v>
      </c>
    </row>
    <row r="78" spans="1:10" x14ac:dyDescent="0.25">
      <c r="A78" s="11" t="s">
        <v>3</v>
      </c>
      <c r="B78">
        <v>2001</v>
      </c>
      <c r="C78">
        <f>0.688*2.20462</f>
        <v>1.5167785599999997</v>
      </c>
      <c r="D78">
        <f t="shared" si="20"/>
        <v>-0.12786796000000011</v>
      </c>
      <c r="E78" s="6">
        <f t="shared" si="21"/>
        <v>-7.7747989276139462E-2</v>
      </c>
      <c r="F78">
        <v>1.0860125260960336</v>
      </c>
      <c r="G78">
        <f t="shared" si="22"/>
        <v>1.3966492315263355</v>
      </c>
      <c r="H78">
        <f t="shared" si="23"/>
        <v>-0.16085508456698183</v>
      </c>
      <c r="I78" s="6">
        <f t="shared" si="24"/>
        <v>-0.10327745670102162</v>
      </c>
    </row>
    <row r="79" spans="1:10" x14ac:dyDescent="0.25">
      <c r="A79" s="11" t="s">
        <v>3</v>
      </c>
      <c r="B79">
        <v>2002</v>
      </c>
      <c r="C79">
        <f>0.649*2.20462</f>
        <v>1.4307983799999999</v>
      </c>
      <c r="D79">
        <f t="shared" si="20"/>
        <v>-8.598017999999974E-2</v>
      </c>
      <c r="E79" s="6">
        <f t="shared" si="21"/>
        <v>-5.6686046511627786E-2</v>
      </c>
      <c r="F79">
        <v>1.1031315240083506</v>
      </c>
      <c r="G79">
        <f t="shared" si="22"/>
        <v>1.2970333535579108</v>
      </c>
      <c r="H79">
        <f t="shared" si="23"/>
        <v>-9.9615877968424638E-2</v>
      </c>
      <c r="I79" s="6">
        <f t="shared" si="24"/>
        <v>-7.132490801542124E-2</v>
      </c>
      <c r="J79" t="s">
        <v>43</v>
      </c>
    </row>
    <row r="80" spans="1:10" x14ac:dyDescent="0.25">
      <c r="A80" s="11" t="s">
        <v>3</v>
      </c>
      <c r="B80">
        <v>2003</v>
      </c>
      <c r="C80">
        <f>0.681*2.20462</f>
        <v>1.5013462200000001</v>
      </c>
      <c r="D80">
        <f t="shared" si="20"/>
        <v>7.0547840000000139E-2</v>
      </c>
      <c r="E80" s="6">
        <f t="shared" si="21"/>
        <v>4.9306625577812069E-2</v>
      </c>
      <c r="F80">
        <v>1.1281837160751564</v>
      </c>
      <c r="G80">
        <f t="shared" si="22"/>
        <v>1.3307639514803851</v>
      </c>
      <c r="H80">
        <f t="shared" si="23"/>
        <v>3.3730597922474237E-2</v>
      </c>
      <c r="I80" s="6">
        <f t="shared" si="24"/>
        <v>2.6005960317016852E-2</v>
      </c>
    </row>
    <row r="81" spans="1:10" x14ac:dyDescent="0.25">
      <c r="A81" s="11" t="s">
        <v>3</v>
      </c>
      <c r="B81">
        <v>2004</v>
      </c>
      <c r="C81">
        <f>0.84*2.20462</f>
        <v>1.8518807999999998</v>
      </c>
      <c r="D81">
        <f t="shared" si="20"/>
        <v>0.35053457999999971</v>
      </c>
      <c r="E81" s="6">
        <f t="shared" si="21"/>
        <v>0.23348017621145356</v>
      </c>
      <c r="F81">
        <v>1.1586638830897704</v>
      </c>
      <c r="G81">
        <f t="shared" si="22"/>
        <v>1.5982899156756754</v>
      </c>
      <c r="H81">
        <f t="shared" si="23"/>
        <v>0.26752596419529029</v>
      </c>
      <c r="I81" s="6">
        <f t="shared" si="24"/>
        <v>0.20103186887327817</v>
      </c>
    </row>
    <row r="82" spans="1:10" x14ac:dyDescent="0.25">
      <c r="A82" s="11" t="s">
        <v>3</v>
      </c>
      <c r="B82">
        <v>2005</v>
      </c>
      <c r="C82">
        <f>0.9106*2.20462</f>
        <v>2.0075269719999995</v>
      </c>
      <c r="D82">
        <f t="shared" si="20"/>
        <v>0.15564617199999975</v>
      </c>
      <c r="E82" s="6">
        <f t="shared" si="21"/>
        <v>8.4047619047618927E-2</v>
      </c>
      <c r="F82">
        <v>1.1979123173277662</v>
      </c>
      <c r="G82">
        <f t="shared" si="22"/>
        <v>1.6758546873265943</v>
      </c>
      <c r="H82">
        <f t="shared" si="23"/>
        <v>7.7564771650918907E-2</v>
      </c>
      <c r="I82" s="6">
        <f t="shared" si="24"/>
        <v>4.85298511178609E-2</v>
      </c>
    </row>
    <row r="83" spans="1:10" x14ac:dyDescent="0.25">
      <c r="A83" s="11" t="s">
        <v>3</v>
      </c>
      <c r="B83">
        <v>2006</v>
      </c>
      <c r="C83">
        <f>1.214*2.20462</f>
        <v>2.6764086799999998</v>
      </c>
      <c r="D83">
        <f t="shared" si="20"/>
        <v>0.66888170800000024</v>
      </c>
      <c r="E83" s="6">
        <f t="shared" si="21"/>
        <v>0.33318690972984855</v>
      </c>
      <c r="F83">
        <v>1.2367432150313151</v>
      </c>
      <c r="G83">
        <f t="shared" si="22"/>
        <v>2.1640779164753545</v>
      </c>
      <c r="H83">
        <f t="shared" si="23"/>
        <v>0.48822322914876026</v>
      </c>
      <c r="I83" s="6">
        <f t="shared" si="24"/>
        <v>0.29132790142300347</v>
      </c>
    </row>
    <row r="84" spans="1:10" x14ac:dyDescent="0.25">
      <c r="A84" s="11" t="s">
        <v>3</v>
      </c>
      <c r="B84">
        <v>2007</v>
      </c>
      <c r="C84">
        <f>1.222*2.20462</f>
        <v>2.6940456399999997</v>
      </c>
      <c r="D84">
        <f t="shared" si="20"/>
        <v>1.7636959999999924E-2</v>
      </c>
      <c r="E84" s="6">
        <f t="shared" si="21"/>
        <v>6.5897858319603486E-3</v>
      </c>
      <c r="F84">
        <v>1.2718162839248435</v>
      </c>
      <c r="G84">
        <f t="shared" si="22"/>
        <v>2.1182663518713065</v>
      </c>
      <c r="H84">
        <f t="shared" si="23"/>
        <v>-4.5811564604048005E-2</v>
      </c>
      <c r="I84" s="6">
        <f t="shared" si="24"/>
        <v>-2.1169092043904603E-2</v>
      </c>
    </row>
    <row r="85" spans="1:10" x14ac:dyDescent="0.25">
      <c r="A85" s="11" t="s">
        <v>3</v>
      </c>
      <c r="B85">
        <v>2008</v>
      </c>
      <c r="C85">
        <f>1.205*2.20462</f>
        <v>2.6565670999999997</v>
      </c>
      <c r="D85">
        <f t="shared" si="20"/>
        <v>-3.7478539999999949E-2</v>
      </c>
      <c r="E85" s="6">
        <f t="shared" si="21"/>
        <v>-1.3911620294599025E-2</v>
      </c>
      <c r="F85">
        <v>1.3206680584551149</v>
      </c>
      <c r="G85">
        <f t="shared" si="22"/>
        <v>2.0115327867530821</v>
      </c>
      <c r="H85">
        <f t="shared" si="23"/>
        <v>-0.1067335651182244</v>
      </c>
      <c r="I85" s="6">
        <f t="shared" si="24"/>
        <v>-5.0387225867008834E-2</v>
      </c>
    </row>
    <row r="86" spans="1:10" x14ac:dyDescent="0.25">
      <c r="A86" s="11" t="s">
        <v>3</v>
      </c>
      <c r="B86">
        <v>2009</v>
      </c>
      <c r="C86">
        <f>0.755*2.20462</f>
        <v>1.6644880999999998</v>
      </c>
      <c r="D86">
        <f t="shared" si="20"/>
        <v>-0.99207899999999993</v>
      </c>
      <c r="E86" s="6">
        <f t="shared" si="21"/>
        <v>-0.37344398340248963</v>
      </c>
      <c r="F86">
        <v>1.3160751565762003</v>
      </c>
      <c r="G86">
        <f t="shared" si="22"/>
        <v>1.2647363577093909</v>
      </c>
      <c r="H86">
        <f t="shared" si="23"/>
        <v>-0.74679642904369126</v>
      </c>
      <c r="I86" s="6">
        <f t="shared" si="24"/>
        <v>-0.37125739831918603</v>
      </c>
    </row>
    <row r="87" spans="1:10" x14ac:dyDescent="0.25">
      <c r="A87" s="11" t="s">
        <v>3</v>
      </c>
      <c r="B87">
        <v>2010</v>
      </c>
      <c r="C87">
        <f>1.044*2.20462</f>
        <v>2.3016232799999998</v>
      </c>
      <c r="D87">
        <f t="shared" si="20"/>
        <v>0.63713518000000002</v>
      </c>
      <c r="E87" s="6">
        <f t="shared" si="21"/>
        <v>0.38278145695364252</v>
      </c>
      <c r="F87">
        <v>1.3377870563674321</v>
      </c>
      <c r="G87">
        <f t="shared" si="22"/>
        <v>1.7204705853932583</v>
      </c>
      <c r="H87">
        <f t="shared" si="23"/>
        <v>0.4557342276838674</v>
      </c>
      <c r="I87" s="6">
        <f t="shared" si="24"/>
        <v>0.36033931096063676</v>
      </c>
    </row>
    <row r="88" spans="1:10" x14ac:dyDescent="0.25">
      <c r="A88" s="11" t="s">
        <v>3</v>
      </c>
      <c r="B88">
        <v>2011</v>
      </c>
      <c r="C88">
        <f>1.161*2.20462</f>
        <v>2.5595638199999997</v>
      </c>
      <c r="D88">
        <f t="shared" si="20"/>
        <v>0.25794053999999988</v>
      </c>
      <c r="E88" s="6">
        <f t="shared" si="21"/>
        <v>0.11206896551724133</v>
      </c>
      <c r="F88">
        <v>1.3799582463465554</v>
      </c>
      <c r="G88">
        <f t="shared" si="22"/>
        <v>1.8548125110136153</v>
      </c>
      <c r="H88">
        <f t="shared" si="23"/>
        <v>0.13434192562035707</v>
      </c>
      <c r="I88" s="6">
        <f t="shared" si="24"/>
        <v>7.8084407115655452E-2</v>
      </c>
    </row>
    <row r="89" spans="1:10" x14ac:dyDescent="0.25">
      <c r="A89" s="11" t="s">
        <v>3</v>
      </c>
      <c r="B89">
        <v>2012</v>
      </c>
      <c r="C89">
        <f>1.01*2.20462</f>
        <v>2.2266661999999999</v>
      </c>
      <c r="D89">
        <f t="shared" si="20"/>
        <v>-0.33289761999999978</v>
      </c>
      <c r="E89" s="6">
        <f t="shared" si="21"/>
        <v>-0.13006029285099041</v>
      </c>
      <c r="F89">
        <v>1.4091858037578289</v>
      </c>
      <c r="G89">
        <f t="shared" si="22"/>
        <v>1.5801083108148146</v>
      </c>
      <c r="H89">
        <f t="shared" si="23"/>
        <v>-0.27470420019880071</v>
      </c>
      <c r="I89" s="6">
        <f t="shared" si="24"/>
        <v>-0.14810348677704399</v>
      </c>
    </row>
    <row r="90" spans="1:10" x14ac:dyDescent="0.25">
      <c r="A90" s="11" t="s">
        <v>3</v>
      </c>
      <c r="B90">
        <v>2013</v>
      </c>
      <c r="C90">
        <f>0.942*2.20462</f>
        <v>2.0767520399999997</v>
      </c>
      <c r="D90">
        <f t="shared" si="20"/>
        <v>-0.14991416000000024</v>
      </c>
      <c r="E90" s="6">
        <f t="shared" si="21"/>
        <v>-6.7326732673267387E-2</v>
      </c>
      <c r="F90">
        <v>1.4300626304801669</v>
      </c>
      <c r="G90">
        <f t="shared" si="22"/>
        <v>1.4522105505985401</v>
      </c>
      <c r="H90">
        <f t="shared" si="23"/>
        <v>-0.12789776021627453</v>
      </c>
      <c r="I90" s="6">
        <f t="shared" si="24"/>
        <v>-8.0942400809423942E-2</v>
      </c>
    </row>
    <row r="91" spans="1:10" x14ac:dyDescent="0.25">
      <c r="A91" s="11" t="s">
        <v>3</v>
      </c>
      <c r="B91">
        <v>2014</v>
      </c>
      <c r="C91">
        <f>1.045*2.20462</f>
        <v>2.3038278999999995</v>
      </c>
      <c r="D91">
        <f t="shared" si="20"/>
        <v>0.2270758599999998</v>
      </c>
      <c r="E91" s="6">
        <f t="shared" si="21"/>
        <v>0.10934182590233532</v>
      </c>
      <c r="F91">
        <v>1.4542797494780795</v>
      </c>
      <c r="G91">
        <f t="shared" si="22"/>
        <v>1.5841710653172547</v>
      </c>
      <c r="H91">
        <f t="shared" si="23"/>
        <v>0.13196051471871462</v>
      </c>
      <c r="I91" s="6">
        <f t="shared" si="24"/>
        <v>9.0868720561440686E-2</v>
      </c>
    </row>
    <row r="92" spans="1:10" x14ac:dyDescent="0.25">
      <c r="A92" s="12" t="s">
        <v>3</v>
      </c>
      <c r="B92" s="7">
        <v>2015</v>
      </c>
      <c r="C92" s="7">
        <f>0.882*2.20462</f>
        <v>1.9444748399999998</v>
      </c>
      <c r="D92" s="7">
        <f t="shared" si="20"/>
        <v>-0.35935305999999967</v>
      </c>
      <c r="E92" s="8">
        <f t="shared" si="21"/>
        <v>-0.155980861244019</v>
      </c>
      <c r="F92" s="7">
        <v>1.4567849686847598</v>
      </c>
      <c r="G92" s="7">
        <f>C92/F92</f>
        <v>1.3347713504729148</v>
      </c>
      <c r="H92" s="7">
        <f t="shared" si="23"/>
        <v>-0.24939971484433987</v>
      </c>
      <c r="I92" s="8">
        <f t="shared" si="24"/>
        <v>-0.15743231290138082</v>
      </c>
    </row>
    <row r="93" spans="1:10" x14ac:dyDescent="0.25">
      <c r="A93" s="11" t="s">
        <v>19</v>
      </c>
      <c r="B93">
        <v>1998</v>
      </c>
      <c r="C93" s="9">
        <v>25.59</v>
      </c>
      <c r="D93" t="s">
        <v>2</v>
      </c>
      <c r="E93" t="s">
        <v>2</v>
      </c>
      <c r="F93">
        <v>1</v>
      </c>
      <c r="G93">
        <f>C93</f>
        <v>25.59</v>
      </c>
      <c r="H93" t="s">
        <v>2</v>
      </c>
      <c r="I93" s="6" t="s">
        <v>2</v>
      </c>
      <c r="J93" t="s">
        <v>20</v>
      </c>
    </row>
    <row r="94" spans="1:10" x14ac:dyDescent="0.25">
      <c r="A94" s="11" t="s">
        <v>19</v>
      </c>
      <c r="B94">
        <v>1999</v>
      </c>
      <c r="C94" s="9">
        <v>30.56</v>
      </c>
      <c r="D94">
        <f>C94-C93</f>
        <v>4.9699999999999989</v>
      </c>
      <c r="E94" s="6">
        <f>C94/C93-1</f>
        <v>0.19421649081672521</v>
      </c>
      <c r="F94">
        <v>1.021294363256785</v>
      </c>
      <c r="G94">
        <f>C94/F94</f>
        <v>29.922812755519214</v>
      </c>
      <c r="H94">
        <f>G94-G93</f>
        <v>4.332812755519214</v>
      </c>
      <c r="I94" s="6">
        <f>G94/G93-1</f>
        <v>0.1693166375740216</v>
      </c>
    </row>
    <row r="95" spans="1:10" x14ac:dyDescent="0.25">
      <c r="A95" s="11" t="s">
        <v>19</v>
      </c>
      <c r="B95">
        <v>2000</v>
      </c>
      <c r="C95" s="9">
        <v>24.2</v>
      </c>
      <c r="D95">
        <f t="shared" ref="D95:D110" si="25">C95-C94</f>
        <v>-6.3599999999999994</v>
      </c>
      <c r="E95" s="6">
        <f t="shared" ref="E95:E110" si="26">C95/C94-1</f>
        <v>-0.20811518324607325</v>
      </c>
      <c r="F95">
        <v>1.0559498956158664</v>
      </c>
      <c r="G95">
        <f t="shared" ref="G95:G109" si="27">C95/F95</f>
        <v>22.917754052985369</v>
      </c>
      <c r="H95">
        <f t="shared" ref="H95:H110" si="28">G95-G94</f>
        <v>-7.0050587025338444</v>
      </c>
      <c r="I95" s="6">
        <f t="shared" ref="I95:I110" si="29">G95/G94-1</f>
        <v>-0.23410428557528484</v>
      </c>
      <c r="J95" t="s">
        <v>13</v>
      </c>
    </row>
    <row r="96" spans="1:10" x14ac:dyDescent="0.25">
      <c r="A96" s="11" t="s">
        <v>19</v>
      </c>
      <c r="B96">
        <v>2001</v>
      </c>
      <c r="C96" s="9">
        <v>26.81</v>
      </c>
      <c r="D96">
        <f t="shared" si="25"/>
        <v>2.6099999999999994</v>
      </c>
      <c r="E96" s="6">
        <f t="shared" si="26"/>
        <v>0.10785123966942156</v>
      </c>
      <c r="F96">
        <v>1.0860125260960336</v>
      </c>
      <c r="G96">
        <f t="shared" si="27"/>
        <v>24.686639753940785</v>
      </c>
      <c r="H96">
        <f t="shared" si="28"/>
        <v>1.7688857009554155</v>
      </c>
      <c r="I96" s="6">
        <f t="shared" si="29"/>
        <v>7.7184077325630929E-2</v>
      </c>
    </row>
    <row r="97" spans="1:10" x14ac:dyDescent="0.25">
      <c r="A97" s="11" t="s">
        <v>19</v>
      </c>
      <c r="B97">
        <v>2002</v>
      </c>
      <c r="C97" s="9">
        <v>27.69</v>
      </c>
      <c r="D97">
        <f t="shared" si="25"/>
        <v>0.88000000000000256</v>
      </c>
      <c r="E97" s="6">
        <f t="shared" si="26"/>
        <v>3.2823573293547348E-2</v>
      </c>
      <c r="F97">
        <v>1.1031315240083506</v>
      </c>
      <c r="G97">
        <f t="shared" si="27"/>
        <v>25.101267978803943</v>
      </c>
      <c r="H97">
        <f t="shared" si="28"/>
        <v>0.41462822486315787</v>
      </c>
      <c r="I97" s="6">
        <f t="shared" si="29"/>
        <v>1.6795652587629606E-2</v>
      </c>
      <c r="J97" t="s">
        <v>58</v>
      </c>
    </row>
    <row r="98" spans="1:10" x14ac:dyDescent="0.25">
      <c r="A98" s="11" t="s">
        <v>19</v>
      </c>
      <c r="B98">
        <v>2003</v>
      </c>
      <c r="C98" s="9">
        <v>26.95</v>
      </c>
      <c r="D98">
        <f t="shared" si="25"/>
        <v>-0.74000000000000199</v>
      </c>
      <c r="E98" s="6">
        <f t="shared" si="26"/>
        <v>-2.6724449259660554E-2</v>
      </c>
      <c r="F98">
        <v>1.1281837160751564</v>
      </c>
      <c r="G98">
        <f t="shared" si="27"/>
        <v>23.887953367875649</v>
      </c>
      <c r="H98">
        <f t="shared" si="28"/>
        <v>-1.2133146109282933</v>
      </c>
      <c r="I98" s="6">
        <f t="shared" si="29"/>
        <v>-4.8336785693569029E-2</v>
      </c>
    </row>
    <row r="99" spans="1:10" x14ac:dyDescent="0.25">
      <c r="A99" s="11" t="s">
        <v>19</v>
      </c>
      <c r="B99">
        <v>2004</v>
      </c>
      <c r="C99" s="9">
        <v>27.76</v>
      </c>
      <c r="D99">
        <f t="shared" si="25"/>
        <v>0.81000000000000227</v>
      </c>
      <c r="E99" s="6">
        <f t="shared" si="26"/>
        <v>3.0055658627087256E-2</v>
      </c>
      <c r="F99">
        <v>1.1586638830897704</v>
      </c>
      <c r="G99">
        <f t="shared" si="27"/>
        <v>23.95863063063063</v>
      </c>
      <c r="H99">
        <f t="shared" si="28"/>
        <v>7.0677262754980319E-2</v>
      </c>
      <c r="I99" s="6">
        <f t="shared" si="29"/>
        <v>2.9586989586989354E-3</v>
      </c>
    </row>
    <row r="100" spans="1:10" x14ac:dyDescent="0.25">
      <c r="A100" s="11" t="s">
        <v>19</v>
      </c>
      <c r="B100">
        <v>2005</v>
      </c>
      <c r="C100" s="9">
        <v>29.6</v>
      </c>
      <c r="D100">
        <f t="shared" si="25"/>
        <v>1.8399999999999999</v>
      </c>
      <c r="E100" s="6">
        <f t="shared" si="26"/>
        <v>6.6282420749279591E-2</v>
      </c>
      <c r="F100">
        <v>1.1979123173277662</v>
      </c>
      <c r="G100">
        <f t="shared" si="27"/>
        <v>24.70965493203207</v>
      </c>
      <c r="H100">
        <f t="shared" si="28"/>
        <v>0.75102430140143994</v>
      </c>
      <c r="I100" s="6">
        <f t="shared" si="29"/>
        <v>3.1346712296706603E-2</v>
      </c>
    </row>
    <row r="101" spans="1:10" x14ac:dyDescent="0.25">
      <c r="A101" s="11" t="s">
        <v>19</v>
      </c>
      <c r="B101">
        <v>2006</v>
      </c>
      <c r="C101" s="9">
        <v>30.52</v>
      </c>
      <c r="D101">
        <f t="shared" si="25"/>
        <v>0.91999999999999815</v>
      </c>
      <c r="E101" s="6">
        <f t="shared" si="26"/>
        <v>3.1081081081081097E-2</v>
      </c>
      <c r="F101">
        <v>1.2367432150313151</v>
      </c>
      <c r="G101">
        <f t="shared" si="27"/>
        <v>24.677717758271442</v>
      </c>
      <c r="H101">
        <f t="shared" si="28"/>
        <v>-3.1937173760628212E-2</v>
      </c>
      <c r="I101" s="6">
        <f t="shared" si="29"/>
        <v>-1.2924977644761526E-3</v>
      </c>
    </row>
    <row r="102" spans="1:10" x14ac:dyDescent="0.25">
      <c r="A102" s="11" t="s">
        <v>19</v>
      </c>
      <c r="B102">
        <v>2007</v>
      </c>
      <c r="C102" s="9">
        <v>51.1</v>
      </c>
      <c r="D102">
        <f t="shared" si="25"/>
        <v>20.580000000000002</v>
      </c>
      <c r="E102" s="6">
        <f t="shared" si="26"/>
        <v>0.67431192660550465</v>
      </c>
      <c r="F102">
        <v>1.2718162839248435</v>
      </c>
      <c r="G102">
        <f t="shared" si="27"/>
        <v>40.178759028233749</v>
      </c>
      <c r="H102">
        <f t="shared" si="28"/>
        <v>15.501041269962307</v>
      </c>
      <c r="I102" s="6">
        <f t="shared" si="29"/>
        <v>0.62813917485407211</v>
      </c>
    </row>
    <row r="103" spans="1:10" x14ac:dyDescent="0.25">
      <c r="A103" s="11" t="s">
        <v>19</v>
      </c>
      <c r="B103">
        <v>2008</v>
      </c>
      <c r="C103" s="9">
        <v>76.760000000000005</v>
      </c>
      <c r="D103">
        <f t="shared" si="25"/>
        <v>25.660000000000004</v>
      </c>
      <c r="E103" s="6">
        <f t="shared" si="26"/>
        <v>0.50215264187866926</v>
      </c>
      <c r="F103">
        <v>1.3206680584551149</v>
      </c>
      <c r="G103">
        <f t="shared" si="27"/>
        <v>58.122099272842235</v>
      </c>
      <c r="H103">
        <f t="shared" si="28"/>
        <v>17.943340244608486</v>
      </c>
      <c r="I103" s="6">
        <f t="shared" si="29"/>
        <v>0.44658771645982487</v>
      </c>
    </row>
    <row r="104" spans="1:10" x14ac:dyDescent="0.25">
      <c r="A104" s="11" t="s">
        <v>19</v>
      </c>
      <c r="B104">
        <v>2009</v>
      </c>
      <c r="C104" s="9">
        <v>127.19</v>
      </c>
      <c r="D104">
        <f t="shared" si="25"/>
        <v>50.429999999999993</v>
      </c>
      <c r="E104" s="6">
        <f t="shared" si="26"/>
        <v>0.65698280354351213</v>
      </c>
      <c r="F104">
        <v>1.3160751565762003</v>
      </c>
      <c r="G104">
        <f t="shared" si="27"/>
        <v>96.643416878172587</v>
      </c>
      <c r="H104">
        <f t="shared" si="28"/>
        <v>38.521317605330353</v>
      </c>
      <c r="I104" s="6">
        <f t="shared" si="29"/>
        <v>0.66276542119547255</v>
      </c>
    </row>
    <row r="105" spans="1:10" x14ac:dyDescent="0.25">
      <c r="A105" s="11" t="s">
        <v>19</v>
      </c>
      <c r="B105">
        <v>2010</v>
      </c>
      <c r="C105" s="9">
        <v>76.69</v>
      </c>
      <c r="D105">
        <f t="shared" si="25"/>
        <v>-50.5</v>
      </c>
      <c r="E105" s="6">
        <f t="shared" si="26"/>
        <v>-0.39704379275100243</v>
      </c>
      <c r="F105">
        <v>1.3377870563674321</v>
      </c>
      <c r="G105">
        <f t="shared" si="27"/>
        <v>57.32601435705368</v>
      </c>
      <c r="H105">
        <f t="shared" si="28"/>
        <v>-39.317402521118908</v>
      </c>
      <c r="I105" s="6">
        <f t="shared" si="29"/>
        <v>-0.40682959886116099</v>
      </c>
    </row>
    <row r="106" spans="1:10" x14ac:dyDescent="0.25">
      <c r="A106" s="11" t="s">
        <v>19</v>
      </c>
      <c r="B106">
        <v>2011</v>
      </c>
      <c r="C106" s="9">
        <v>96.64</v>
      </c>
      <c r="D106">
        <f t="shared" si="25"/>
        <v>19.950000000000003</v>
      </c>
      <c r="E106" s="6">
        <f t="shared" si="26"/>
        <v>0.26013821880297305</v>
      </c>
      <c r="F106">
        <v>1.3799582463465554</v>
      </c>
      <c r="G106">
        <f t="shared" si="27"/>
        <v>70.031104387291975</v>
      </c>
      <c r="H106">
        <f t="shared" si="28"/>
        <v>12.705090030238296</v>
      </c>
      <c r="I106" s="6">
        <f t="shared" si="29"/>
        <v>0.22162869986224676</v>
      </c>
    </row>
    <row r="107" spans="1:10" x14ac:dyDescent="0.25">
      <c r="A107" s="11" t="s">
        <v>19</v>
      </c>
      <c r="B107">
        <v>2012</v>
      </c>
      <c r="C107" s="9">
        <v>102.54</v>
      </c>
      <c r="D107">
        <f t="shared" si="25"/>
        <v>5.9000000000000057</v>
      </c>
      <c r="E107" s="6">
        <f t="shared" si="26"/>
        <v>6.1051324503311299E-2</v>
      </c>
      <c r="F107">
        <v>1.4091858037578289</v>
      </c>
      <c r="G107">
        <f t="shared" si="27"/>
        <v>72.765422222222227</v>
      </c>
      <c r="H107">
        <f t="shared" si="28"/>
        <v>2.7343178349302519</v>
      </c>
      <c r="I107" s="6">
        <f t="shared" si="29"/>
        <v>3.9044334069168629E-2</v>
      </c>
    </row>
    <row r="108" spans="1:10" x14ac:dyDescent="0.25">
      <c r="A108" s="11" t="s">
        <v>19</v>
      </c>
      <c r="B108">
        <v>2013</v>
      </c>
      <c r="C108" s="9">
        <v>91.11</v>
      </c>
      <c r="D108">
        <f t="shared" si="25"/>
        <v>-11.430000000000007</v>
      </c>
      <c r="E108" s="6">
        <f t="shared" si="26"/>
        <v>-0.11146869514335878</v>
      </c>
      <c r="F108">
        <v>1.4300626304801669</v>
      </c>
      <c r="G108">
        <f t="shared" si="27"/>
        <v>63.71049635036497</v>
      </c>
      <c r="H108">
        <f t="shared" si="28"/>
        <v>-9.0549258718572574</v>
      </c>
      <c r="I108" s="6">
        <f t="shared" si="29"/>
        <v>-0.1244399550682731</v>
      </c>
    </row>
    <row r="109" spans="1:10" x14ac:dyDescent="0.25">
      <c r="A109" s="11" t="s">
        <v>19</v>
      </c>
      <c r="B109">
        <v>2014</v>
      </c>
      <c r="C109" s="9">
        <v>78.59</v>
      </c>
      <c r="D109">
        <f t="shared" si="25"/>
        <v>-12.519999999999996</v>
      </c>
      <c r="E109" s="6">
        <f t="shared" si="26"/>
        <v>-0.13741630995499943</v>
      </c>
      <c r="F109">
        <v>1.4542797494780795</v>
      </c>
      <c r="G109">
        <f t="shared" si="27"/>
        <v>54.040496698248631</v>
      </c>
      <c r="H109">
        <f t="shared" si="28"/>
        <v>-9.6699996521163385</v>
      </c>
      <c r="I109" s="6">
        <f t="shared" si="29"/>
        <v>-0.15178032202006131</v>
      </c>
    </row>
    <row r="110" spans="1:10" x14ac:dyDescent="0.25">
      <c r="A110" s="12" t="s">
        <v>19</v>
      </c>
      <c r="B110" s="7">
        <v>2015</v>
      </c>
      <c r="C110" s="10">
        <v>72.41</v>
      </c>
      <c r="D110" s="7">
        <f t="shared" si="25"/>
        <v>-6.1800000000000068</v>
      </c>
      <c r="E110" s="8">
        <f t="shared" si="26"/>
        <v>-7.8635958773380921E-2</v>
      </c>
      <c r="F110" s="7">
        <v>1.4567849686847598</v>
      </c>
      <c r="G110" s="7">
        <f>C110/F110</f>
        <v>49.705345371166523</v>
      </c>
      <c r="H110" s="7">
        <f t="shared" si="28"/>
        <v>-4.3351513270821087</v>
      </c>
      <c r="I110" s="8">
        <f t="shared" si="29"/>
        <v>-8.022041972131988E-2</v>
      </c>
    </row>
    <row r="111" spans="1:10" x14ac:dyDescent="0.25">
      <c r="A111" s="11" t="s">
        <v>21</v>
      </c>
      <c r="B111">
        <v>1998</v>
      </c>
      <c r="C111" s="9">
        <v>29.14</v>
      </c>
      <c r="D111" t="s">
        <v>2</v>
      </c>
      <c r="E111" t="s">
        <v>2</v>
      </c>
      <c r="F111">
        <v>1</v>
      </c>
      <c r="G111">
        <f>C111</f>
        <v>29.14</v>
      </c>
      <c r="H111" t="s">
        <v>2</v>
      </c>
      <c r="I111" s="6" t="s">
        <v>2</v>
      </c>
      <c r="J111" t="s">
        <v>22</v>
      </c>
    </row>
    <row r="112" spans="1:10" x14ac:dyDescent="0.25">
      <c r="A112" s="11" t="s">
        <v>21</v>
      </c>
      <c r="B112">
        <v>1999</v>
      </c>
      <c r="C112" s="9">
        <v>37.81</v>
      </c>
      <c r="D112">
        <f>C112-C111</f>
        <v>8.6700000000000017</v>
      </c>
      <c r="E112" s="6">
        <f>C112/C111-1</f>
        <v>0.29752916952642416</v>
      </c>
      <c r="F112">
        <v>1.021294363256785</v>
      </c>
      <c r="G112">
        <f>C112/F112</f>
        <v>37.021647587898613</v>
      </c>
      <c r="H112">
        <f>G112-G111</f>
        <v>7.8816475878986125</v>
      </c>
      <c r="I112" s="6">
        <f>G112/G111-1</f>
        <v>0.27047520891896415</v>
      </c>
    </row>
    <row r="113" spans="1:10" x14ac:dyDescent="0.25">
      <c r="A113" s="11" t="s">
        <v>21</v>
      </c>
      <c r="B113">
        <v>2000</v>
      </c>
      <c r="C113" s="9">
        <v>24.73</v>
      </c>
      <c r="D113">
        <f t="shared" ref="D113:D128" si="30">C113-C112</f>
        <v>-13.080000000000002</v>
      </c>
      <c r="E113" s="6">
        <f t="shared" ref="E113:E128" si="31">C113/C112-1</f>
        <v>-0.34594022745305475</v>
      </c>
      <c r="F113">
        <v>1.0559498956158664</v>
      </c>
      <c r="G113">
        <f t="shared" ref="G113:G127" si="32">C113/F113</f>
        <v>23.419671807038355</v>
      </c>
      <c r="H113">
        <f t="shared" ref="H113:H128" si="33">G113-G112</f>
        <v>-13.601975780860258</v>
      </c>
      <c r="I113" s="6">
        <f t="shared" ref="I113:I128" si="34">G113/G112-1</f>
        <v>-0.36740600883755314</v>
      </c>
      <c r="J113" t="s">
        <v>13</v>
      </c>
    </row>
    <row r="114" spans="1:10" x14ac:dyDescent="0.25">
      <c r="A114" s="11" t="s">
        <v>21</v>
      </c>
      <c r="B114">
        <v>2001</v>
      </c>
      <c r="C114" s="9">
        <v>10.11</v>
      </c>
      <c r="D114">
        <f t="shared" si="30"/>
        <v>-14.620000000000001</v>
      </c>
      <c r="E114" s="6">
        <f t="shared" si="31"/>
        <v>-0.5911847957945815</v>
      </c>
      <c r="F114">
        <v>1.0860125260960336</v>
      </c>
      <c r="G114">
        <f t="shared" si="32"/>
        <v>9.3092848904267562</v>
      </c>
      <c r="H114">
        <f t="shared" si="33"/>
        <v>-14.110386916611599</v>
      </c>
      <c r="I114" s="6">
        <f t="shared" si="34"/>
        <v>-0.60250147964801881</v>
      </c>
    </row>
    <row r="115" spans="1:10" x14ac:dyDescent="0.25">
      <c r="A115" s="11" t="s">
        <v>21</v>
      </c>
      <c r="B115">
        <v>2002</v>
      </c>
      <c r="C115" s="9">
        <v>11.84</v>
      </c>
      <c r="D115">
        <f t="shared" si="30"/>
        <v>1.7300000000000004</v>
      </c>
      <c r="E115" s="6">
        <f t="shared" si="31"/>
        <v>0.17111770524233427</v>
      </c>
      <c r="F115">
        <v>1.1031315240083506</v>
      </c>
      <c r="G115">
        <f t="shared" si="32"/>
        <v>10.733080999242999</v>
      </c>
      <c r="H115">
        <f t="shared" si="33"/>
        <v>1.4237961088162425</v>
      </c>
      <c r="I115" s="6">
        <f t="shared" si="34"/>
        <v>0.15294366061139764</v>
      </c>
      <c r="J115" t="s">
        <v>58</v>
      </c>
    </row>
    <row r="116" spans="1:10" x14ac:dyDescent="0.25">
      <c r="A116" s="11" t="s">
        <v>21</v>
      </c>
      <c r="B116">
        <v>2003</v>
      </c>
      <c r="C116" s="9">
        <v>28.71</v>
      </c>
      <c r="D116">
        <f t="shared" si="30"/>
        <v>16.87</v>
      </c>
      <c r="E116" s="6">
        <f t="shared" si="31"/>
        <v>1.4248310810810811</v>
      </c>
      <c r="F116">
        <v>1.1281837160751564</v>
      </c>
      <c r="G116">
        <f t="shared" si="32"/>
        <v>25.447982975573652</v>
      </c>
      <c r="H116">
        <f t="shared" si="33"/>
        <v>14.714901976330653</v>
      </c>
      <c r="I116" s="6">
        <f t="shared" si="34"/>
        <v>1.3709858313161423</v>
      </c>
    </row>
    <row r="117" spans="1:10" x14ac:dyDescent="0.25">
      <c r="A117" s="11" t="s">
        <v>21</v>
      </c>
      <c r="B117">
        <v>2004</v>
      </c>
      <c r="C117" s="9">
        <v>32.5</v>
      </c>
      <c r="D117">
        <f t="shared" si="30"/>
        <v>3.7899999999999991</v>
      </c>
      <c r="E117" s="6">
        <f t="shared" si="31"/>
        <v>0.13200975269940773</v>
      </c>
      <c r="F117">
        <v>1.1586638830897704</v>
      </c>
      <c r="G117">
        <f t="shared" si="32"/>
        <v>28.04954954954955</v>
      </c>
      <c r="H117">
        <f t="shared" si="33"/>
        <v>2.601566573975898</v>
      </c>
      <c r="I117" s="6">
        <f t="shared" si="34"/>
        <v>0.10223075740317111</v>
      </c>
    </row>
    <row r="118" spans="1:10" x14ac:dyDescent="0.25">
      <c r="A118" s="11" t="s">
        <v>21</v>
      </c>
      <c r="B118">
        <v>2005</v>
      </c>
      <c r="C118" s="9">
        <v>30.92</v>
      </c>
      <c r="D118">
        <f t="shared" si="30"/>
        <v>-1.5799999999999983</v>
      </c>
      <c r="E118" s="6">
        <f t="shared" si="31"/>
        <v>-4.8615384615384616E-2</v>
      </c>
      <c r="F118">
        <v>1.1979123173277662</v>
      </c>
      <c r="G118">
        <f t="shared" si="32"/>
        <v>25.811571976298364</v>
      </c>
      <c r="H118">
        <f t="shared" si="33"/>
        <v>-2.237977573251186</v>
      </c>
      <c r="I118" s="6">
        <f t="shared" si="34"/>
        <v>-7.9786578008955056E-2</v>
      </c>
    </row>
    <row r="119" spans="1:10" x14ac:dyDescent="0.25">
      <c r="A119" s="11" t="s">
        <v>21</v>
      </c>
      <c r="B119">
        <v>2006</v>
      </c>
      <c r="C119" s="9">
        <v>32.85</v>
      </c>
      <c r="D119">
        <f t="shared" si="30"/>
        <v>1.9299999999999997</v>
      </c>
      <c r="E119" s="6">
        <f t="shared" si="31"/>
        <v>6.2419146183699814E-2</v>
      </c>
      <c r="F119">
        <v>1.2367432150313151</v>
      </c>
      <c r="G119">
        <f t="shared" si="32"/>
        <v>26.561698176907498</v>
      </c>
      <c r="H119">
        <f t="shared" si="33"/>
        <v>0.75012620060913449</v>
      </c>
      <c r="I119" s="6">
        <f t="shared" si="34"/>
        <v>2.9061624038161815E-2</v>
      </c>
    </row>
    <row r="120" spans="1:10" x14ac:dyDescent="0.25">
      <c r="A120" s="11" t="s">
        <v>21</v>
      </c>
      <c r="B120">
        <v>2007</v>
      </c>
      <c r="C120" s="9">
        <v>36.29</v>
      </c>
      <c r="D120">
        <f t="shared" si="30"/>
        <v>3.4399999999999977</v>
      </c>
      <c r="E120" s="6">
        <f t="shared" si="31"/>
        <v>0.10471841704718399</v>
      </c>
      <c r="F120">
        <v>1.2718162839248435</v>
      </c>
      <c r="G120">
        <f t="shared" si="32"/>
        <v>28.533995403808273</v>
      </c>
      <c r="H120">
        <f t="shared" si="33"/>
        <v>1.9722972269007748</v>
      </c>
      <c r="I120" s="6">
        <f t="shared" si="34"/>
        <v>7.4253431153564975E-2</v>
      </c>
    </row>
    <row r="121" spans="1:10" x14ac:dyDescent="0.25">
      <c r="A121" s="11" t="s">
        <v>21</v>
      </c>
      <c r="B121">
        <v>2008</v>
      </c>
      <c r="C121" s="9">
        <v>262.32</v>
      </c>
      <c r="D121">
        <f t="shared" si="30"/>
        <v>226.03</v>
      </c>
      <c r="E121" s="6">
        <f t="shared" si="31"/>
        <v>6.2284375861118768</v>
      </c>
      <c r="F121">
        <v>1.3206680584551149</v>
      </c>
      <c r="G121">
        <f t="shared" si="32"/>
        <v>198.62674675940562</v>
      </c>
      <c r="H121">
        <f t="shared" si="33"/>
        <v>170.09275135559736</v>
      </c>
      <c r="I121" s="6">
        <f t="shared" si="34"/>
        <v>5.9610562400558882</v>
      </c>
    </row>
    <row r="122" spans="1:10" x14ac:dyDescent="0.25">
      <c r="A122" s="11" t="s">
        <v>21</v>
      </c>
      <c r="B122">
        <v>2009</v>
      </c>
      <c r="C122" s="9">
        <v>1.73</v>
      </c>
      <c r="D122">
        <f t="shared" si="30"/>
        <v>-260.58999999999997</v>
      </c>
      <c r="E122" s="6">
        <f t="shared" si="31"/>
        <v>-0.99340500152485511</v>
      </c>
      <c r="F122">
        <v>1.3160751565762003</v>
      </c>
      <c r="G122">
        <f t="shared" si="32"/>
        <v>1.3145145939086296</v>
      </c>
      <c r="H122">
        <f t="shared" si="33"/>
        <v>-197.31223216549699</v>
      </c>
      <c r="I122" s="6">
        <f t="shared" si="34"/>
        <v>-0.99338198598449134</v>
      </c>
    </row>
    <row r="123" spans="1:10" x14ac:dyDescent="0.25">
      <c r="A123" s="11" t="s">
        <v>21</v>
      </c>
      <c r="B123">
        <v>2010</v>
      </c>
      <c r="C123" s="9">
        <v>70.48</v>
      </c>
      <c r="D123">
        <f t="shared" si="30"/>
        <v>68.75</v>
      </c>
      <c r="E123" s="6">
        <f t="shared" si="31"/>
        <v>39.739884393063583</v>
      </c>
      <c r="F123">
        <v>1.3377870563674321</v>
      </c>
      <c r="G123">
        <f t="shared" si="32"/>
        <v>52.684019975031212</v>
      </c>
      <c r="H123">
        <f t="shared" si="33"/>
        <v>51.369505381122586</v>
      </c>
      <c r="I123" s="6">
        <f t="shared" si="34"/>
        <v>39.078687767458305</v>
      </c>
    </row>
    <row r="124" spans="1:10" x14ac:dyDescent="0.25">
      <c r="A124" s="11" t="s">
        <v>21</v>
      </c>
      <c r="B124">
        <v>2011</v>
      </c>
      <c r="C124" s="9">
        <v>159.83000000000001</v>
      </c>
      <c r="D124">
        <f t="shared" si="30"/>
        <v>89.350000000000009</v>
      </c>
      <c r="E124" s="6">
        <f t="shared" si="31"/>
        <v>1.2677355278093079</v>
      </c>
      <c r="F124">
        <v>1.3799582463465554</v>
      </c>
      <c r="G124">
        <f t="shared" si="32"/>
        <v>115.82234493192134</v>
      </c>
      <c r="H124">
        <f t="shared" si="33"/>
        <v>63.138324956890123</v>
      </c>
      <c r="I124" s="6">
        <f t="shared" si="34"/>
        <v>1.1984340790018222</v>
      </c>
    </row>
    <row r="125" spans="1:10" x14ac:dyDescent="0.25">
      <c r="A125" s="11" t="s">
        <v>21</v>
      </c>
      <c r="B125">
        <v>2012</v>
      </c>
      <c r="C125" s="9">
        <v>123.54</v>
      </c>
      <c r="D125">
        <f t="shared" si="30"/>
        <v>-36.290000000000006</v>
      </c>
      <c r="E125" s="6">
        <f t="shared" si="31"/>
        <v>-0.22705374460364136</v>
      </c>
      <c r="F125">
        <v>1.4091858037578289</v>
      </c>
      <c r="G125">
        <f t="shared" si="32"/>
        <v>87.667644444444448</v>
      </c>
      <c r="H125">
        <f t="shared" si="33"/>
        <v>-28.154700487476887</v>
      </c>
      <c r="I125" s="6">
        <f t="shared" si="34"/>
        <v>-0.24308522249334363</v>
      </c>
    </row>
    <row r="126" spans="1:10" x14ac:dyDescent="0.25">
      <c r="A126" s="11" t="s">
        <v>21</v>
      </c>
      <c r="B126">
        <v>2013</v>
      </c>
      <c r="C126" s="9">
        <v>68.63</v>
      </c>
      <c r="D126">
        <f t="shared" si="30"/>
        <v>-54.910000000000011</v>
      </c>
      <c r="E126" s="6">
        <f t="shared" si="31"/>
        <v>-0.44447142625870173</v>
      </c>
      <c r="F126">
        <v>1.4300626304801669</v>
      </c>
      <c r="G126">
        <f t="shared" si="32"/>
        <v>47.990905109489049</v>
      </c>
      <c r="H126">
        <f t="shared" si="33"/>
        <v>-39.6767393349554</v>
      </c>
      <c r="I126" s="6">
        <f t="shared" si="34"/>
        <v>-0.452581332444706</v>
      </c>
    </row>
    <row r="127" spans="1:10" x14ac:dyDescent="0.25">
      <c r="A127" s="11" t="s">
        <v>21</v>
      </c>
      <c r="B127">
        <v>2014</v>
      </c>
      <c r="C127" s="9">
        <v>80.069999999999993</v>
      </c>
      <c r="D127">
        <f t="shared" si="30"/>
        <v>11.439999999999998</v>
      </c>
      <c r="E127" s="6">
        <f t="shared" si="31"/>
        <v>0.16669095147894497</v>
      </c>
      <c r="F127">
        <v>1.4542797494780795</v>
      </c>
      <c r="G127">
        <f t="shared" si="32"/>
        <v>55.05818260120585</v>
      </c>
      <c r="H127">
        <f t="shared" si="33"/>
        <v>7.0672774917168013</v>
      </c>
      <c r="I127" s="6">
        <f t="shared" si="34"/>
        <v>0.14726285065041234</v>
      </c>
    </row>
    <row r="128" spans="1:10" x14ac:dyDescent="0.25">
      <c r="A128" s="12" t="s">
        <v>21</v>
      </c>
      <c r="B128" s="7">
        <v>2015</v>
      </c>
      <c r="C128" s="10">
        <v>87.62</v>
      </c>
      <c r="D128" s="7">
        <f t="shared" si="30"/>
        <v>7.5500000000000114</v>
      </c>
      <c r="E128" s="8">
        <f t="shared" si="31"/>
        <v>9.4292494067691024E-2</v>
      </c>
      <c r="F128" s="7">
        <v>1.4567849686847598</v>
      </c>
      <c r="G128" s="7">
        <f>C128/F128</f>
        <v>60.146145027228442</v>
      </c>
      <c r="H128" s="7">
        <f t="shared" si="33"/>
        <v>5.0879624260225924</v>
      </c>
      <c r="I128" s="8">
        <f t="shared" si="34"/>
        <v>9.2410649709879111E-2</v>
      </c>
    </row>
    <row r="129" spans="1:10" x14ac:dyDescent="0.25">
      <c r="A129" s="11" t="s">
        <v>17</v>
      </c>
      <c r="B129">
        <v>1998</v>
      </c>
      <c r="C129" s="9">
        <v>146</v>
      </c>
      <c r="D129" t="s">
        <v>2</v>
      </c>
      <c r="E129" t="s">
        <v>2</v>
      </c>
      <c r="F129">
        <v>1</v>
      </c>
      <c r="G129">
        <f>C129</f>
        <v>146</v>
      </c>
      <c r="H129" t="s">
        <v>2</v>
      </c>
      <c r="I129" s="6" t="s">
        <v>2</v>
      </c>
      <c r="J129" t="s">
        <v>18</v>
      </c>
    </row>
    <row r="130" spans="1:10" x14ac:dyDescent="0.25">
      <c r="A130" s="11" t="s">
        <v>17</v>
      </c>
      <c r="B130">
        <v>1999</v>
      </c>
      <c r="C130" s="9">
        <v>150</v>
      </c>
      <c r="D130">
        <f>C130-C129</f>
        <v>4</v>
      </c>
      <c r="E130" s="6">
        <f>C130/C129-1</f>
        <v>2.7397260273972712E-2</v>
      </c>
      <c r="F130">
        <v>1.021294363256785</v>
      </c>
      <c r="G130">
        <f>C130/F130</f>
        <v>146.87244480784955</v>
      </c>
      <c r="H130">
        <f>G130-G129</f>
        <v>0.87244480784954703</v>
      </c>
      <c r="I130" s="6">
        <f>G130/G129-1</f>
        <v>5.9756493688325474E-3</v>
      </c>
    </row>
    <row r="131" spans="1:10" x14ac:dyDescent="0.25">
      <c r="A131" s="11" t="s">
        <v>17</v>
      </c>
      <c r="B131">
        <v>2000</v>
      </c>
      <c r="C131" s="9">
        <v>160</v>
      </c>
      <c r="D131">
        <f t="shared" ref="D131:D146" si="35">C131-C130</f>
        <v>10</v>
      </c>
      <c r="E131" s="6">
        <f t="shared" ref="E131:E146" si="36">C131/C130-1</f>
        <v>6.6666666666666652E-2</v>
      </c>
      <c r="F131">
        <v>1.0559498956158664</v>
      </c>
      <c r="G131">
        <f t="shared" ref="G131:G145" si="37">C131/F131</f>
        <v>151.52234084618425</v>
      </c>
      <c r="H131">
        <f t="shared" ref="H131:H146" si="38">G131-G130</f>
        <v>4.6498960383347026</v>
      </c>
      <c r="I131" s="6">
        <f t="shared" ref="I131:I146" si="39">G131/G130-1</f>
        <v>3.1659417424541925E-2</v>
      </c>
      <c r="J131" t="s">
        <v>13</v>
      </c>
    </row>
    <row r="132" spans="1:10" x14ac:dyDescent="0.25">
      <c r="A132" s="11" t="s">
        <v>17</v>
      </c>
      <c r="B132">
        <v>2001</v>
      </c>
      <c r="C132" s="9">
        <v>165</v>
      </c>
      <c r="D132">
        <f t="shared" si="35"/>
        <v>5</v>
      </c>
      <c r="E132" s="6">
        <f t="shared" si="36"/>
        <v>3.125E-2</v>
      </c>
      <c r="F132">
        <v>1.0860125260960336</v>
      </c>
      <c r="G132">
        <f t="shared" si="37"/>
        <v>151.93194925028831</v>
      </c>
      <c r="H132">
        <f t="shared" si="38"/>
        <v>0.40960840410406263</v>
      </c>
      <c r="I132" s="6">
        <f t="shared" si="39"/>
        <v>2.7032871972316741E-3</v>
      </c>
    </row>
    <row r="133" spans="1:10" x14ac:dyDescent="0.25">
      <c r="A133" s="11" t="s">
        <v>17</v>
      </c>
      <c r="B133">
        <v>2002</v>
      </c>
      <c r="C133" s="9">
        <v>150</v>
      </c>
      <c r="D133">
        <f t="shared" si="35"/>
        <v>-15</v>
      </c>
      <c r="E133" s="6">
        <f t="shared" si="36"/>
        <v>-9.0909090909090939E-2</v>
      </c>
      <c r="F133">
        <v>1.1031315240083506</v>
      </c>
      <c r="G133">
        <f t="shared" si="37"/>
        <v>135.97653292959882</v>
      </c>
      <c r="H133">
        <f t="shared" si="38"/>
        <v>-15.955416320689494</v>
      </c>
      <c r="I133" s="6">
        <f t="shared" si="39"/>
        <v>-0.1050168605051266</v>
      </c>
      <c r="J133" t="s">
        <v>58</v>
      </c>
    </row>
    <row r="134" spans="1:10" x14ac:dyDescent="0.25">
      <c r="A134" s="11" t="s">
        <v>17</v>
      </c>
      <c r="B134">
        <v>2003</v>
      </c>
      <c r="C134" s="9">
        <v>175</v>
      </c>
      <c r="D134">
        <f t="shared" si="35"/>
        <v>25</v>
      </c>
      <c r="E134" s="6">
        <f t="shared" si="36"/>
        <v>0.16666666666666674</v>
      </c>
      <c r="F134">
        <v>1.1281837160751564</v>
      </c>
      <c r="G134">
        <f t="shared" si="37"/>
        <v>155.11658031088083</v>
      </c>
      <c r="H134">
        <f t="shared" si="38"/>
        <v>19.140047381282017</v>
      </c>
      <c r="I134" s="6">
        <f t="shared" si="39"/>
        <v>0.14075993091537109</v>
      </c>
    </row>
    <row r="135" spans="1:10" x14ac:dyDescent="0.25">
      <c r="A135" s="11" t="s">
        <v>17</v>
      </c>
      <c r="B135">
        <v>2004</v>
      </c>
      <c r="C135" s="9">
        <v>190</v>
      </c>
      <c r="D135">
        <f t="shared" si="35"/>
        <v>15</v>
      </c>
      <c r="E135" s="6">
        <f t="shared" si="36"/>
        <v>8.5714285714285632E-2</v>
      </c>
      <c r="F135">
        <v>1.1586638830897704</v>
      </c>
      <c r="G135">
        <f t="shared" si="37"/>
        <v>163.98198198198196</v>
      </c>
      <c r="H135">
        <f t="shared" si="38"/>
        <v>8.8654016711011252</v>
      </c>
      <c r="I135" s="6">
        <f t="shared" si="39"/>
        <v>5.7153153153153058E-2</v>
      </c>
    </row>
    <row r="136" spans="1:10" x14ac:dyDescent="0.25">
      <c r="A136" s="11" t="s">
        <v>17</v>
      </c>
      <c r="B136">
        <v>2005</v>
      </c>
      <c r="C136" s="9">
        <v>230</v>
      </c>
      <c r="D136">
        <f t="shared" si="35"/>
        <v>40</v>
      </c>
      <c r="E136" s="6">
        <f t="shared" si="36"/>
        <v>0.21052631578947367</v>
      </c>
      <c r="F136">
        <v>1.1979123173277662</v>
      </c>
      <c r="G136">
        <f t="shared" si="37"/>
        <v>192.00069710700592</v>
      </c>
      <c r="H136">
        <f t="shared" si="38"/>
        <v>28.018715125023959</v>
      </c>
      <c r="I136" s="6">
        <f t="shared" si="39"/>
        <v>0.1708645961365598</v>
      </c>
    </row>
    <row r="137" spans="1:10" x14ac:dyDescent="0.25">
      <c r="A137" s="11" t="s">
        <v>17</v>
      </c>
      <c r="B137">
        <v>2006</v>
      </c>
      <c r="C137" s="9">
        <v>295</v>
      </c>
      <c r="D137">
        <f t="shared" si="35"/>
        <v>65</v>
      </c>
      <c r="E137" s="6">
        <f t="shared" si="36"/>
        <v>0.28260869565217384</v>
      </c>
      <c r="F137">
        <v>1.2367432150313151</v>
      </c>
      <c r="G137">
        <f t="shared" si="37"/>
        <v>238.5297096556381</v>
      </c>
      <c r="H137">
        <f t="shared" si="38"/>
        <v>46.529012548632181</v>
      </c>
      <c r="I137" s="6">
        <f t="shared" si="39"/>
        <v>0.24233772715262902</v>
      </c>
    </row>
    <row r="138" spans="1:10" x14ac:dyDescent="0.25">
      <c r="A138" s="11" t="s">
        <v>17</v>
      </c>
      <c r="B138">
        <v>2007</v>
      </c>
      <c r="C138" s="9">
        <v>320</v>
      </c>
      <c r="D138">
        <f t="shared" si="35"/>
        <v>25</v>
      </c>
      <c r="E138" s="6">
        <f t="shared" si="36"/>
        <v>8.4745762711864403E-2</v>
      </c>
      <c r="F138">
        <v>1.2718162839248435</v>
      </c>
      <c r="G138">
        <f t="shared" si="37"/>
        <v>251.60866710439919</v>
      </c>
      <c r="H138">
        <f t="shared" si="38"/>
        <v>13.078957448761088</v>
      </c>
      <c r="I138" s="6">
        <f t="shared" si="39"/>
        <v>5.4831565709961172E-2</v>
      </c>
    </row>
    <row r="139" spans="1:10" x14ac:dyDescent="0.25">
      <c r="A139" s="11" t="s">
        <v>17</v>
      </c>
      <c r="B139">
        <v>2008</v>
      </c>
      <c r="C139" s="9">
        <v>640</v>
      </c>
      <c r="D139">
        <f t="shared" si="35"/>
        <v>320</v>
      </c>
      <c r="E139" s="6">
        <f t="shared" si="36"/>
        <v>1</v>
      </c>
      <c r="F139">
        <v>1.3206680584551149</v>
      </c>
      <c r="G139">
        <f t="shared" si="37"/>
        <v>484.60322478659498</v>
      </c>
      <c r="H139">
        <f t="shared" si="38"/>
        <v>232.99455768219579</v>
      </c>
      <c r="I139" s="6">
        <f t="shared" si="39"/>
        <v>0.92601960164400898</v>
      </c>
    </row>
    <row r="140" spans="1:10" x14ac:dyDescent="0.25">
      <c r="A140" s="11" t="s">
        <v>17</v>
      </c>
      <c r="B140">
        <v>2009</v>
      </c>
      <c r="C140" s="9">
        <v>870</v>
      </c>
      <c r="D140">
        <f t="shared" si="35"/>
        <v>230</v>
      </c>
      <c r="E140" s="6">
        <f t="shared" si="36"/>
        <v>0.359375</v>
      </c>
      <c r="F140">
        <v>1.3160751565762003</v>
      </c>
      <c r="G140">
        <f t="shared" si="37"/>
        <v>661.05647208121832</v>
      </c>
      <c r="H140">
        <f t="shared" si="38"/>
        <v>176.45324729462334</v>
      </c>
      <c r="I140" s="6">
        <f t="shared" si="39"/>
        <v>0.36411901173857886</v>
      </c>
    </row>
    <row r="141" spans="1:10" x14ac:dyDescent="0.25">
      <c r="A141" s="11" t="s">
        <v>17</v>
      </c>
      <c r="B141">
        <v>2010</v>
      </c>
      <c r="C141" s="9">
        <v>880</v>
      </c>
      <c r="D141">
        <f t="shared" si="35"/>
        <v>10</v>
      </c>
      <c r="E141" s="6">
        <f t="shared" si="36"/>
        <v>1.1494252873563315E-2</v>
      </c>
      <c r="F141">
        <v>1.3377870563674321</v>
      </c>
      <c r="G141">
        <f t="shared" si="37"/>
        <v>657.80274656679148</v>
      </c>
      <c r="H141">
        <f t="shared" si="38"/>
        <v>-3.2537255144268329</v>
      </c>
      <c r="I141" s="6">
        <f t="shared" si="39"/>
        <v>-4.9220084090290106E-3</v>
      </c>
    </row>
    <row r="142" spans="1:10" x14ac:dyDescent="0.25">
      <c r="A142" s="11" t="s">
        <v>17</v>
      </c>
      <c r="B142">
        <v>2011</v>
      </c>
      <c r="C142" s="9">
        <v>730</v>
      </c>
      <c r="D142">
        <f t="shared" si="35"/>
        <v>-150</v>
      </c>
      <c r="E142" s="6">
        <f t="shared" si="36"/>
        <v>-0.17045454545454541</v>
      </c>
      <c r="F142">
        <v>1.3799582463465554</v>
      </c>
      <c r="G142">
        <f t="shared" si="37"/>
        <v>529.00151285930406</v>
      </c>
      <c r="H142">
        <f t="shared" si="38"/>
        <v>-128.80123370748743</v>
      </c>
      <c r="I142" s="6">
        <f t="shared" si="39"/>
        <v>-0.19580525374776514</v>
      </c>
    </row>
    <row r="143" spans="1:10" x14ac:dyDescent="0.25">
      <c r="A143" s="11" t="s">
        <v>17</v>
      </c>
      <c r="B143">
        <v>2012</v>
      </c>
      <c r="C143" s="9">
        <v>710</v>
      </c>
      <c r="D143">
        <f t="shared" si="35"/>
        <v>-20</v>
      </c>
      <c r="E143" s="6">
        <f t="shared" si="36"/>
        <v>-2.7397260273972601E-2</v>
      </c>
      <c r="F143">
        <v>1.4091858037578289</v>
      </c>
      <c r="G143">
        <f t="shared" si="37"/>
        <v>503.83703703703702</v>
      </c>
      <c r="H143">
        <f t="shared" si="38"/>
        <v>-25.164475822267036</v>
      </c>
      <c r="I143" s="6">
        <f t="shared" si="39"/>
        <v>-4.7569761542364253E-2</v>
      </c>
    </row>
    <row r="144" spans="1:10" x14ac:dyDescent="0.25">
      <c r="A144" s="11" t="s">
        <v>17</v>
      </c>
      <c r="B144">
        <v>2013</v>
      </c>
      <c r="C144" s="9">
        <v>640</v>
      </c>
      <c r="D144">
        <f t="shared" si="35"/>
        <v>-70</v>
      </c>
      <c r="E144" s="6">
        <f t="shared" si="36"/>
        <v>-9.8591549295774628E-2</v>
      </c>
      <c r="F144">
        <v>1.4300626304801669</v>
      </c>
      <c r="G144">
        <f t="shared" si="37"/>
        <v>447.5328467153285</v>
      </c>
      <c r="H144">
        <f t="shared" si="38"/>
        <v>-56.304190321708518</v>
      </c>
      <c r="I144" s="6">
        <f t="shared" si="39"/>
        <v>-0.11175079675131072</v>
      </c>
    </row>
    <row r="145" spans="1:10" x14ac:dyDescent="0.25">
      <c r="A145" s="11" t="s">
        <v>17</v>
      </c>
      <c r="B145">
        <v>2014</v>
      </c>
      <c r="C145" s="9">
        <v>580</v>
      </c>
      <c r="D145">
        <f t="shared" si="35"/>
        <v>-60</v>
      </c>
      <c r="E145" s="6">
        <f t="shared" si="36"/>
        <v>-9.375E-2</v>
      </c>
      <c r="F145">
        <v>1.4542797494780795</v>
      </c>
      <c r="G145">
        <f t="shared" si="37"/>
        <v>398.82285386161351</v>
      </c>
      <c r="H145">
        <f t="shared" si="38"/>
        <v>-48.709992853714994</v>
      </c>
      <c r="I145" s="6">
        <f t="shared" si="39"/>
        <v>-0.1088411570485216</v>
      </c>
    </row>
    <row r="146" spans="1:10" x14ac:dyDescent="0.25">
      <c r="A146" s="12" t="s">
        <v>17</v>
      </c>
      <c r="B146" s="7">
        <v>2015</v>
      </c>
      <c r="C146" s="10">
        <v>595</v>
      </c>
      <c r="D146" s="7">
        <f t="shared" si="35"/>
        <v>15</v>
      </c>
      <c r="E146" s="8">
        <f t="shared" si="36"/>
        <v>2.5862068965517349E-2</v>
      </c>
      <c r="F146" s="7">
        <v>1.4567849686847598</v>
      </c>
      <c r="G146" s="7">
        <f>C146/F146</f>
        <v>408.43364860991693</v>
      </c>
      <c r="H146" s="7">
        <f t="shared" si="38"/>
        <v>9.6107947483034195</v>
      </c>
      <c r="I146" s="8">
        <f t="shared" si="39"/>
        <v>2.4097903756634453E-2</v>
      </c>
    </row>
    <row r="147" spans="1:10" x14ac:dyDescent="0.25">
      <c r="A147" s="11" t="s">
        <v>23</v>
      </c>
      <c r="B147">
        <v>1998</v>
      </c>
      <c r="C147" s="9">
        <f>5.38</f>
        <v>5.38</v>
      </c>
      <c r="D147" t="s">
        <v>2</v>
      </c>
      <c r="E147" t="s">
        <v>2</v>
      </c>
      <c r="F147">
        <v>1</v>
      </c>
      <c r="G147">
        <f>C147</f>
        <v>5.38</v>
      </c>
      <c r="H147" t="s">
        <v>2</v>
      </c>
      <c r="I147" s="6" t="s">
        <v>2</v>
      </c>
      <c r="J147" t="s">
        <v>25</v>
      </c>
    </row>
    <row r="148" spans="1:10" x14ac:dyDescent="0.25">
      <c r="A148" s="11" t="s">
        <v>23</v>
      </c>
      <c r="B148">
        <v>1999</v>
      </c>
      <c r="C148" s="9">
        <f>5.35</f>
        <v>5.35</v>
      </c>
      <c r="D148">
        <f>C148-C147</f>
        <v>-3.0000000000000249E-2</v>
      </c>
      <c r="E148" s="6">
        <f>C148/C147-1</f>
        <v>-5.5762081784387352E-3</v>
      </c>
      <c r="F148">
        <v>1.021294363256785</v>
      </c>
      <c r="G148">
        <f>C148/F148</f>
        <v>5.238450531479967</v>
      </c>
      <c r="H148">
        <f>G148-G147</f>
        <v>-0.14154946852003292</v>
      </c>
      <c r="I148" s="6">
        <f>G148/G147-1</f>
        <v>-2.6310310133835113E-2</v>
      </c>
    </row>
    <row r="149" spans="1:10" x14ac:dyDescent="0.25">
      <c r="A149" s="11" t="s">
        <v>23</v>
      </c>
      <c r="B149">
        <v>2000</v>
      </c>
      <c r="C149" s="9">
        <f>5.39</f>
        <v>5.39</v>
      </c>
      <c r="D149">
        <f t="shared" ref="D149:D164" si="40">C149-C148</f>
        <v>4.0000000000000036E-2</v>
      </c>
      <c r="E149" s="6">
        <f t="shared" ref="E149:E164" si="41">C149/C148-1</f>
        <v>7.4766355140187812E-3</v>
      </c>
      <c r="F149">
        <v>1.0559498956158664</v>
      </c>
      <c r="G149">
        <f t="shared" ref="G149:G163" si="42">C149/F149</f>
        <v>5.1044088572558319</v>
      </c>
      <c r="H149">
        <f t="shared" ref="H149:H164" si="43">G149-G148</f>
        <v>-0.13404167422413504</v>
      </c>
      <c r="I149" s="6">
        <f t="shared" ref="I149:I164" si="44">G149/G148-1</f>
        <v>-2.5588038565721782E-2</v>
      </c>
      <c r="J149" t="s">
        <v>13</v>
      </c>
    </row>
    <row r="150" spans="1:10" x14ac:dyDescent="0.25">
      <c r="A150" s="11" t="s">
        <v>23</v>
      </c>
      <c r="B150">
        <v>2001</v>
      </c>
      <c r="C150" s="9">
        <v>5.57</v>
      </c>
      <c r="D150">
        <f t="shared" si="40"/>
        <v>0.1800000000000006</v>
      </c>
      <c r="E150" s="6">
        <f t="shared" si="41"/>
        <v>3.3395176252319247E-2</v>
      </c>
      <c r="F150">
        <v>1.0860125260960336</v>
      </c>
      <c r="G150">
        <f t="shared" si="42"/>
        <v>5.1288542868127633</v>
      </c>
      <c r="H150">
        <f t="shared" si="43"/>
        <v>2.4445429556931408E-2</v>
      </c>
      <c r="I150" s="6">
        <f t="shared" si="44"/>
        <v>4.7890814079640798E-3</v>
      </c>
    </row>
    <row r="151" spans="1:10" x14ac:dyDescent="0.25">
      <c r="A151" s="11" t="s">
        <v>23</v>
      </c>
      <c r="B151">
        <v>2002</v>
      </c>
      <c r="C151" s="9">
        <f>5.71</f>
        <v>5.71</v>
      </c>
      <c r="D151">
        <f t="shared" si="40"/>
        <v>0.13999999999999968</v>
      </c>
      <c r="E151" s="6">
        <f t="shared" si="41"/>
        <v>2.5134649910233398E-2</v>
      </c>
      <c r="F151">
        <v>1.1031315240083506</v>
      </c>
      <c r="G151">
        <f t="shared" si="42"/>
        <v>5.1761733535200616</v>
      </c>
      <c r="H151">
        <f t="shared" si="43"/>
        <v>4.7319066707298241E-2</v>
      </c>
      <c r="I151" s="6">
        <f t="shared" si="44"/>
        <v>9.2260501198024869E-3</v>
      </c>
      <c r="J151" t="s">
        <v>58</v>
      </c>
    </row>
    <row r="152" spans="1:10" x14ac:dyDescent="0.25">
      <c r="A152" s="11" t="s">
        <v>23</v>
      </c>
      <c r="B152">
        <v>2003</v>
      </c>
      <c r="C152" s="9">
        <f>5.98</f>
        <v>5.98</v>
      </c>
      <c r="D152">
        <f t="shared" si="40"/>
        <v>0.27000000000000046</v>
      </c>
      <c r="E152" s="6">
        <f t="shared" si="41"/>
        <v>4.7285464098073549E-2</v>
      </c>
      <c r="F152">
        <v>1.1281837160751564</v>
      </c>
      <c r="G152">
        <f t="shared" si="42"/>
        <v>5.3005551443375287</v>
      </c>
      <c r="H152">
        <f t="shared" si="43"/>
        <v>0.12438179081746714</v>
      </c>
      <c r="I152" s="6">
        <f t="shared" si="44"/>
        <v>2.4029680291306477E-2</v>
      </c>
    </row>
    <row r="153" spans="1:10" x14ac:dyDescent="0.25">
      <c r="A153" s="11" t="s">
        <v>23</v>
      </c>
      <c r="B153">
        <v>2004</v>
      </c>
      <c r="C153" s="9">
        <v>6.01</v>
      </c>
      <c r="D153">
        <f t="shared" si="40"/>
        <v>2.9999999999999361E-2</v>
      </c>
      <c r="E153" s="6">
        <f t="shared" si="41"/>
        <v>5.0167224080266415E-3</v>
      </c>
      <c r="F153">
        <v>1.1586638830897704</v>
      </c>
      <c r="G153">
        <f t="shared" si="42"/>
        <v>5.1870090090090084</v>
      </c>
      <c r="H153">
        <f t="shared" si="43"/>
        <v>-0.11354613532852031</v>
      </c>
      <c r="I153" s="6">
        <f t="shared" si="44"/>
        <v>-2.1421555334599107E-2</v>
      </c>
    </row>
    <row r="154" spans="1:10" x14ac:dyDescent="0.25">
      <c r="A154" s="11" t="s">
        <v>23</v>
      </c>
      <c r="B154">
        <v>2005</v>
      </c>
      <c r="C154" s="9">
        <v>7.26</v>
      </c>
      <c r="D154">
        <f t="shared" si="40"/>
        <v>1.25</v>
      </c>
      <c r="E154" s="6">
        <f t="shared" si="41"/>
        <v>0.20798668885191351</v>
      </c>
      <c r="F154">
        <v>1.1979123173277662</v>
      </c>
      <c r="G154">
        <f t="shared" si="42"/>
        <v>6.0605437434646214</v>
      </c>
      <c r="H154">
        <f t="shared" si="43"/>
        <v>0.87353473445561303</v>
      </c>
      <c r="I154" s="6">
        <f t="shared" si="44"/>
        <v>0.16840817761033811</v>
      </c>
    </row>
    <row r="155" spans="1:10" x14ac:dyDescent="0.25">
      <c r="A155" s="11" t="s">
        <v>23</v>
      </c>
      <c r="B155">
        <v>2006</v>
      </c>
      <c r="C155" s="9">
        <v>8.02</v>
      </c>
      <c r="D155">
        <f t="shared" si="40"/>
        <v>0.75999999999999979</v>
      </c>
      <c r="E155" s="6">
        <f t="shared" si="41"/>
        <v>0.10468319559228645</v>
      </c>
      <c r="F155">
        <v>1.2367432150313151</v>
      </c>
      <c r="G155">
        <f t="shared" si="42"/>
        <v>6.484773801485483</v>
      </c>
      <c r="H155">
        <f t="shared" si="43"/>
        <v>0.42423005802086156</v>
      </c>
      <c r="I155" s="6">
        <f t="shared" si="44"/>
        <v>6.9998679322846202E-2</v>
      </c>
    </row>
    <row r="156" spans="1:10" x14ac:dyDescent="0.25">
      <c r="A156" s="11" t="s">
        <v>23</v>
      </c>
      <c r="B156">
        <v>2007</v>
      </c>
      <c r="C156" s="9">
        <v>8.7200000000000006</v>
      </c>
      <c r="D156">
        <f t="shared" si="40"/>
        <v>0.70000000000000107</v>
      </c>
      <c r="E156" s="6">
        <f t="shared" si="41"/>
        <v>8.7281795511222171E-2</v>
      </c>
      <c r="F156">
        <v>1.2718162839248435</v>
      </c>
      <c r="G156">
        <f t="shared" si="42"/>
        <v>6.8563361785948791</v>
      </c>
      <c r="H156">
        <f t="shared" si="43"/>
        <v>0.3715623771093961</v>
      </c>
      <c r="I156" s="6">
        <f t="shared" si="44"/>
        <v>5.7297661951490442E-2</v>
      </c>
    </row>
    <row r="157" spans="1:10" x14ac:dyDescent="0.25">
      <c r="A157" s="11" t="s">
        <v>23</v>
      </c>
      <c r="B157">
        <v>2008</v>
      </c>
      <c r="C157" s="9">
        <v>9.61</v>
      </c>
      <c r="D157">
        <f t="shared" si="40"/>
        <v>0.88999999999999879</v>
      </c>
      <c r="E157" s="6">
        <f t="shared" si="41"/>
        <v>0.10206422018348604</v>
      </c>
      <c r="F157">
        <v>1.3206680584551149</v>
      </c>
      <c r="G157">
        <f t="shared" si="42"/>
        <v>7.2766202971862146</v>
      </c>
      <c r="H157">
        <f t="shared" si="43"/>
        <v>0.42028411859133552</v>
      </c>
      <c r="I157" s="6">
        <f t="shared" si="44"/>
        <v>6.1298645171956379E-2</v>
      </c>
    </row>
    <row r="158" spans="1:10" x14ac:dyDescent="0.25">
      <c r="A158" s="11" t="s">
        <v>23</v>
      </c>
      <c r="B158">
        <v>2009</v>
      </c>
      <c r="C158" s="9">
        <v>9.92</v>
      </c>
      <c r="D158">
        <f t="shared" si="40"/>
        <v>0.3100000000000005</v>
      </c>
      <c r="E158" s="6">
        <f t="shared" si="41"/>
        <v>3.2258064516129004E-2</v>
      </c>
      <c r="F158">
        <v>1.3160751565762003</v>
      </c>
      <c r="G158">
        <f t="shared" si="42"/>
        <v>7.5375634517766503</v>
      </c>
      <c r="H158">
        <f t="shared" si="43"/>
        <v>0.26094315459043571</v>
      </c>
      <c r="I158" s="6">
        <f t="shared" si="44"/>
        <v>3.5860487964630927E-2</v>
      </c>
    </row>
    <row r="159" spans="1:10" x14ac:dyDescent="0.25">
      <c r="A159" s="11" t="s">
        <v>23</v>
      </c>
      <c r="B159">
        <v>2010</v>
      </c>
      <c r="C159" s="9">
        <v>10.02</v>
      </c>
      <c r="D159">
        <f t="shared" si="40"/>
        <v>9.9999999999999645E-2</v>
      </c>
      <c r="E159" s="6">
        <f t="shared" si="41"/>
        <v>1.0080645161290258E-2</v>
      </c>
      <c r="F159">
        <v>1.3377870563674321</v>
      </c>
      <c r="G159">
        <f t="shared" si="42"/>
        <v>7.4899812734082394</v>
      </c>
      <c r="H159">
        <f t="shared" si="43"/>
        <v>-4.7582178368410943E-2</v>
      </c>
      <c r="I159" s="6">
        <f t="shared" si="44"/>
        <v>-6.3126736740366507E-3</v>
      </c>
    </row>
    <row r="160" spans="1:10" x14ac:dyDescent="0.25">
      <c r="A160" s="11" t="s">
        <v>23</v>
      </c>
      <c r="B160">
        <v>2011</v>
      </c>
      <c r="C160" s="9">
        <v>10.62</v>
      </c>
      <c r="D160">
        <f t="shared" si="40"/>
        <v>0.59999999999999964</v>
      </c>
      <c r="E160" s="6">
        <f t="shared" si="41"/>
        <v>5.9880239520958112E-2</v>
      </c>
      <c r="F160">
        <v>1.3799582463465554</v>
      </c>
      <c r="G160">
        <f t="shared" si="42"/>
        <v>7.695885022692889</v>
      </c>
      <c r="H160">
        <f t="shared" si="43"/>
        <v>0.20590374928464961</v>
      </c>
      <c r="I160" s="6">
        <f t="shared" si="44"/>
        <v>2.7490555953146645E-2</v>
      </c>
    </row>
    <row r="161" spans="1:10" x14ac:dyDescent="0.25">
      <c r="A161" s="11" t="s">
        <v>23</v>
      </c>
      <c r="B161">
        <v>2012</v>
      </c>
      <c r="C161" s="9">
        <v>10.16</v>
      </c>
      <c r="D161">
        <f t="shared" si="40"/>
        <v>-0.45999999999999908</v>
      </c>
      <c r="E161" s="6">
        <f t="shared" si="41"/>
        <v>-4.3314500941619483E-2</v>
      </c>
      <c r="F161">
        <v>1.4091858037578289</v>
      </c>
      <c r="G161">
        <f t="shared" si="42"/>
        <v>7.2098370370370368</v>
      </c>
      <c r="H161">
        <f t="shared" si="43"/>
        <v>-0.48604798565585217</v>
      </c>
      <c r="I161" s="6">
        <f t="shared" si="44"/>
        <v>-6.315686684801558E-2</v>
      </c>
    </row>
    <row r="162" spans="1:10" x14ac:dyDescent="0.25">
      <c r="A162" s="11" t="s">
        <v>23</v>
      </c>
      <c r="B162">
        <v>2013</v>
      </c>
      <c r="C162" s="9">
        <v>10.38</v>
      </c>
      <c r="D162">
        <f t="shared" si="40"/>
        <v>0.22000000000000064</v>
      </c>
      <c r="E162" s="6">
        <f t="shared" si="41"/>
        <v>2.1653543307086576E-2</v>
      </c>
      <c r="F162">
        <v>1.4300626304801669</v>
      </c>
      <c r="G162">
        <f t="shared" si="42"/>
        <v>7.2584233576642347</v>
      </c>
      <c r="H162">
        <f t="shared" si="43"/>
        <v>4.8586320627197921E-2</v>
      </c>
      <c r="I162" s="6">
        <f t="shared" si="44"/>
        <v>6.7388930398299962E-3</v>
      </c>
    </row>
    <row r="163" spans="1:10" x14ac:dyDescent="0.25">
      <c r="A163" s="11" t="s">
        <v>23</v>
      </c>
      <c r="B163">
        <v>2014</v>
      </c>
      <c r="C163" s="9">
        <v>10.86</v>
      </c>
      <c r="D163">
        <f t="shared" si="40"/>
        <v>0.47999999999999865</v>
      </c>
      <c r="E163" s="6">
        <f t="shared" si="41"/>
        <v>4.6242774566473965E-2</v>
      </c>
      <c r="F163">
        <v>1.4542797494780795</v>
      </c>
      <c r="G163">
        <f t="shared" si="42"/>
        <v>7.4676141257536592</v>
      </c>
      <c r="H163">
        <f t="shared" si="43"/>
        <v>0.20919076808942449</v>
      </c>
      <c r="I163" s="6">
        <f t="shared" si="44"/>
        <v>2.8820414266486516E-2</v>
      </c>
    </row>
    <row r="164" spans="1:10" x14ac:dyDescent="0.25">
      <c r="A164" s="12" t="s">
        <v>23</v>
      </c>
      <c r="B164" s="7">
        <v>2015</v>
      </c>
      <c r="C164" s="10">
        <v>11.31</v>
      </c>
      <c r="D164" s="7">
        <f t="shared" si="40"/>
        <v>0.45000000000000107</v>
      </c>
      <c r="E164" s="8">
        <f t="shared" si="41"/>
        <v>4.1436464088397962E-2</v>
      </c>
      <c r="F164" s="7">
        <v>1.4567849686847598</v>
      </c>
      <c r="G164" s="7">
        <f>C164/F164</f>
        <v>7.7636715391229592</v>
      </c>
      <c r="H164" s="7">
        <f t="shared" si="43"/>
        <v>0.29605741336929992</v>
      </c>
      <c r="I164" s="8">
        <f t="shared" si="44"/>
        <v>3.9645515740868609E-2</v>
      </c>
    </row>
    <row r="165" spans="1:10" x14ac:dyDescent="0.25">
      <c r="A165" s="11" t="s">
        <v>26</v>
      </c>
      <c r="B165">
        <v>1998</v>
      </c>
      <c r="C165" s="9">
        <v>75.5</v>
      </c>
      <c r="D165" t="s">
        <v>2</v>
      </c>
      <c r="E165" t="s">
        <v>2</v>
      </c>
      <c r="F165">
        <v>1</v>
      </c>
      <c r="G165">
        <f>C165</f>
        <v>75.5</v>
      </c>
      <c r="H165" t="s">
        <v>2</v>
      </c>
      <c r="I165" s="6" t="s">
        <v>2</v>
      </c>
      <c r="J165" t="s">
        <v>27</v>
      </c>
    </row>
    <row r="166" spans="1:10" x14ac:dyDescent="0.25">
      <c r="A166" s="11" t="s">
        <v>26</v>
      </c>
      <c r="B166">
        <v>1999</v>
      </c>
      <c r="C166" s="9">
        <v>96.5</v>
      </c>
      <c r="D166">
        <f>C166-C165</f>
        <v>21</v>
      </c>
      <c r="E166" s="6">
        <f>C166/C165-1</f>
        <v>0.2781456953642385</v>
      </c>
      <c r="F166">
        <v>1.021294363256785</v>
      </c>
      <c r="G166">
        <f>C166/F166</f>
        <v>94.487939493049879</v>
      </c>
      <c r="H166">
        <f>G166-G165</f>
        <v>18.987939493049879</v>
      </c>
      <c r="I166" s="6">
        <f>G166/G165-1</f>
        <v>0.25149588732516404</v>
      </c>
    </row>
    <row r="167" spans="1:10" x14ac:dyDescent="0.25">
      <c r="A167" s="11" t="s">
        <v>26</v>
      </c>
      <c r="B167">
        <v>2000</v>
      </c>
      <c r="C167" s="9">
        <v>94</v>
      </c>
      <c r="D167">
        <f t="shared" ref="D167:D182" si="45">C167-C166</f>
        <v>-2.5</v>
      </c>
      <c r="E167" s="6">
        <f t="shared" ref="E167:E182" si="46">C167/C166-1</f>
        <v>-2.5906735751295318E-2</v>
      </c>
      <c r="F167">
        <v>1.0559498956158664</v>
      </c>
      <c r="G167">
        <f t="shared" ref="G167:G181" si="47">C167/F167</f>
        <v>89.019375247133254</v>
      </c>
      <c r="H167">
        <f t="shared" ref="H167:H182" si="48">G167-G166</f>
        <v>-5.4685642459166246</v>
      </c>
      <c r="I167" s="6">
        <f t="shared" ref="I167:I182" si="49">G167/G166-1</f>
        <v>-5.7875791082510286E-2</v>
      </c>
      <c r="J167" t="s">
        <v>13</v>
      </c>
    </row>
    <row r="168" spans="1:10" x14ac:dyDescent="0.25">
      <c r="A168" s="11" t="s">
        <v>26</v>
      </c>
      <c r="B168">
        <v>2001</v>
      </c>
      <c r="C168" s="9">
        <v>100</v>
      </c>
      <c r="D168">
        <f t="shared" si="45"/>
        <v>6</v>
      </c>
      <c r="E168" s="6">
        <f t="shared" si="46"/>
        <v>6.3829787234042534E-2</v>
      </c>
      <c r="F168">
        <v>1.0860125260960336</v>
      </c>
      <c r="G168">
        <f t="shared" si="47"/>
        <v>92.079969242598978</v>
      </c>
      <c r="H168">
        <f t="shared" si="48"/>
        <v>3.0605939954657231</v>
      </c>
      <c r="I168" s="6">
        <f t="shared" si="49"/>
        <v>3.4381211808878431E-2</v>
      </c>
    </row>
    <row r="169" spans="1:10" x14ac:dyDescent="0.25">
      <c r="A169" s="11" t="s">
        <v>26</v>
      </c>
      <c r="B169">
        <v>2002</v>
      </c>
      <c r="C169" s="9">
        <v>92.5</v>
      </c>
      <c r="D169">
        <f t="shared" si="45"/>
        <v>-7.5</v>
      </c>
      <c r="E169" s="6">
        <f t="shared" si="46"/>
        <v>-7.4999999999999956E-2</v>
      </c>
      <c r="F169">
        <v>1.1031315240083506</v>
      </c>
      <c r="G169">
        <f t="shared" si="47"/>
        <v>83.852195306585926</v>
      </c>
      <c r="H169">
        <f t="shared" si="48"/>
        <v>-8.2277739360130511</v>
      </c>
      <c r="I169" s="6">
        <f t="shared" si="49"/>
        <v>-8.9354655563966379E-2</v>
      </c>
      <c r="J169" t="s">
        <v>58</v>
      </c>
    </row>
    <row r="170" spans="1:10" x14ac:dyDescent="0.25">
      <c r="A170" s="11" t="s">
        <v>26</v>
      </c>
      <c r="B170">
        <v>2003</v>
      </c>
      <c r="C170" s="9">
        <v>90</v>
      </c>
      <c r="D170">
        <f t="shared" si="45"/>
        <v>-2.5</v>
      </c>
      <c r="E170" s="6">
        <f t="shared" si="46"/>
        <v>-2.7027027027026973E-2</v>
      </c>
      <c r="F170">
        <v>1.1281837160751564</v>
      </c>
      <c r="G170">
        <f t="shared" si="47"/>
        <v>79.774241302738716</v>
      </c>
      <c r="H170">
        <f t="shared" si="48"/>
        <v>-4.0779540038472106</v>
      </c>
      <c r="I170" s="6">
        <f t="shared" si="49"/>
        <v>-4.8632644487566767E-2</v>
      </c>
    </row>
    <row r="171" spans="1:10" x14ac:dyDescent="0.25">
      <c r="A171" s="11" t="s">
        <v>26</v>
      </c>
      <c r="B171">
        <v>2004</v>
      </c>
      <c r="C171" s="9">
        <v>81</v>
      </c>
      <c r="D171">
        <f t="shared" si="45"/>
        <v>-9</v>
      </c>
      <c r="E171" s="6">
        <f t="shared" si="46"/>
        <v>-9.9999999999999978E-2</v>
      </c>
      <c r="F171">
        <v>1.1586638830897704</v>
      </c>
      <c r="G171">
        <f t="shared" si="47"/>
        <v>69.908108108108109</v>
      </c>
      <c r="H171">
        <f t="shared" si="48"/>
        <v>-9.8661331946306063</v>
      </c>
      <c r="I171" s="6">
        <f t="shared" si="49"/>
        <v>-0.12367567567567572</v>
      </c>
    </row>
    <row r="172" spans="1:10" x14ac:dyDescent="0.25">
      <c r="A172" s="11" t="s">
        <v>26</v>
      </c>
      <c r="B172">
        <v>2005</v>
      </c>
      <c r="C172" s="9">
        <v>80</v>
      </c>
      <c r="D172">
        <f t="shared" si="45"/>
        <v>-1</v>
      </c>
      <c r="E172" s="6">
        <f t="shared" si="46"/>
        <v>-1.2345679012345734E-2</v>
      </c>
      <c r="F172">
        <v>1.1979123173277662</v>
      </c>
      <c r="G172">
        <f t="shared" si="47"/>
        <v>66.782851167654243</v>
      </c>
      <c r="H172">
        <f t="shared" si="48"/>
        <v>-3.1252569404538662</v>
      </c>
      <c r="I172" s="6">
        <f t="shared" si="49"/>
        <v>-4.4705214102216395E-2</v>
      </c>
    </row>
    <row r="173" spans="1:10" x14ac:dyDescent="0.25">
      <c r="A173" s="11" t="s">
        <v>26</v>
      </c>
      <c r="B173">
        <v>2006</v>
      </c>
      <c r="C173" s="9">
        <v>80</v>
      </c>
      <c r="D173">
        <f t="shared" si="45"/>
        <v>0</v>
      </c>
      <c r="E173" s="6">
        <f t="shared" si="46"/>
        <v>0</v>
      </c>
      <c r="F173">
        <v>1.2367432150313151</v>
      </c>
      <c r="G173">
        <f t="shared" si="47"/>
        <v>64.686022957461176</v>
      </c>
      <c r="H173">
        <f t="shared" si="48"/>
        <v>-2.0968282101930669</v>
      </c>
      <c r="I173" s="6">
        <f t="shared" si="49"/>
        <v>-3.1397704253882663E-2</v>
      </c>
    </row>
    <row r="174" spans="1:10" x14ac:dyDescent="0.25">
      <c r="A174" s="11" t="s">
        <v>26</v>
      </c>
      <c r="B174">
        <v>2007</v>
      </c>
      <c r="C174" s="9">
        <v>80</v>
      </c>
      <c r="D174">
        <f t="shared" si="45"/>
        <v>0</v>
      </c>
      <c r="E174" s="6">
        <f t="shared" si="46"/>
        <v>0</v>
      </c>
      <c r="F174">
        <v>1.2718162839248435</v>
      </c>
      <c r="G174">
        <f t="shared" si="47"/>
        <v>62.902166776099797</v>
      </c>
      <c r="H174">
        <f t="shared" si="48"/>
        <v>-1.7838561813613794</v>
      </c>
      <c r="I174" s="6">
        <f t="shared" si="49"/>
        <v>-2.757715036112951E-2</v>
      </c>
    </row>
    <row r="175" spans="1:10" x14ac:dyDescent="0.25">
      <c r="A175" s="11" t="s">
        <v>26</v>
      </c>
      <c r="B175">
        <v>2008</v>
      </c>
      <c r="C175" s="9">
        <v>110.5</v>
      </c>
      <c r="D175">
        <f t="shared" si="45"/>
        <v>30.5</v>
      </c>
      <c r="E175" s="6">
        <f t="shared" si="46"/>
        <v>0.38125000000000009</v>
      </c>
      <c r="F175">
        <v>1.3206680584551149</v>
      </c>
      <c r="G175">
        <f t="shared" si="47"/>
        <v>83.669775529560539</v>
      </c>
      <c r="H175">
        <f t="shared" si="48"/>
        <v>20.767608753460742</v>
      </c>
      <c r="I175" s="6">
        <f t="shared" si="49"/>
        <v>0.33015728738539374</v>
      </c>
    </row>
    <row r="176" spans="1:10" x14ac:dyDescent="0.25">
      <c r="A176" s="11" t="s">
        <v>26</v>
      </c>
      <c r="B176">
        <v>2009</v>
      </c>
      <c r="C176" s="9">
        <v>72.5</v>
      </c>
      <c r="D176">
        <f t="shared" si="45"/>
        <v>-38</v>
      </c>
      <c r="E176" s="6">
        <f t="shared" si="46"/>
        <v>-0.34389140271493213</v>
      </c>
      <c r="F176">
        <v>1.3160751565762003</v>
      </c>
      <c r="G176">
        <f t="shared" si="47"/>
        <v>55.088039340101524</v>
      </c>
      <c r="H176">
        <f t="shared" si="48"/>
        <v>-28.581736189459015</v>
      </c>
      <c r="I176" s="6">
        <f t="shared" si="49"/>
        <v>-0.34160168362542198</v>
      </c>
    </row>
    <row r="177" spans="1:10" x14ac:dyDescent="0.25">
      <c r="A177" s="11" t="s">
        <v>26</v>
      </c>
      <c r="B177">
        <v>2010</v>
      </c>
      <c r="C177" s="9">
        <v>75</v>
      </c>
      <c r="D177">
        <f t="shared" si="45"/>
        <v>2.5</v>
      </c>
      <c r="E177" s="6">
        <f t="shared" si="46"/>
        <v>3.4482758620689724E-2</v>
      </c>
      <c r="F177">
        <v>1.3377870563674321</v>
      </c>
      <c r="G177">
        <f t="shared" si="47"/>
        <v>56.062734082397007</v>
      </c>
      <c r="H177">
        <f t="shared" si="48"/>
        <v>0.97469474229548325</v>
      </c>
      <c r="I177" s="6">
        <f t="shared" si="49"/>
        <v>1.7693400490765843E-2</v>
      </c>
    </row>
    <row r="178" spans="1:10" x14ac:dyDescent="0.25">
      <c r="A178" s="11" t="s">
        <v>26</v>
      </c>
      <c r="B178">
        <v>2011</v>
      </c>
      <c r="C178" s="9">
        <v>195</v>
      </c>
      <c r="D178">
        <f t="shared" si="45"/>
        <v>120</v>
      </c>
      <c r="E178" s="6">
        <f t="shared" si="46"/>
        <v>1.6</v>
      </c>
      <c r="F178">
        <v>1.3799582463465554</v>
      </c>
      <c r="G178">
        <f t="shared" si="47"/>
        <v>141.30862329803327</v>
      </c>
      <c r="H178">
        <f t="shared" si="48"/>
        <v>85.245889215636254</v>
      </c>
      <c r="I178" s="6">
        <f t="shared" si="49"/>
        <v>1.52054462934947</v>
      </c>
    </row>
    <row r="179" spans="1:10" x14ac:dyDescent="0.25">
      <c r="A179" s="11" t="s">
        <v>26</v>
      </c>
      <c r="B179">
        <v>2012</v>
      </c>
      <c r="C179" s="9">
        <v>300</v>
      </c>
      <c r="D179">
        <f t="shared" si="45"/>
        <v>105</v>
      </c>
      <c r="E179" s="6">
        <f t="shared" si="46"/>
        <v>0.53846153846153855</v>
      </c>
      <c r="F179">
        <v>1.4091858037578289</v>
      </c>
      <c r="G179">
        <f t="shared" si="47"/>
        <v>212.88888888888889</v>
      </c>
      <c r="H179">
        <f t="shared" si="48"/>
        <v>71.580265590855618</v>
      </c>
      <c r="I179" s="6">
        <f t="shared" si="49"/>
        <v>0.50655270655270668</v>
      </c>
    </row>
    <row r="180" spans="1:10" x14ac:dyDescent="0.25">
      <c r="A180" s="11" t="s">
        <v>26</v>
      </c>
      <c r="B180">
        <v>2013</v>
      </c>
      <c r="C180" s="9">
        <v>265</v>
      </c>
      <c r="D180">
        <f t="shared" si="45"/>
        <v>-35</v>
      </c>
      <c r="E180" s="6">
        <f t="shared" si="46"/>
        <v>-0.1166666666666667</v>
      </c>
      <c r="F180">
        <v>1.4300626304801669</v>
      </c>
      <c r="G180">
        <f t="shared" si="47"/>
        <v>185.30656934306572</v>
      </c>
      <c r="H180">
        <f t="shared" si="48"/>
        <v>-27.582319545823168</v>
      </c>
      <c r="I180" s="6">
        <f t="shared" si="49"/>
        <v>-0.12956204379562031</v>
      </c>
    </row>
    <row r="181" spans="1:10" x14ac:dyDescent="0.25">
      <c r="A181" s="11" t="s">
        <v>26</v>
      </c>
      <c r="B181">
        <v>2014</v>
      </c>
      <c r="C181" s="9">
        <v>157.5</v>
      </c>
      <c r="D181">
        <f t="shared" si="45"/>
        <v>-107.5</v>
      </c>
      <c r="E181" s="6">
        <f t="shared" si="46"/>
        <v>-0.40566037735849059</v>
      </c>
      <c r="F181">
        <v>1.4542797494780795</v>
      </c>
      <c r="G181">
        <f t="shared" si="47"/>
        <v>108.30103359173125</v>
      </c>
      <c r="H181">
        <f t="shared" si="48"/>
        <v>-77.005535751334463</v>
      </c>
      <c r="I181" s="6">
        <f t="shared" si="49"/>
        <v>-0.41555750572863359</v>
      </c>
    </row>
    <row r="182" spans="1:10" x14ac:dyDescent="0.25">
      <c r="A182" s="12" t="s">
        <v>26</v>
      </c>
      <c r="B182" s="7">
        <v>2015</v>
      </c>
      <c r="C182" s="10">
        <v>110</v>
      </c>
      <c r="D182" s="7">
        <f t="shared" si="45"/>
        <v>-47.5</v>
      </c>
      <c r="E182" s="8">
        <f t="shared" si="46"/>
        <v>-0.30158730158730163</v>
      </c>
      <c r="F182" s="7">
        <v>1.4567849686847598</v>
      </c>
      <c r="G182" s="7">
        <f>C182/F182</f>
        <v>75.508741759816573</v>
      </c>
      <c r="H182" s="7">
        <f t="shared" si="48"/>
        <v>-32.792291831914682</v>
      </c>
      <c r="I182" s="8">
        <f t="shared" si="49"/>
        <v>-0.30278835523891401</v>
      </c>
    </row>
    <row r="183" spans="1:10" x14ac:dyDescent="0.25">
      <c r="A183" s="11" t="s">
        <v>29</v>
      </c>
      <c r="B183">
        <v>1998</v>
      </c>
      <c r="C183" s="9">
        <f>4.65*2.20462</f>
        <v>10.251483</v>
      </c>
      <c r="D183" t="s">
        <v>2</v>
      </c>
      <c r="E183" t="s">
        <v>2</v>
      </c>
      <c r="F183">
        <v>1</v>
      </c>
      <c r="G183">
        <f>C183</f>
        <v>10.251483</v>
      </c>
      <c r="H183" t="s">
        <v>2</v>
      </c>
      <c r="I183" s="6" t="s">
        <v>2</v>
      </c>
      <c r="J183" t="s">
        <v>28</v>
      </c>
    </row>
    <row r="184" spans="1:10" x14ac:dyDescent="0.25">
      <c r="A184" s="11" t="s">
        <v>29</v>
      </c>
      <c r="B184">
        <v>1999</v>
      </c>
      <c r="C184" s="9">
        <f>2.075*2.20462</f>
        <v>4.5745864999999997</v>
      </c>
      <c r="D184">
        <f>C184-C183</f>
        <v>-5.6768965000000007</v>
      </c>
      <c r="E184" s="6">
        <f>C184/C183-1</f>
        <v>-0.55376344086021512</v>
      </c>
      <c r="F184">
        <v>1.021294363256785</v>
      </c>
      <c r="G184">
        <f>C184/F184</f>
        <v>4.4792046882665568</v>
      </c>
      <c r="H184">
        <f>G184-G183</f>
        <v>-5.7722783117334435</v>
      </c>
      <c r="I184" s="6">
        <f>G184/G183-1</f>
        <v>-0.56306763730998166</v>
      </c>
    </row>
    <row r="185" spans="1:10" x14ac:dyDescent="0.25">
      <c r="A185" s="11" t="s">
        <v>29</v>
      </c>
      <c r="B185">
        <v>2000</v>
      </c>
      <c r="C185" s="9">
        <f>2.15*2.20462</f>
        <v>4.7399329999999997</v>
      </c>
      <c r="D185">
        <f t="shared" ref="D185:D200" si="50">C185-C184</f>
        <v>0.16534650000000006</v>
      </c>
      <c r="E185" s="6">
        <f t="shared" ref="E185:E200" si="51">C185/C184-1</f>
        <v>3.6144578313253017E-2</v>
      </c>
      <c r="F185">
        <v>1.0559498956158664</v>
      </c>
      <c r="G185">
        <f t="shared" ref="G185:G199" si="52">C185/F185</f>
        <v>4.4887858975879791</v>
      </c>
      <c r="H185">
        <f t="shared" ref="H185:H200" si="53">G185-G184</f>
        <v>9.5812093214222571E-3</v>
      </c>
      <c r="I185" s="6">
        <f t="shared" ref="I185:I200" si="54">G185/G184-1</f>
        <v>2.1390425283578374E-3</v>
      </c>
      <c r="J185" t="s">
        <v>13</v>
      </c>
    </row>
    <row r="186" spans="1:10" x14ac:dyDescent="0.25">
      <c r="A186" s="11" t="s">
        <v>29</v>
      </c>
      <c r="B186">
        <v>2001</v>
      </c>
      <c r="C186" s="9">
        <f>1.3*2.20462</f>
        <v>2.8660060000000001</v>
      </c>
      <c r="D186">
        <f t="shared" si="50"/>
        <v>-1.8739269999999997</v>
      </c>
      <c r="E186" s="6">
        <f t="shared" si="51"/>
        <v>-0.39534883720930225</v>
      </c>
      <c r="F186">
        <v>1.0860125260960336</v>
      </c>
      <c r="G186">
        <f t="shared" si="52"/>
        <v>2.6390174432910416</v>
      </c>
      <c r="H186">
        <f t="shared" si="53"/>
        <v>-1.8497684542969375</v>
      </c>
      <c r="I186" s="6">
        <f t="shared" si="54"/>
        <v>-0.41208658566025591</v>
      </c>
    </row>
    <row r="187" spans="1:10" x14ac:dyDescent="0.25">
      <c r="A187" s="11" t="s">
        <v>29</v>
      </c>
      <c r="B187">
        <v>2002</v>
      </c>
      <c r="C187" s="9">
        <f>1.475*2.20462</f>
        <v>3.2518145000000001</v>
      </c>
      <c r="D187">
        <f t="shared" si="50"/>
        <v>0.3858085</v>
      </c>
      <c r="E187" s="6">
        <f t="shared" si="51"/>
        <v>0.13461538461538458</v>
      </c>
      <c r="F187">
        <v>1.1031315240083506</v>
      </c>
      <c r="G187">
        <f t="shared" si="52"/>
        <v>2.9478030762679794</v>
      </c>
      <c r="H187">
        <f t="shared" si="53"/>
        <v>0.30878563297693784</v>
      </c>
      <c r="I187" s="6">
        <f t="shared" si="54"/>
        <v>0.11700780294648605</v>
      </c>
      <c r="J187" t="s">
        <v>43</v>
      </c>
    </row>
    <row r="188" spans="1:10" x14ac:dyDescent="0.25">
      <c r="A188" s="11" t="s">
        <v>29</v>
      </c>
      <c r="B188">
        <v>2003</v>
      </c>
      <c r="C188" s="9">
        <f>2.15*2.20462</f>
        <v>4.7399329999999997</v>
      </c>
      <c r="D188">
        <f t="shared" si="50"/>
        <v>1.4881184999999997</v>
      </c>
      <c r="E188" s="6">
        <f t="shared" si="51"/>
        <v>0.45762711864406769</v>
      </c>
      <c r="F188">
        <v>1.1281837160751564</v>
      </c>
      <c r="G188">
        <f t="shared" si="52"/>
        <v>4.2013839877868246</v>
      </c>
      <c r="H188">
        <f t="shared" si="53"/>
        <v>1.2535809115188452</v>
      </c>
      <c r="I188" s="6">
        <f t="shared" si="54"/>
        <v>0.42525938099838134</v>
      </c>
    </row>
    <row r="189" spans="1:10" x14ac:dyDescent="0.25">
      <c r="A189" s="11" t="s">
        <v>29</v>
      </c>
      <c r="B189">
        <v>2004</v>
      </c>
      <c r="C189" s="9">
        <f>6.275*2.20462</f>
        <v>13.833990499999999</v>
      </c>
      <c r="D189">
        <f t="shared" si="50"/>
        <v>9.0940574999999981</v>
      </c>
      <c r="E189" s="6">
        <f t="shared" si="51"/>
        <v>1.9186046511627906</v>
      </c>
      <c r="F189">
        <v>1.1586638830897704</v>
      </c>
      <c r="G189">
        <f t="shared" si="52"/>
        <v>11.939606215315314</v>
      </c>
      <c r="H189">
        <f t="shared" si="53"/>
        <v>7.7382222275284889</v>
      </c>
      <c r="I189" s="6">
        <f t="shared" si="54"/>
        <v>1.8418269432222916</v>
      </c>
    </row>
    <row r="190" spans="1:10" x14ac:dyDescent="0.25">
      <c r="A190" s="11" t="s">
        <v>29</v>
      </c>
      <c r="B190">
        <v>2005</v>
      </c>
      <c r="C190" s="9">
        <f>17.25*2.20462</f>
        <v>38.029694999999997</v>
      </c>
      <c r="D190">
        <f t="shared" si="50"/>
        <v>24.195704499999998</v>
      </c>
      <c r="E190" s="6">
        <f t="shared" si="51"/>
        <v>1.7490039840637452</v>
      </c>
      <c r="F190">
        <v>1.1979123173277662</v>
      </c>
      <c r="G190">
        <f t="shared" si="52"/>
        <v>31.746643264203552</v>
      </c>
      <c r="H190">
        <f t="shared" si="53"/>
        <v>19.80703704888824</v>
      </c>
      <c r="I190" s="6">
        <f t="shared" si="54"/>
        <v>1.6589355370431833</v>
      </c>
    </row>
    <row r="191" spans="1:10" x14ac:dyDescent="0.25">
      <c r="A191" s="11" t="s">
        <v>29</v>
      </c>
      <c r="B191">
        <v>2006</v>
      </c>
      <c r="C191" s="9">
        <f>8.2*2.20462</f>
        <v>18.077883999999997</v>
      </c>
      <c r="D191">
        <f t="shared" si="50"/>
        <v>-19.951810999999999</v>
      </c>
      <c r="E191" s="6">
        <f t="shared" si="51"/>
        <v>-0.52463768115942033</v>
      </c>
      <c r="F191">
        <v>1.2367432150313151</v>
      </c>
      <c r="G191">
        <f t="shared" si="52"/>
        <v>14.617330243079</v>
      </c>
      <c r="H191">
        <f t="shared" si="53"/>
        <v>-17.129313021124553</v>
      </c>
      <c r="I191" s="6">
        <f t="shared" si="54"/>
        <v>-0.53956296665981662</v>
      </c>
    </row>
    <row r="192" spans="1:10" x14ac:dyDescent="0.25">
      <c r="A192" s="11" t="s">
        <v>29</v>
      </c>
      <c r="B192">
        <v>2007</v>
      </c>
      <c r="C192" s="9">
        <f>7.005*2.20462</f>
        <v>15.443363099999999</v>
      </c>
      <c r="D192">
        <f t="shared" si="50"/>
        <v>-2.6345208999999983</v>
      </c>
      <c r="E192" s="6">
        <f t="shared" si="51"/>
        <v>-0.14573170731707308</v>
      </c>
      <c r="F192">
        <v>1.2718162839248435</v>
      </c>
      <c r="G192">
        <f t="shared" si="52"/>
        <v>12.142762516250819</v>
      </c>
      <c r="H192">
        <f t="shared" si="53"/>
        <v>-2.4745677268281803</v>
      </c>
      <c r="I192" s="6">
        <f t="shared" si="54"/>
        <v>-0.16928999247313559</v>
      </c>
    </row>
    <row r="193" spans="1:10" x14ac:dyDescent="0.25">
      <c r="A193" s="11" t="s">
        <v>29</v>
      </c>
      <c r="B193">
        <v>2008</v>
      </c>
      <c r="C193" s="9">
        <f>12.8*2.20462</f>
        <v>28.219135999999999</v>
      </c>
      <c r="D193">
        <f t="shared" si="50"/>
        <v>12.7757729</v>
      </c>
      <c r="E193" s="6">
        <f t="shared" si="51"/>
        <v>0.827266238401142</v>
      </c>
      <c r="F193">
        <v>1.3206680584551149</v>
      </c>
      <c r="G193">
        <f t="shared" si="52"/>
        <v>21.36731922858046</v>
      </c>
      <c r="H193">
        <f t="shared" si="53"/>
        <v>9.2245567123296404</v>
      </c>
      <c r="I193" s="6">
        <f t="shared" si="54"/>
        <v>0.75967529629145703</v>
      </c>
    </row>
    <row r="194" spans="1:10" x14ac:dyDescent="0.25">
      <c r="A194" s="11" t="s">
        <v>29</v>
      </c>
      <c r="B194">
        <v>2009</v>
      </c>
      <c r="C194" s="9">
        <f>5.6*2.20462</f>
        <v>12.345871999999998</v>
      </c>
      <c r="D194">
        <f t="shared" si="50"/>
        <v>-15.873264000000001</v>
      </c>
      <c r="E194" s="6">
        <f t="shared" si="51"/>
        <v>-0.5625</v>
      </c>
      <c r="F194">
        <v>1.3160751565762003</v>
      </c>
      <c r="G194">
        <f t="shared" si="52"/>
        <v>9.3808259644670038</v>
      </c>
      <c r="H194">
        <f t="shared" si="53"/>
        <v>-11.986493264113456</v>
      </c>
      <c r="I194" s="6">
        <f t="shared" si="54"/>
        <v>-0.56097319162436543</v>
      </c>
    </row>
    <row r="195" spans="1:10" x14ac:dyDescent="0.25">
      <c r="A195" s="11" t="s">
        <v>29</v>
      </c>
      <c r="B195">
        <v>2010</v>
      </c>
      <c r="C195" s="9">
        <f>6.925*2.20462</f>
        <v>15.266993499999998</v>
      </c>
      <c r="D195">
        <f t="shared" si="50"/>
        <v>2.9211214999999999</v>
      </c>
      <c r="E195" s="6">
        <f t="shared" si="51"/>
        <v>0.23660714285714279</v>
      </c>
      <c r="F195">
        <v>1.3377870563674321</v>
      </c>
      <c r="G195">
        <f t="shared" si="52"/>
        <v>11.412125291042447</v>
      </c>
      <c r="H195">
        <f t="shared" si="53"/>
        <v>2.0312993265754429</v>
      </c>
      <c r="I195" s="6">
        <f t="shared" si="54"/>
        <v>0.21653736400927426</v>
      </c>
    </row>
    <row r="196" spans="1:10" x14ac:dyDescent="0.25">
      <c r="A196" s="11" t="s">
        <v>29</v>
      </c>
      <c r="B196">
        <v>2011</v>
      </c>
      <c r="C196" s="9">
        <f>6.7615*2.20462</f>
        <v>14.906538129999998</v>
      </c>
      <c r="D196">
        <f t="shared" si="50"/>
        <v>-0.36045537000000039</v>
      </c>
      <c r="E196" s="6">
        <f t="shared" si="51"/>
        <v>-2.3610108303249167E-2</v>
      </c>
      <c r="F196">
        <v>1.3799582463465554</v>
      </c>
      <c r="G196">
        <f t="shared" si="52"/>
        <v>10.802166057897123</v>
      </c>
      <c r="H196">
        <f t="shared" si="53"/>
        <v>-0.60995923314532341</v>
      </c>
      <c r="I196" s="6">
        <f t="shared" si="54"/>
        <v>-5.3448347051016865E-2</v>
      </c>
    </row>
    <row r="197" spans="1:10" x14ac:dyDescent="0.25">
      <c r="A197" s="11" t="s">
        <v>29</v>
      </c>
      <c r="B197">
        <v>2012</v>
      </c>
      <c r="C197" s="9">
        <f>6.4965*2.20462</f>
        <v>14.322313829999999</v>
      </c>
      <c r="D197">
        <f t="shared" si="50"/>
        <v>-0.58422429999999892</v>
      </c>
      <c r="E197" s="6">
        <f t="shared" si="51"/>
        <v>-3.9192486874214283E-2</v>
      </c>
      <c r="F197">
        <v>1.4091858037578289</v>
      </c>
      <c r="G197">
        <f t="shared" si="52"/>
        <v>10.163538258622221</v>
      </c>
      <c r="H197">
        <f t="shared" si="53"/>
        <v>-0.63862779927490188</v>
      </c>
      <c r="I197" s="6">
        <f t="shared" si="54"/>
        <v>-5.9120346405711954E-2</v>
      </c>
    </row>
    <row r="198" spans="1:10" x14ac:dyDescent="0.25">
      <c r="A198" s="11" t="s">
        <v>29</v>
      </c>
      <c r="B198">
        <v>2013</v>
      </c>
      <c r="C198" s="9">
        <f>6.035*2.20462</f>
        <v>13.304881699999999</v>
      </c>
      <c r="D198">
        <f t="shared" si="50"/>
        <v>-1.0174321299999995</v>
      </c>
      <c r="E198" s="6">
        <f t="shared" si="51"/>
        <v>-7.1038251366120186E-2</v>
      </c>
      <c r="F198">
        <v>1.4300626304801669</v>
      </c>
      <c r="G198">
        <f t="shared" si="52"/>
        <v>9.303705597518249</v>
      </c>
      <c r="H198">
        <f t="shared" si="53"/>
        <v>-0.85983266110397238</v>
      </c>
      <c r="I198" s="6">
        <f t="shared" si="54"/>
        <v>-8.4599736747636545E-2</v>
      </c>
    </row>
    <row r="199" spans="1:10" x14ac:dyDescent="0.25">
      <c r="A199" s="11" t="s">
        <v>29</v>
      </c>
      <c r="B199">
        <v>2014</v>
      </c>
      <c r="C199" s="9">
        <f>5.6095*2.20462</f>
        <v>12.366815889999998</v>
      </c>
      <c r="D199">
        <f t="shared" si="50"/>
        <v>-0.93806581000000122</v>
      </c>
      <c r="E199" s="6">
        <f t="shared" si="51"/>
        <v>-7.0505385252692676E-2</v>
      </c>
      <c r="F199">
        <v>1.4542797494780795</v>
      </c>
      <c r="G199">
        <f t="shared" si="52"/>
        <v>8.5037393214326702</v>
      </c>
      <c r="H199">
        <f t="shared" si="53"/>
        <v>-0.7999662760855788</v>
      </c>
      <c r="I199" s="6">
        <f t="shared" si="54"/>
        <v>-8.5983618860314026E-2</v>
      </c>
    </row>
    <row r="200" spans="1:10" x14ac:dyDescent="0.25">
      <c r="A200" s="12" t="s">
        <v>29</v>
      </c>
      <c r="B200" s="7">
        <v>2015</v>
      </c>
      <c r="C200" s="10">
        <f>3.9825*2.20462</f>
        <v>8.7798991499999985</v>
      </c>
      <c r="D200" s="7">
        <f t="shared" si="50"/>
        <v>-3.5869167399999995</v>
      </c>
      <c r="E200" s="8">
        <f t="shared" si="51"/>
        <v>-0.29004367590694358</v>
      </c>
      <c r="F200" s="7">
        <v>1.4567849686847598</v>
      </c>
      <c r="G200" s="7">
        <f>C200/F200</f>
        <v>6.0269012508598445</v>
      </c>
      <c r="H200" s="7">
        <f t="shared" si="53"/>
        <v>-2.4768380705728257</v>
      </c>
      <c r="I200" s="8">
        <f t="shared" si="54"/>
        <v>-0.29126458102146291</v>
      </c>
    </row>
    <row r="201" spans="1:10" x14ac:dyDescent="0.25">
      <c r="A201" s="11" t="s">
        <v>30</v>
      </c>
      <c r="B201">
        <v>1998</v>
      </c>
      <c r="C201" s="9">
        <v>68</v>
      </c>
      <c r="D201" t="s">
        <v>2</v>
      </c>
      <c r="E201" t="s">
        <v>2</v>
      </c>
      <c r="F201">
        <v>1</v>
      </c>
      <c r="G201">
        <f>C201</f>
        <v>68</v>
      </c>
      <c r="H201" t="s">
        <v>2</v>
      </c>
      <c r="I201" s="6" t="s">
        <v>2</v>
      </c>
      <c r="J201" t="s">
        <v>31</v>
      </c>
    </row>
    <row r="202" spans="1:10" x14ac:dyDescent="0.25">
      <c r="A202" s="11" t="s">
        <v>30</v>
      </c>
      <c r="B202">
        <v>1999</v>
      </c>
      <c r="C202" s="9">
        <v>63</v>
      </c>
      <c r="D202">
        <f>C202-C201</f>
        <v>-5</v>
      </c>
      <c r="E202" s="6">
        <f>C202/C201-1</f>
        <v>-7.3529411764705843E-2</v>
      </c>
      <c r="F202">
        <v>1.021294363256785</v>
      </c>
      <c r="G202">
        <f>C202/F202</f>
        <v>61.686426819296805</v>
      </c>
      <c r="H202">
        <f>G202-G201</f>
        <v>-6.3135731807031945</v>
      </c>
      <c r="I202" s="6">
        <f>G202/G201-1</f>
        <v>-9.2846664422105762E-2</v>
      </c>
    </row>
    <row r="203" spans="1:10" x14ac:dyDescent="0.25">
      <c r="A203" s="11" t="s">
        <v>30</v>
      </c>
      <c r="B203">
        <v>2000</v>
      </c>
      <c r="C203" s="9">
        <v>64</v>
      </c>
      <c r="D203">
        <f t="shared" ref="D203:D218" si="55">C203-C202</f>
        <v>1</v>
      </c>
      <c r="E203" s="6">
        <f t="shared" ref="E203:E218" si="56">C203/C202-1</f>
        <v>1.5873015873015817E-2</v>
      </c>
      <c r="F203">
        <v>1.0559498956158664</v>
      </c>
      <c r="G203">
        <f t="shared" ref="G203:G217" si="57">C203/F203</f>
        <v>60.608936338473704</v>
      </c>
      <c r="H203">
        <f t="shared" ref="H203:H218" si="58">G203-G202</f>
        <v>-1.0774904808231014</v>
      </c>
      <c r="I203" s="6">
        <f t="shared" ref="I203:I218" si="59">G203/G202-1</f>
        <v>-1.7467221500436114E-2</v>
      </c>
      <c r="J203" t="s">
        <v>13</v>
      </c>
    </row>
    <row r="204" spans="1:10" x14ac:dyDescent="0.25">
      <c r="A204" s="11" t="s">
        <v>30</v>
      </c>
      <c r="B204">
        <v>2001</v>
      </c>
      <c r="C204" s="9">
        <v>61</v>
      </c>
      <c r="D204">
        <f t="shared" si="55"/>
        <v>-3</v>
      </c>
      <c r="E204" s="6">
        <f t="shared" si="56"/>
        <v>-4.6875E-2</v>
      </c>
      <c r="F204">
        <v>1.0860125260960336</v>
      </c>
      <c r="G204">
        <f t="shared" si="57"/>
        <v>56.168781237985378</v>
      </c>
      <c r="H204">
        <f t="shared" si="58"/>
        <v>-4.440155100488326</v>
      </c>
      <c r="I204" s="6">
        <f t="shared" si="59"/>
        <v>-7.3259083044982853E-2</v>
      </c>
    </row>
    <row r="205" spans="1:10" x14ac:dyDescent="0.25">
      <c r="A205" s="11" t="s">
        <v>30</v>
      </c>
      <c r="B205">
        <v>2002</v>
      </c>
      <c r="C205" s="9">
        <v>60</v>
      </c>
      <c r="D205">
        <f t="shared" si="55"/>
        <v>-1</v>
      </c>
      <c r="E205" s="6">
        <f t="shared" si="56"/>
        <v>-1.6393442622950838E-2</v>
      </c>
      <c r="F205">
        <v>1.1031315240083506</v>
      </c>
      <c r="G205">
        <f t="shared" si="57"/>
        <v>54.390613171839526</v>
      </c>
      <c r="H205">
        <f t="shared" si="58"/>
        <v>-1.7781680661458523</v>
      </c>
      <c r="I205" s="6">
        <f t="shared" si="59"/>
        <v>-3.1657586776038582E-2</v>
      </c>
      <c r="J205" t="s">
        <v>58</v>
      </c>
    </row>
    <row r="206" spans="1:10" x14ac:dyDescent="0.25">
      <c r="A206" s="11" t="s">
        <v>30</v>
      </c>
      <c r="B206">
        <v>2003</v>
      </c>
      <c r="C206" s="9">
        <v>54</v>
      </c>
      <c r="D206">
        <f t="shared" si="55"/>
        <v>-6</v>
      </c>
      <c r="E206" s="6">
        <f t="shared" si="56"/>
        <v>-9.9999999999999978E-2</v>
      </c>
      <c r="F206">
        <v>1.1281837160751564</v>
      </c>
      <c r="G206">
        <f t="shared" si="57"/>
        <v>47.864544781643232</v>
      </c>
      <c r="H206">
        <f t="shared" si="58"/>
        <v>-6.5260683901962935</v>
      </c>
      <c r="I206" s="6">
        <f t="shared" si="59"/>
        <v>-0.11998519615099934</v>
      </c>
    </row>
    <row r="207" spans="1:10" x14ac:dyDescent="0.25">
      <c r="A207" s="11" t="s">
        <v>30</v>
      </c>
      <c r="B207">
        <v>2004</v>
      </c>
      <c r="C207" s="9">
        <v>114</v>
      </c>
      <c r="D207">
        <f t="shared" si="55"/>
        <v>60</v>
      </c>
      <c r="E207" s="6">
        <f t="shared" si="56"/>
        <v>1.1111111111111112</v>
      </c>
      <c r="F207">
        <v>1.1586638830897704</v>
      </c>
      <c r="G207">
        <f t="shared" si="57"/>
        <v>98.389189189189182</v>
      </c>
      <c r="H207">
        <f t="shared" si="58"/>
        <v>50.524644407545949</v>
      </c>
      <c r="I207" s="6">
        <f t="shared" si="59"/>
        <v>1.0555755755755754</v>
      </c>
    </row>
    <row r="208" spans="1:10" x14ac:dyDescent="0.25">
      <c r="A208" s="11" t="s">
        <v>30</v>
      </c>
      <c r="B208">
        <v>2005</v>
      </c>
      <c r="C208" s="9">
        <v>140</v>
      </c>
      <c r="D208">
        <f t="shared" si="55"/>
        <v>26</v>
      </c>
      <c r="E208" s="6">
        <f t="shared" si="56"/>
        <v>0.22807017543859653</v>
      </c>
      <c r="F208">
        <v>1.1979123173277662</v>
      </c>
      <c r="G208">
        <f t="shared" si="57"/>
        <v>116.86998954339491</v>
      </c>
      <c r="H208">
        <f t="shared" si="58"/>
        <v>18.480800354205726</v>
      </c>
      <c r="I208" s="6">
        <f t="shared" si="59"/>
        <v>0.1878336482544809</v>
      </c>
    </row>
    <row r="209" spans="1:10" x14ac:dyDescent="0.25">
      <c r="A209" s="11" t="s">
        <v>30</v>
      </c>
      <c r="B209">
        <v>2006</v>
      </c>
      <c r="C209" s="9">
        <v>141</v>
      </c>
      <c r="D209">
        <f t="shared" si="55"/>
        <v>1</v>
      </c>
      <c r="E209" s="6">
        <f t="shared" si="56"/>
        <v>7.1428571428571175E-3</v>
      </c>
      <c r="F209">
        <v>1.2367432150313151</v>
      </c>
      <c r="G209">
        <f t="shared" si="57"/>
        <v>114.00911546252533</v>
      </c>
      <c r="H209">
        <f t="shared" si="58"/>
        <v>-2.8608740808695785</v>
      </c>
      <c r="I209" s="6">
        <f t="shared" si="59"/>
        <v>-2.4479116427124414E-2</v>
      </c>
    </row>
    <row r="210" spans="1:10" x14ac:dyDescent="0.25">
      <c r="A210" s="11" t="s">
        <v>30</v>
      </c>
      <c r="B210">
        <v>2007</v>
      </c>
      <c r="C210" s="9">
        <v>244</v>
      </c>
      <c r="D210">
        <f t="shared" si="55"/>
        <v>103</v>
      </c>
      <c r="E210" s="6">
        <f t="shared" si="56"/>
        <v>0.73049645390070927</v>
      </c>
      <c r="F210">
        <v>1.2718162839248435</v>
      </c>
      <c r="G210">
        <f t="shared" si="57"/>
        <v>191.85160866710439</v>
      </c>
      <c r="H210">
        <f t="shared" si="58"/>
        <v>77.842493204579057</v>
      </c>
      <c r="I210" s="6">
        <f t="shared" si="59"/>
        <v>0.68277429299208792</v>
      </c>
    </row>
    <row r="211" spans="1:10" x14ac:dyDescent="0.25">
      <c r="A211" s="11" t="s">
        <v>30</v>
      </c>
      <c r="B211">
        <v>2008</v>
      </c>
      <c r="C211" s="9">
        <v>348</v>
      </c>
      <c r="D211">
        <f t="shared" si="55"/>
        <v>104</v>
      </c>
      <c r="E211" s="6">
        <f t="shared" si="56"/>
        <v>0.42622950819672134</v>
      </c>
      <c r="F211">
        <v>1.3206680584551149</v>
      </c>
      <c r="G211">
        <f t="shared" si="57"/>
        <v>263.50300347771099</v>
      </c>
      <c r="H211">
        <f t="shared" si="58"/>
        <v>71.651394810606604</v>
      </c>
      <c r="I211" s="6">
        <f t="shared" si="59"/>
        <v>0.37347299461498973</v>
      </c>
    </row>
    <row r="212" spans="1:10" x14ac:dyDescent="0.25">
      <c r="A212" s="11" t="s">
        <v>30</v>
      </c>
      <c r="B212">
        <v>2009</v>
      </c>
      <c r="C212" s="9">
        <v>158</v>
      </c>
      <c r="D212">
        <f t="shared" si="55"/>
        <v>-190</v>
      </c>
      <c r="E212" s="6">
        <f t="shared" si="56"/>
        <v>-0.54597701149425282</v>
      </c>
      <c r="F212">
        <v>1.3160751565762003</v>
      </c>
      <c r="G212">
        <f t="shared" si="57"/>
        <v>120.05393401015229</v>
      </c>
      <c r="H212">
        <f t="shared" si="58"/>
        <v>-143.4490694675587</v>
      </c>
      <c r="I212" s="6">
        <f t="shared" si="59"/>
        <v>-0.54439254040492435</v>
      </c>
    </row>
    <row r="213" spans="1:10" x14ac:dyDescent="0.25">
      <c r="A213" s="11" t="s">
        <v>30</v>
      </c>
      <c r="B213">
        <v>2010</v>
      </c>
      <c r="C213" s="9">
        <v>208</v>
      </c>
      <c r="D213">
        <f t="shared" si="55"/>
        <v>50</v>
      </c>
      <c r="E213" s="6">
        <f t="shared" si="56"/>
        <v>0.31645569620253156</v>
      </c>
      <c r="F213">
        <v>1.3377870563674321</v>
      </c>
      <c r="G213">
        <f t="shared" si="57"/>
        <v>155.48064918851435</v>
      </c>
      <c r="H213">
        <f t="shared" si="58"/>
        <v>35.426715178362059</v>
      </c>
      <c r="I213" s="6">
        <f t="shared" si="59"/>
        <v>0.29508999826166638</v>
      </c>
    </row>
    <row r="214" spans="1:10" x14ac:dyDescent="0.25">
      <c r="A214" s="11" t="s">
        <v>30</v>
      </c>
      <c r="B214">
        <v>2011</v>
      </c>
      <c r="C214" s="9">
        <v>216</v>
      </c>
      <c r="D214">
        <f t="shared" si="55"/>
        <v>8</v>
      </c>
      <c r="E214" s="6">
        <f t="shared" si="56"/>
        <v>3.8461538461538547E-2</v>
      </c>
      <c r="F214">
        <v>1.3799582463465554</v>
      </c>
      <c r="G214">
        <f t="shared" si="57"/>
        <v>156.52647503782148</v>
      </c>
      <c r="H214">
        <f t="shared" si="58"/>
        <v>1.0458258493071355</v>
      </c>
      <c r="I214" s="6">
        <f t="shared" si="59"/>
        <v>6.7264052135460606E-3</v>
      </c>
    </row>
    <row r="215" spans="1:10" x14ac:dyDescent="0.25">
      <c r="A215" s="11" t="s">
        <v>30</v>
      </c>
      <c r="B215">
        <v>2012</v>
      </c>
      <c r="C215" s="9">
        <v>168</v>
      </c>
      <c r="D215">
        <f t="shared" si="55"/>
        <v>-48</v>
      </c>
      <c r="E215" s="6">
        <f t="shared" si="56"/>
        <v>-0.22222222222222221</v>
      </c>
      <c r="F215">
        <v>1.4091858037578289</v>
      </c>
      <c r="G215">
        <f t="shared" si="57"/>
        <v>119.21777777777777</v>
      </c>
      <c r="H215">
        <f t="shared" si="58"/>
        <v>-37.308697260043715</v>
      </c>
      <c r="I215" s="6">
        <f t="shared" si="59"/>
        <v>-0.23835390946502066</v>
      </c>
    </row>
    <row r="216" spans="1:10" x14ac:dyDescent="0.25">
      <c r="A216" s="11" t="s">
        <v>30</v>
      </c>
      <c r="B216">
        <v>2013</v>
      </c>
      <c r="C216" s="9">
        <v>162</v>
      </c>
      <c r="D216">
        <f t="shared" si="55"/>
        <v>-6</v>
      </c>
      <c r="E216" s="6">
        <f t="shared" si="56"/>
        <v>-3.5714285714285698E-2</v>
      </c>
      <c r="F216">
        <v>1.4300626304801669</v>
      </c>
      <c r="G216">
        <f t="shared" si="57"/>
        <v>113.28175182481753</v>
      </c>
      <c r="H216">
        <f t="shared" si="58"/>
        <v>-5.9360259529602359</v>
      </c>
      <c r="I216" s="6">
        <f t="shared" si="59"/>
        <v>-4.9791449426485723E-2</v>
      </c>
    </row>
    <row r="217" spans="1:10" x14ac:dyDescent="0.25">
      <c r="A217" s="11" t="s">
        <v>30</v>
      </c>
      <c r="B217">
        <v>2014</v>
      </c>
      <c r="C217" s="9">
        <v>182</v>
      </c>
      <c r="D217">
        <f t="shared" si="55"/>
        <v>20</v>
      </c>
      <c r="E217" s="6">
        <f t="shared" si="56"/>
        <v>0.12345679012345689</v>
      </c>
      <c r="F217">
        <v>1.4542797494780795</v>
      </c>
      <c r="G217">
        <f t="shared" si="57"/>
        <v>125.14786103933389</v>
      </c>
      <c r="H217">
        <f t="shared" si="58"/>
        <v>11.866109214516356</v>
      </c>
      <c r="I217" s="6">
        <f t="shared" si="59"/>
        <v>0.10474863800540879</v>
      </c>
    </row>
    <row r="218" spans="1:10" x14ac:dyDescent="0.25">
      <c r="A218" s="12" t="s">
        <v>30</v>
      </c>
      <c r="B218" s="7">
        <v>2015</v>
      </c>
      <c r="C218" s="10">
        <v>173</v>
      </c>
      <c r="D218" s="7">
        <f t="shared" si="55"/>
        <v>-9</v>
      </c>
      <c r="E218" s="8">
        <f t="shared" si="56"/>
        <v>-4.9450549450549497E-2</v>
      </c>
      <c r="F218" s="7">
        <v>1.4567849686847598</v>
      </c>
      <c r="G218" s="7">
        <f>C218/F218</f>
        <v>118.75465749498424</v>
      </c>
      <c r="H218" s="7">
        <f t="shared" si="58"/>
        <v>-6.393203544349646</v>
      </c>
      <c r="I218" s="8">
        <f t="shared" si="59"/>
        <v>-5.1085200268347064E-2</v>
      </c>
    </row>
    <row r="219" spans="1:10" x14ac:dyDescent="0.25">
      <c r="A219" s="11" t="s">
        <v>32</v>
      </c>
      <c r="B219">
        <v>1998</v>
      </c>
      <c r="C219" s="9">
        <v>240</v>
      </c>
      <c r="D219" t="s">
        <v>2</v>
      </c>
      <c r="E219" t="s">
        <v>2</v>
      </c>
      <c r="F219">
        <v>1</v>
      </c>
      <c r="G219">
        <f>C219</f>
        <v>240</v>
      </c>
      <c r="H219" t="s">
        <v>2</v>
      </c>
      <c r="I219" s="6" t="s">
        <v>2</v>
      </c>
      <c r="J219" t="s">
        <v>33</v>
      </c>
    </row>
    <row r="220" spans="1:10" x14ac:dyDescent="0.25">
      <c r="A220" s="11" t="s">
        <v>32</v>
      </c>
      <c r="B220">
        <v>1999</v>
      </c>
      <c r="C220" s="9">
        <v>226</v>
      </c>
      <c r="D220">
        <f>C220-C219</f>
        <v>-14</v>
      </c>
      <c r="E220" s="6">
        <f>C220/C219-1</f>
        <v>-5.8333333333333348E-2</v>
      </c>
      <c r="F220">
        <v>1.021294363256785</v>
      </c>
      <c r="G220">
        <f>C220/F220</f>
        <v>221.28781684382665</v>
      </c>
      <c r="H220">
        <f>G220-G219</f>
        <v>-18.712183156173353</v>
      </c>
      <c r="I220" s="6">
        <f>G220/G219-1</f>
        <v>-7.7967429817389022E-2</v>
      </c>
    </row>
    <row r="221" spans="1:10" x14ac:dyDescent="0.25">
      <c r="A221" s="11" t="s">
        <v>32</v>
      </c>
      <c r="B221">
        <v>2000</v>
      </c>
      <c r="C221" s="9">
        <v>239</v>
      </c>
      <c r="D221">
        <f t="shared" ref="D221:D236" si="60">C221-C220</f>
        <v>13</v>
      </c>
      <c r="E221" s="6">
        <f t="shared" ref="E221:E236" si="61">C221/C220-1</f>
        <v>5.7522123893805288E-2</v>
      </c>
      <c r="F221">
        <v>1.0559498956158664</v>
      </c>
      <c r="G221">
        <f t="shared" ref="G221:G235" si="62">C221/F221</f>
        <v>226.33649663898774</v>
      </c>
      <c r="H221">
        <f t="shared" ref="H221:H236" si="63">G221-G220</f>
        <v>5.0486797951610924</v>
      </c>
      <c r="I221" s="6">
        <f t="shared" ref="I221:I236" si="64">G221/G220-1</f>
        <v>2.2814992109231991E-2</v>
      </c>
      <c r="J221" t="s">
        <v>13</v>
      </c>
    </row>
    <row r="222" spans="1:10" x14ac:dyDescent="0.25">
      <c r="A222" s="11" t="s">
        <v>32</v>
      </c>
      <c r="B222">
        <v>2001</v>
      </c>
      <c r="C222" s="9">
        <v>244</v>
      </c>
      <c r="D222">
        <f t="shared" si="60"/>
        <v>5</v>
      </c>
      <c r="E222" s="6">
        <f t="shared" si="61"/>
        <v>2.0920502092050208E-2</v>
      </c>
      <c r="F222">
        <v>1.0860125260960336</v>
      </c>
      <c r="G222">
        <f t="shared" si="62"/>
        <v>224.67512495194151</v>
      </c>
      <c r="H222">
        <f t="shared" si="63"/>
        <v>-1.661371687046227</v>
      </c>
      <c r="I222" s="6">
        <f t="shared" si="64"/>
        <v>-7.3402730523666193E-3</v>
      </c>
    </row>
    <row r="223" spans="1:10" x14ac:dyDescent="0.25">
      <c r="A223" s="11" t="s">
        <v>32</v>
      </c>
      <c r="B223">
        <v>2002</v>
      </c>
      <c r="C223" s="9">
        <v>230</v>
      </c>
      <c r="D223">
        <f t="shared" si="60"/>
        <v>-14</v>
      </c>
      <c r="E223" s="6">
        <f t="shared" si="61"/>
        <v>-5.7377049180327822E-2</v>
      </c>
      <c r="F223">
        <v>1.1031315240083506</v>
      </c>
      <c r="G223">
        <f t="shared" si="62"/>
        <v>208.49735049205151</v>
      </c>
      <c r="H223">
        <f t="shared" si="63"/>
        <v>-16.177774459890003</v>
      </c>
      <c r="I223" s="6">
        <f t="shared" si="64"/>
        <v>-7.200518732703709E-2</v>
      </c>
      <c r="J223" t="s">
        <v>58</v>
      </c>
    </row>
    <row r="224" spans="1:10" x14ac:dyDescent="0.25">
      <c r="A224" s="11" t="s">
        <v>32</v>
      </c>
      <c r="B224">
        <v>2003</v>
      </c>
      <c r="C224" s="9">
        <v>241</v>
      </c>
      <c r="D224">
        <f t="shared" si="60"/>
        <v>11</v>
      </c>
      <c r="E224" s="6">
        <f t="shared" si="61"/>
        <v>4.7826086956521685E-2</v>
      </c>
      <c r="F224">
        <v>1.1281837160751564</v>
      </c>
      <c r="G224">
        <f t="shared" si="62"/>
        <v>213.61769059955591</v>
      </c>
      <c r="H224">
        <f t="shared" si="63"/>
        <v>5.1203401075044042</v>
      </c>
      <c r="I224" s="6">
        <f t="shared" si="64"/>
        <v>2.4558298201010409E-2</v>
      </c>
    </row>
    <row r="225" spans="1:10" x14ac:dyDescent="0.25">
      <c r="A225" s="11" t="s">
        <v>32</v>
      </c>
      <c r="B225">
        <v>2004</v>
      </c>
      <c r="C225" s="9">
        <v>289</v>
      </c>
      <c r="D225">
        <f t="shared" si="60"/>
        <v>48</v>
      </c>
      <c r="E225" s="6">
        <f t="shared" si="61"/>
        <v>0.19917012448132776</v>
      </c>
      <c r="F225">
        <v>1.1586638830897704</v>
      </c>
      <c r="G225">
        <f t="shared" si="62"/>
        <v>249.4252252252252</v>
      </c>
      <c r="H225">
        <f t="shared" si="63"/>
        <v>35.807534625669291</v>
      </c>
      <c r="I225" s="6">
        <f t="shared" si="64"/>
        <v>0.16762438787335032</v>
      </c>
    </row>
    <row r="226" spans="1:10" x14ac:dyDescent="0.25">
      <c r="A226" s="11" t="s">
        <v>32</v>
      </c>
      <c r="B226">
        <v>2005</v>
      </c>
      <c r="C226" s="9">
        <v>439</v>
      </c>
      <c r="D226">
        <f t="shared" si="60"/>
        <v>150</v>
      </c>
      <c r="E226" s="6">
        <f t="shared" si="61"/>
        <v>0.51903114186851207</v>
      </c>
      <c r="F226">
        <v>1.1979123173277662</v>
      </c>
      <c r="G226">
        <f t="shared" si="62"/>
        <v>366.47089578250262</v>
      </c>
      <c r="H226">
        <f t="shared" si="63"/>
        <v>117.04567055727742</v>
      </c>
      <c r="I226" s="6">
        <f t="shared" si="64"/>
        <v>0.46926156106138772</v>
      </c>
    </row>
    <row r="227" spans="1:10" x14ac:dyDescent="0.25">
      <c r="A227" s="11" t="s">
        <v>32</v>
      </c>
      <c r="B227">
        <v>2006</v>
      </c>
      <c r="C227" s="9">
        <v>351</v>
      </c>
      <c r="D227">
        <f t="shared" si="60"/>
        <v>-88</v>
      </c>
      <c r="E227" s="6">
        <f t="shared" si="61"/>
        <v>-0.20045558086560367</v>
      </c>
      <c r="F227">
        <v>1.2367432150313151</v>
      </c>
      <c r="G227">
        <f t="shared" si="62"/>
        <v>283.80992572586092</v>
      </c>
      <c r="H227">
        <f t="shared" si="63"/>
        <v>-82.660970056641702</v>
      </c>
      <c r="I227" s="6">
        <f t="shared" si="64"/>
        <v>-0.22555944007542772</v>
      </c>
    </row>
    <row r="228" spans="1:10" x14ac:dyDescent="0.25">
      <c r="A228" s="11" t="s">
        <v>32</v>
      </c>
      <c r="B228">
        <v>2007</v>
      </c>
      <c r="C228" s="9">
        <v>348</v>
      </c>
      <c r="D228">
        <f t="shared" si="60"/>
        <v>-3</v>
      </c>
      <c r="E228" s="6">
        <f t="shared" si="61"/>
        <v>-8.5470085470085166E-3</v>
      </c>
      <c r="F228">
        <v>1.2718162839248435</v>
      </c>
      <c r="G228">
        <f t="shared" si="62"/>
        <v>273.62442547603411</v>
      </c>
      <c r="H228">
        <f t="shared" si="63"/>
        <v>-10.185500249826816</v>
      </c>
      <c r="I228" s="6">
        <f t="shared" si="64"/>
        <v>-3.5888456768299326E-2</v>
      </c>
    </row>
    <row r="229" spans="1:10" x14ac:dyDescent="0.25">
      <c r="A229" s="11" t="s">
        <v>32</v>
      </c>
      <c r="B229">
        <v>2008</v>
      </c>
      <c r="C229" s="9">
        <v>1215</v>
      </c>
      <c r="D229">
        <f t="shared" si="60"/>
        <v>867</v>
      </c>
      <c r="E229" s="6">
        <f t="shared" si="61"/>
        <v>2.4913793103448274</v>
      </c>
      <c r="F229">
        <v>1.3206680584551149</v>
      </c>
      <c r="G229">
        <f t="shared" si="62"/>
        <v>919.98893455580139</v>
      </c>
      <c r="H229">
        <f t="shared" si="63"/>
        <v>646.36450907976723</v>
      </c>
      <c r="I229" s="6">
        <f t="shared" si="64"/>
        <v>2.3622324942492399</v>
      </c>
    </row>
    <row r="230" spans="1:10" x14ac:dyDescent="0.25">
      <c r="A230" s="11" t="s">
        <v>32</v>
      </c>
      <c r="B230">
        <v>2009</v>
      </c>
      <c r="C230" s="9">
        <v>664</v>
      </c>
      <c r="D230">
        <f t="shared" si="60"/>
        <v>-551</v>
      </c>
      <c r="E230" s="6">
        <f t="shared" si="61"/>
        <v>-0.45349794238683128</v>
      </c>
      <c r="F230">
        <v>1.3160751565762003</v>
      </c>
      <c r="G230">
        <f t="shared" si="62"/>
        <v>504.53045685279193</v>
      </c>
      <c r="H230">
        <f t="shared" si="63"/>
        <v>-415.45847770300946</v>
      </c>
      <c r="I230" s="6">
        <f t="shared" si="64"/>
        <v>-0.4515907334294248</v>
      </c>
    </row>
    <row r="231" spans="1:10" x14ac:dyDescent="0.25">
      <c r="A231" s="11" t="s">
        <v>32</v>
      </c>
      <c r="B231">
        <v>2010</v>
      </c>
      <c r="C231" s="9">
        <v>918</v>
      </c>
      <c r="D231">
        <f t="shared" si="60"/>
        <v>254</v>
      </c>
      <c r="E231" s="6">
        <f t="shared" si="61"/>
        <v>0.3825301204819278</v>
      </c>
      <c r="F231">
        <v>1.3377870563674321</v>
      </c>
      <c r="G231">
        <f t="shared" si="62"/>
        <v>686.20786516853934</v>
      </c>
      <c r="H231">
        <f t="shared" si="63"/>
        <v>181.67740831574741</v>
      </c>
      <c r="I231" s="6">
        <f t="shared" si="64"/>
        <v>0.36009205360768903</v>
      </c>
    </row>
    <row r="232" spans="1:10" x14ac:dyDescent="0.25">
      <c r="A232" s="11" t="s">
        <v>32</v>
      </c>
      <c r="B232">
        <v>2011</v>
      </c>
      <c r="C232" s="9">
        <v>788</v>
      </c>
      <c r="D232">
        <f t="shared" si="60"/>
        <v>-130</v>
      </c>
      <c r="E232" s="6">
        <f t="shared" si="61"/>
        <v>-0.14161220043572986</v>
      </c>
      <c r="F232">
        <v>1.3799582463465554</v>
      </c>
      <c r="G232">
        <f t="shared" si="62"/>
        <v>571.03177004538577</v>
      </c>
      <c r="H232">
        <f t="shared" si="63"/>
        <v>-115.17609512315357</v>
      </c>
      <c r="I232" s="6">
        <f t="shared" si="64"/>
        <v>-0.16784432381121894</v>
      </c>
    </row>
    <row r="233" spans="1:10" x14ac:dyDescent="0.25">
      <c r="A233" s="11" t="s">
        <v>32</v>
      </c>
      <c r="B233">
        <v>2012</v>
      </c>
      <c r="C233" s="9">
        <v>604</v>
      </c>
      <c r="D233">
        <f t="shared" si="60"/>
        <v>-184</v>
      </c>
      <c r="E233" s="6">
        <f t="shared" si="61"/>
        <v>-0.23350253807106602</v>
      </c>
      <c r="F233">
        <v>1.4091858037578289</v>
      </c>
      <c r="G233">
        <f t="shared" si="62"/>
        <v>428.6162962962963</v>
      </c>
      <c r="H233">
        <f t="shared" si="63"/>
        <v>-142.41547374908947</v>
      </c>
      <c r="I233" s="6">
        <f t="shared" si="64"/>
        <v>-0.24940026320736974</v>
      </c>
    </row>
    <row r="234" spans="1:10" x14ac:dyDescent="0.25">
      <c r="A234" s="11" t="s">
        <v>32</v>
      </c>
      <c r="B234">
        <v>2013</v>
      </c>
      <c r="C234" s="9">
        <v>461</v>
      </c>
      <c r="D234">
        <f t="shared" si="60"/>
        <v>-143</v>
      </c>
      <c r="E234" s="6">
        <f t="shared" si="61"/>
        <v>-0.23675496688741726</v>
      </c>
      <c r="F234">
        <v>1.4300626304801669</v>
      </c>
      <c r="G234">
        <f t="shared" si="62"/>
        <v>322.36350364963505</v>
      </c>
      <c r="H234">
        <f t="shared" si="63"/>
        <v>-106.25279264666125</v>
      </c>
      <c r="I234" s="6">
        <f t="shared" si="64"/>
        <v>-0.24789723014453524</v>
      </c>
    </row>
    <row r="235" spans="1:10" x14ac:dyDescent="0.25">
      <c r="A235" s="11" t="s">
        <v>32</v>
      </c>
      <c r="B235">
        <v>2014</v>
      </c>
      <c r="C235" s="9">
        <v>430</v>
      </c>
      <c r="D235">
        <f t="shared" si="60"/>
        <v>-31</v>
      </c>
      <c r="E235" s="6">
        <f t="shared" si="61"/>
        <v>-6.724511930585686E-2</v>
      </c>
      <c r="F235">
        <v>1.4542797494780795</v>
      </c>
      <c r="G235">
        <f t="shared" si="62"/>
        <v>295.67901234567898</v>
      </c>
      <c r="H235">
        <f t="shared" si="63"/>
        <v>-26.684491303956065</v>
      </c>
      <c r="I235" s="6">
        <f t="shared" si="64"/>
        <v>-8.2777643876704055E-2</v>
      </c>
    </row>
    <row r="236" spans="1:10" x14ac:dyDescent="0.25">
      <c r="A236" s="12" t="s">
        <v>32</v>
      </c>
      <c r="B236" s="7">
        <v>2015</v>
      </c>
      <c r="C236" s="10">
        <v>379</v>
      </c>
      <c r="D236" s="7">
        <f t="shared" si="60"/>
        <v>-51</v>
      </c>
      <c r="E236" s="8">
        <f t="shared" si="61"/>
        <v>-0.11860465116279073</v>
      </c>
      <c r="F236" s="7">
        <v>1.4567849686847598</v>
      </c>
      <c r="G236" s="7">
        <f>C236/F236</f>
        <v>260.16193751791349</v>
      </c>
      <c r="H236" s="7">
        <f t="shared" si="63"/>
        <v>-35.517074827765498</v>
      </c>
      <c r="I236" s="8">
        <f t="shared" si="64"/>
        <v>-0.12012037833190004</v>
      </c>
    </row>
    <row r="237" spans="1:10" x14ac:dyDescent="0.25">
      <c r="A237" s="11" t="s">
        <v>34</v>
      </c>
      <c r="B237">
        <v>1998</v>
      </c>
      <c r="C237" s="9">
        <v>30.39</v>
      </c>
      <c r="D237" t="s">
        <v>2</v>
      </c>
      <c r="E237" t="s">
        <v>2</v>
      </c>
      <c r="F237">
        <v>1</v>
      </c>
      <c r="G237">
        <f>C237</f>
        <v>30.39</v>
      </c>
      <c r="H237" t="s">
        <v>2</v>
      </c>
      <c r="I237" s="6" t="s">
        <v>2</v>
      </c>
      <c r="J237" t="s">
        <v>35</v>
      </c>
    </row>
    <row r="238" spans="1:10" x14ac:dyDescent="0.25">
      <c r="A238" s="11" t="s">
        <v>34</v>
      </c>
      <c r="B238">
        <v>1999</v>
      </c>
      <c r="C238" s="9">
        <v>25.52</v>
      </c>
      <c r="D238">
        <f>C238-C237</f>
        <v>-4.870000000000001</v>
      </c>
      <c r="E238" s="6">
        <f>C238/C237-1</f>
        <v>-0.16025008226390258</v>
      </c>
      <c r="F238">
        <v>1.021294363256785</v>
      </c>
      <c r="G238">
        <f>C238/F238</f>
        <v>24.987898609975467</v>
      </c>
      <c r="H238">
        <f>G238-G237</f>
        <v>-5.4021013900245336</v>
      </c>
      <c r="I238" s="6">
        <f>G238/G237-1</f>
        <v>-0.1777591770327257</v>
      </c>
    </row>
    <row r="239" spans="1:10" x14ac:dyDescent="0.25">
      <c r="A239" s="11" t="s">
        <v>34</v>
      </c>
      <c r="B239">
        <v>2000</v>
      </c>
      <c r="C239" s="9">
        <v>25.57</v>
      </c>
      <c r="D239">
        <f t="shared" ref="D239:D254" si="65">C239-C238</f>
        <v>5.0000000000000711E-2</v>
      </c>
      <c r="E239" s="6">
        <f t="shared" ref="E239:E254" si="66">C239/C238-1</f>
        <v>1.9592476489027622E-3</v>
      </c>
      <c r="F239">
        <v>1.0559498956158664</v>
      </c>
      <c r="G239">
        <f t="shared" ref="G239:G253" si="67">C239/F239</f>
        <v>24.215164096480823</v>
      </c>
      <c r="H239">
        <f t="shared" ref="H239:H254" si="68">G239-G238</f>
        <v>-0.77273451349464395</v>
      </c>
      <c r="I239" s="6">
        <f t="shared" ref="I239:I254" si="69">G239/G238-1</f>
        <v>-3.0924349644437799E-2</v>
      </c>
      <c r="J239" t="s">
        <v>13</v>
      </c>
    </row>
    <row r="240" spans="1:10" x14ac:dyDescent="0.25">
      <c r="A240" s="11" t="s">
        <v>34</v>
      </c>
      <c r="B240">
        <v>2001</v>
      </c>
      <c r="C240" s="9">
        <v>23.89</v>
      </c>
      <c r="D240">
        <f t="shared" si="65"/>
        <v>-1.6799999999999997</v>
      </c>
      <c r="E240" s="6">
        <f t="shared" si="66"/>
        <v>-6.5701994524833829E-2</v>
      </c>
      <c r="F240">
        <v>1.0860125260960336</v>
      </c>
      <c r="G240">
        <f t="shared" si="67"/>
        <v>21.997904652056899</v>
      </c>
      <c r="H240">
        <f t="shared" si="68"/>
        <v>-2.2172594444239238</v>
      </c>
      <c r="I240" s="6">
        <f t="shared" si="69"/>
        <v>-9.1564915091620458E-2</v>
      </c>
    </row>
    <row r="241" spans="1:10" x14ac:dyDescent="0.25">
      <c r="A241" s="11" t="s">
        <v>34</v>
      </c>
      <c r="B241">
        <v>2002</v>
      </c>
      <c r="C241" s="9">
        <v>26.04</v>
      </c>
      <c r="D241">
        <f t="shared" si="65"/>
        <v>2.1499999999999986</v>
      </c>
      <c r="E241" s="6">
        <f t="shared" si="66"/>
        <v>8.9995814148179143E-2</v>
      </c>
      <c r="F241">
        <v>1.1031315240083506</v>
      </c>
      <c r="G241">
        <f t="shared" si="67"/>
        <v>23.605526116578353</v>
      </c>
      <c r="H241">
        <f t="shared" si="68"/>
        <v>1.6076214645214542</v>
      </c>
      <c r="I241" s="6">
        <f t="shared" si="69"/>
        <v>7.3080663360868492E-2</v>
      </c>
      <c r="J241" t="s">
        <v>98</v>
      </c>
    </row>
    <row r="242" spans="1:10" x14ac:dyDescent="0.25">
      <c r="A242" s="11" t="s">
        <v>34</v>
      </c>
      <c r="B242">
        <v>2003</v>
      </c>
      <c r="C242" s="9">
        <v>26.86</v>
      </c>
      <c r="D242">
        <f t="shared" si="65"/>
        <v>0.82000000000000028</v>
      </c>
      <c r="E242" s="6">
        <f t="shared" si="66"/>
        <v>3.149001536098317E-2</v>
      </c>
      <c r="F242">
        <v>1.1281837160751564</v>
      </c>
      <c r="G242">
        <f t="shared" si="67"/>
        <v>23.808179126572913</v>
      </c>
      <c r="H242">
        <f t="shared" si="68"/>
        <v>0.2026530099945596</v>
      </c>
      <c r="I242" s="6">
        <f t="shared" si="69"/>
        <v>8.5849817112204629E-3</v>
      </c>
    </row>
    <row r="243" spans="1:10" x14ac:dyDescent="0.25">
      <c r="A243" s="11" t="s">
        <v>34</v>
      </c>
      <c r="B243">
        <v>2004</v>
      </c>
      <c r="C243" s="9">
        <v>37.92</v>
      </c>
      <c r="D243">
        <f t="shared" si="65"/>
        <v>11.060000000000002</v>
      </c>
      <c r="E243" s="6">
        <f t="shared" si="66"/>
        <v>0.41176470588235303</v>
      </c>
      <c r="F243">
        <v>1.1586638830897704</v>
      </c>
      <c r="G243">
        <f t="shared" si="67"/>
        <v>32.727351351351352</v>
      </c>
      <c r="H243">
        <f t="shared" si="68"/>
        <v>8.9191722247784391</v>
      </c>
      <c r="I243" s="6">
        <f t="shared" si="69"/>
        <v>0.37462639109697915</v>
      </c>
    </row>
    <row r="244" spans="1:10" x14ac:dyDescent="0.25">
      <c r="A244" s="11" t="s">
        <v>34</v>
      </c>
      <c r="B244">
        <v>2005</v>
      </c>
      <c r="C244" s="9">
        <v>44</v>
      </c>
      <c r="D244">
        <f t="shared" si="65"/>
        <v>6.0799999999999983</v>
      </c>
      <c r="E244" s="6">
        <f t="shared" si="66"/>
        <v>0.16033755274261607</v>
      </c>
      <c r="F244">
        <v>1.1979123173277662</v>
      </c>
      <c r="G244">
        <f t="shared" si="67"/>
        <v>36.730568142209833</v>
      </c>
      <c r="H244">
        <f t="shared" si="68"/>
        <v>4.003216790858481</v>
      </c>
      <c r="I244" s="6">
        <f t="shared" si="69"/>
        <v>0.12232021919162062</v>
      </c>
    </row>
    <row r="245" spans="1:10" x14ac:dyDescent="0.25">
      <c r="A245" s="11" t="s">
        <v>34</v>
      </c>
      <c r="B245">
        <v>2006</v>
      </c>
      <c r="C245" s="9">
        <v>52</v>
      </c>
      <c r="D245">
        <f t="shared" si="65"/>
        <v>8</v>
      </c>
      <c r="E245" s="6">
        <f t="shared" si="66"/>
        <v>0.18181818181818188</v>
      </c>
      <c r="F245">
        <v>1.2367432150313151</v>
      </c>
      <c r="G245">
        <f t="shared" si="67"/>
        <v>42.045914922349766</v>
      </c>
      <c r="H245">
        <f t="shared" si="68"/>
        <v>5.315346780139933</v>
      </c>
      <c r="I245" s="6">
        <f t="shared" si="69"/>
        <v>0.1447118040635933</v>
      </c>
    </row>
    <row r="246" spans="1:10" x14ac:dyDescent="0.25">
      <c r="A246" s="11" t="s">
        <v>34</v>
      </c>
      <c r="B246">
        <v>2007</v>
      </c>
      <c r="C246" s="9">
        <v>63</v>
      </c>
      <c r="D246">
        <f t="shared" si="65"/>
        <v>11</v>
      </c>
      <c r="E246" s="6">
        <f t="shared" si="66"/>
        <v>0.21153846153846145</v>
      </c>
      <c r="F246">
        <v>1.2718162839248435</v>
      </c>
      <c r="G246">
        <f t="shared" si="67"/>
        <v>49.535456336178591</v>
      </c>
      <c r="H246">
        <f t="shared" si="68"/>
        <v>7.4895414138288245</v>
      </c>
      <c r="I246" s="6">
        <f t="shared" si="69"/>
        <v>0.17812768321632388</v>
      </c>
    </row>
    <row r="247" spans="1:10" x14ac:dyDescent="0.25">
      <c r="A247" s="11" t="s">
        <v>34</v>
      </c>
      <c r="B247">
        <v>2008</v>
      </c>
      <c r="C247" s="9">
        <v>66</v>
      </c>
      <c r="D247">
        <f t="shared" si="65"/>
        <v>3</v>
      </c>
      <c r="E247" s="6">
        <f t="shared" si="66"/>
        <v>4.7619047619047672E-2</v>
      </c>
      <c r="F247">
        <v>1.3206680584551149</v>
      </c>
      <c r="G247">
        <f t="shared" si="67"/>
        <v>49.974707556117608</v>
      </c>
      <c r="H247">
        <f t="shared" si="68"/>
        <v>0.43925121993901683</v>
      </c>
      <c r="I247" s="6">
        <f t="shared" si="69"/>
        <v>8.8674103849570862E-3</v>
      </c>
    </row>
    <row r="248" spans="1:10" x14ac:dyDescent="0.25">
      <c r="A248" s="11" t="s">
        <v>34</v>
      </c>
      <c r="B248">
        <v>2009</v>
      </c>
      <c r="C248" s="9">
        <v>70</v>
      </c>
      <c r="D248">
        <f t="shared" si="65"/>
        <v>4</v>
      </c>
      <c r="E248" s="6">
        <f t="shared" si="66"/>
        <v>6.0606060606060552E-2</v>
      </c>
      <c r="F248">
        <v>1.3160751565762003</v>
      </c>
      <c r="G248">
        <f t="shared" si="67"/>
        <v>53.18845177664975</v>
      </c>
      <c r="H248">
        <f t="shared" si="68"/>
        <v>3.213744220532142</v>
      </c>
      <c r="I248" s="6">
        <f t="shared" si="69"/>
        <v>6.430741424396258E-2</v>
      </c>
    </row>
    <row r="249" spans="1:10" x14ac:dyDescent="0.25">
      <c r="A249" s="11" t="s">
        <v>34</v>
      </c>
      <c r="B249">
        <v>2010</v>
      </c>
      <c r="C249" s="9">
        <v>90</v>
      </c>
      <c r="D249">
        <f t="shared" si="65"/>
        <v>20</v>
      </c>
      <c r="E249" s="6">
        <f t="shared" si="66"/>
        <v>0.28571428571428581</v>
      </c>
      <c r="F249">
        <v>1.3377870563674321</v>
      </c>
      <c r="G249">
        <f t="shared" si="67"/>
        <v>67.275280898876403</v>
      </c>
      <c r="H249">
        <f t="shared" si="68"/>
        <v>14.086829122226654</v>
      </c>
      <c r="I249" s="6">
        <f t="shared" si="69"/>
        <v>0.26484751203852319</v>
      </c>
    </row>
    <row r="250" spans="1:10" x14ac:dyDescent="0.25">
      <c r="A250" s="11" t="s">
        <v>34</v>
      </c>
      <c r="B250">
        <v>2011</v>
      </c>
      <c r="C250" s="9">
        <v>98.8</v>
      </c>
      <c r="D250">
        <f t="shared" si="65"/>
        <v>8.7999999999999972</v>
      </c>
      <c r="E250" s="6">
        <f t="shared" si="66"/>
        <v>9.7777777777777741E-2</v>
      </c>
      <c r="F250">
        <v>1.3799582463465554</v>
      </c>
      <c r="G250">
        <f t="shared" si="67"/>
        <v>71.596369137670195</v>
      </c>
      <c r="H250">
        <f t="shared" si="68"/>
        <v>4.3210882387937914</v>
      </c>
      <c r="I250" s="6">
        <f t="shared" si="69"/>
        <v>6.4229954614220874E-2</v>
      </c>
    </row>
    <row r="251" spans="1:10" x14ac:dyDescent="0.25">
      <c r="A251" s="11" t="s">
        <v>34</v>
      </c>
      <c r="B251">
        <v>2012</v>
      </c>
      <c r="C251" s="9">
        <v>101</v>
      </c>
      <c r="D251">
        <f t="shared" si="65"/>
        <v>2.2000000000000028</v>
      </c>
      <c r="E251" s="6">
        <f t="shared" si="66"/>
        <v>2.2267206477732726E-2</v>
      </c>
      <c r="F251">
        <v>1.4091858037578289</v>
      </c>
      <c r="G251">
        <f t="shared" si="67"/>
        <v>71.672592592592594</v>
      </c>
      <c r="H251">
        <f t="shared" si="68"/>
        <v>7.6223454922399014E-2</v>
      </c>
      <c r="I251" s="6">
        <f t="shared" si="69"/>
        <v>1.0646273804169049E-3</v>
      </c>
    </row>
    <row r="252" spans="1:10" x14ac:dyDescent="0.25">
      <c r="A252" s="11" t="s">
        <v>34</v>
      </c>
      <c r="B252">
        <v>2013</v>
      </c>
      <c r="C252" s="9">
        <v>98.75</v>
      </c>
      <c r="D252">
        <f t="shared" si="65"/>
        <v>-2.25</v>
      </c>
      <c r="E252" s="6">
        <f t="shared" si="66"/>
        <v>-2.2277227722772297E-2</v>
      </c>
      <c r="F252">
        <v>1.4300626304801669</v>
      </c>
      <c r="G252">
        <f t="shared" si="67"/>
        <v>69.052919708029208</v>
      </c>
      <c r="H252">
        <f t="shared" si="68"/>
        <v>-2.6196728845633857</v>
      </c>
      <c r="I252" s="6">
        <f t="shared" si="69"/>
        <v>-3.6550552865505348E-2</v>
      </c>
    </row>
    <row r="253" spans="1:10" x14ac:dyDescent="0.25">
      <c r="A253" s="11" t="s">
        <v>34</v>
      </c>
      <c r="B253">
        <v>2014</v>
      </c>
      <c r="C253" s="9">
        <v>101</v>
      </c>
      <c r="D253">
        <f t="shared" si="65"/>
        <v>2.25</v>
      </c>
      <c r="E253" s="6">
        <f t="shared" si="66"/>
        <v>2.2784810126582178E-2</v>
      </c>
      <c r="F253">
        <v>1.4542797494780795</v>
      </c>
      <c r="G253">
        <f t="shared" si="67"/>
        <v>69.450186620729255</v>
      </c>
      <c r="H253">
        <f t="shared" si="68"/>
        <v>0.39726691270004721</v>
      </c>
      <c r="I253" s="6">
        <f t="shared" si="69"/>
        <v>5.7530791511752888E-3</v>
      </c>
    </row>
    <row r="254" spans="1:10" x14ac:dyDescent="0.25">
      <c r="A254" s="12" t="s">
        <v>34</v>
      </c>
      <c r="B254" s="7">
        <v>2015</v>
      </c>
      <c r="C254" s="10">
        <v>84</v>
      </c>
      <c r="D254" s="7">
        <f t="shared" si="65"/>
        <v>-17</v>
      </c>
      <c r="E254" s="8">
        <f t="shared" si="66"/>
        <v>-0.16831683168316836</v>
      </c>
      <c r="F254" s="7">
        <v>1.4567849686847598</v>
      </c>
      <c r="G254" s="7">
        <f>C254/F254</f>
        <v>57.661220980223561</v>
      </c>
      <c r="H254" s="7">
        <f t="shared" si="68"/>
        <v>-11.788965640505694</v>
      </c>
      <c r="I254" s="8">
        <f t="shared" si="69"/>
        <v>-0.16974706928990402</v>
      </c>
    </row>
    <row r="255" spans="1:10" x14ac:dyDescent="0.25">
      <c r="A255" s="11" t="s">
        <v>36</v>
      </c>
      <c r="B255">
        <v>1998</v>
      </c>
      <c r="C255" s="9">
        <f>21.43*2.20462</f>
        <v>47.245006599999996</v>
      </c>
      <c r="D255" t="s">
        <v>2</v>
      </c>
      <c r="E255" t="s">
        <v>2</v>
      </c>
      <c r="F255">
        <v>1</v>
      </c>
      <c r="G255">
        <f>C255</f>
        <v>47.245006599999996</v>
      </c>
      <c r="H255" t="s">
        <v>2</v>
      </c>
      <c r="I255" s="6" t="s">
        <v>2</v>
      </c>
      <c r="J255" t="s">
        <v>37</v>
      </c>
    </row>
    <row r="256" spans="1:10" x14ac:dyDescent="0.25">
      <c r="A256" s="11" t="s">
        <v>36</v>
      </c>
      <c r="B256">
        <v>1999</v>
      </c>
      <c r="C256" s="9">
        <f>17.02*2.20462</f>
        <v>37.522632399999999</v>
      </c>
      <c r="D256">
        <f>C256-C255</f>
        <v>-9.7223741999999973</v>
      </c>
      <c r="E256" s="6">
        <f>C256/C255-1</f>
        <v>-0.2057862809146056</v>
      </c>
      <c r="F256">
        <v>1.021294363256785</v>
      </c>
      <c r="G256">
        <f>C256/F256</f>
        <v>36.740271708094845</v>
      </c>
      <c r="H256">
        <f>G256-G255</f>
        <v>-10.504734891905152</v>
      </c>
      <c r="I256" s="6">
        <f>G256/G255-1</f>
        <v>-0.22234592918662333</v>
      </c>
    </row>
    <row r="257" spans="1:10" x14ac:dyDescent="0.25">
      <c r="A257" s="11" t="s">
        <v>36</v>
      </c>
      <c r="B257">
        <v>2000</v>
      </c>
      <c r="C257" s="9">
        <f>15.16*2.20462</f>
        <v>33.4220392</v>
      </c>
      <c r="D257">
        <f t="shared" ref="D257:D272" si="70">C257-C256</f>
        <v>-4.1005931999999987</v>
      </c>
      <c r="E257" s="6">
        <f t="shared" ref="E257:E272" si="71">C257/C256-1</f>
        <v>-0.10928319623971794</v>
      </c>
      <c r="F257">
        <v>1.0559498956158664</v>
      </c>
      <c r="G257">
        <f t="shared" ref="G257:G271" si="72">C257/F257</f>
        <v>31.651160096480822</v>
      </c>
      <c r="H257">
        <f t="shared" ref="H257:H272" si="73">G257-G256</f>
        <v>-5.0891116116140225</v>
      </c>
      <c r="I257" s="6">
        <f t="shared" ref="I257:I272" si="74">G257/G256-1</f>
        <v>-0.13851589482101623</v>
      </c>
      <c r="J257" t="s">
        <v>13</v>
      </c>
    </row>
    <row r="258" spans="1:10" x14ac:dyDescent="0.25">
      <c r="A258" s="11" t="s">
        <v>36</v>
      </c>
      <c r="B258">
        <v>2001</v>
      </c>
      <c r="C258" s="9">
        <f>10.55*2.20462</f>
        <v>23.258741000000001</v>
      </c>
      <c r="D258">
        <f t="shared" si="70"/>
        <v>-10.1632982</v>
      </c>
      <c r="E258" s="6">
        <f t="shared" si="71"/>
        <v>-0.30408970976253302</v>
      </c>
      <c r="F258">
        <v>1.0860125260960336</v>
      </c>
      <c r="G258">
        <f t="shared" si="72"/>
        <v>21.416641559015758</v>
      </c>
      <c r="H258">
        <f t="shared" si="73"/>
        <v>-10.234518537465064</v>
      </c>
      <c r="I258" s="6">
        <f t="shared" si="74"/>
        <v>-0.32335366243346653</v>
      </c>
    </row>
    <row r="259" spans="1:10" x14ac:dyDescent="0.25">
      <c r="A259" s="11" t="s">
        <v>36</v>
      </c>
      <c r="B259">
        <v>2002</v>
      </c>
      <c r="C259" s="9">
        <f>6.91*2.20462</f>
        <v>15.233924199999999</v>
      </c>
      <c r="D259">
        <f t="shared" si="70"/>
        <v>-8.0248168000000017</v>
      </c>
      <c r="E259" s="6">
        <f t="shared" si="71"/>
        <v>-0.34502369668246458</v>
      </c>
      <c r="F259">
        <v>1.1031315240083506</v>
      </c>
      <c r="G259">
        <f t="shared" si="72"/>
        <v>13.809707970855413</v>
      </c>
      <c r="H259">
        <f t="shared" si="73"/>
        <v>-7.606933588160345</v>
      </c>
      <c r="I259" s="6">
        <f t="shared" si="74"/>
        <v>-0.35518797693833826</v>
      </c>
      <c r="J259" t="s">
        <v>99</v>
      </c>
    </row>
    <row r="260" spans="1:10" x14ac:dyDescent="0.25">
      <c r="A260" s="11" t="s">
        <v>36</v>
      </c>
      <c r="B260">
        <v>2003</v>
      </c>
      <c r="C260" s="9">
        <f>10.6*2.20462</f>
        <v>23.368971999999996</v>
      </c>
      <c r="D260">
        <f t="shared" si="70"/>
        <v>8.1350477999999971</v>
      </c>
      <c r="E260" s="6">
        <f t="shared" si="71"/>
        <v>0.5340086830680173</v>
      </c>
      <c r="F260">
        <v>1.1281837160751564</v>
      </c>
      <c r="G260">
        <f t="shared" si="72"/>
        <v>20.713800125832716</v>
      </c>
      <c r="H260">
        <f t="shared" si="73"/>
        <v>6.9040921549773024</v>
      </c>
      <c r="I260" s="6">
        <f t="shared" si="74"/>
        <v>0.4999448337030723</v>
      </c>
    </row>
    <row r="261" spans="1:10" x14ac:dyDescent="0.25">
      <c r="A261" s="11" t="s">
        <v>36</v>
      </c>
      <c r="B261">
        <v>2004</v>
      </c>
      <c r="C261" s="9">
        <f>22.93*2.20462</f>
        <v>50.551936599999998</v>
      </c>
      <c r="D261">
        <f t="shared" si="70"/>
        <v>27.182964600000002</v>
      </c>
      <c r="E261" s="6">
        <f t="shared" si="71"/>
        <v>1.1632075471698116</v>
      </c>
      <c r="F261">
        <v>1.1586638830897704</v>
      </c>
      <c r="G261">
        <f t="shared" si="72"/>
        <v>43.62950924576576</v>
      </c>
      <c r="H261">
        <f t="shared" si="73"/>
        <v>22.915709119933044</v>
      </c>
      <c r="I261" s="6">
        <f t="shared" si="74"/>
        <v>1.1063015468298487</v>
      </c>
    </row>
    <row r="262" spans="1:10" x14ac:dyDescent="0.25">
      <c r="A262" s="11" t="s">
        <v>36</v>
      </c>
      <c r="B262">
        <v>2005</v>
      </c>
      <c r="C262" s="9">
        <f>15.96*2.20462</f>
        <v>35.185735199999996</v>
      </c>
      <c r="D262">
        <f t="shared" si="70"/>
        <v>-15.366201400000001</v>
      </c>
      <c r="E262" s="6">
        <f t="shared" si="71"/>
        <v>-0.30396860008722204</v>
      </c>
      <c r="F262">
        <v>1.1979123173277662</v>
      </c>
      <c r="G262">
        <f t="shared" si="72"/>
        <v>29.372546463576157</v>
      </c>
      <c r="H262">
        <f t="shared" si="73"/>
        <v>-14.256962782189603</v>
      </c>
      <c r="I262" s="6">
        <f t="shared" si="74"/>
        <v>-0.32677339325271559</v>
      </c>
    </row>
    <row r="263" spans="1:10" x14ac:dyDescent="0.25">
      <c r="A263" s="11" t="s">
        <v>36</v>
      </c>
      <c r="B263">
        <v>2006</v>
      </c>
      <c r="C263" s="9">
        <f>17.22*2.20462</f>
        <v>37.963556399999995</v>
      </c>
      <c r="D263">
        <f t="shared" si="70"/>
        <v>2.7778211999999982</v>
      </c>
      <c r="E263" s="6">
        <f t="shared" si="71"/>
        <v>7.8947368421052655E-2</v>
      </c>
      <c r="F263">
        <v>1.2367432150313151</v>
      </c>
      <c r="G263">
        <f t="shared" si="72"/>
        <v>30.696393510465899</v>
      </c>
      <c r="H263">
        <f t="shared" si="73"/>
        <v>1.3238470468897425</v>
      </c>
      <c r="I263" s="6">
        <f t="shared" si="74"/>
        <v>4.5070898041863705E-2</v>
      </c>
    </row>
    <row r="264" spans="1:10" x14ac:dyDescent="0.25">
      <c r="A264" s="11" t="s">
        <v>36</v>
      </c>
      <c r="B264">
        <v>2007</v>
      </c>
      <c r="C264" s="9">
        <f>30.55*2.20462</f>
        <v>67.351140999999998</v>
      </c>
      <c r="D264">
        <f t="shared" si="70"/>
        <v>29.387584600000004</v>
      </c>
      <c r="E264" s="6">
        <f t="shared" si="71"/>
        <v>0.77409988385598161</v>
      </c>
      <c r="F264">
        <v>1.2718162839248435</v>
      </c>
      <c r="G264">
        <f t="shared" si="72"/>
        <v>52.956658796782662</v>
      </c>
      <c r="H264">
        <f t="shared" si="73"/>
        <v>22.260265286316763</v>
      </c>
      <c r="I264" s="6">
        <f t="shared" si="74"/>
        <v>0.72517526460322279</v>
      </c>
    </row>
    <row r="265" spans="1:10" x14ac:dyDescent="0.25">
      <c r="A265" s="11" t="s">
        <v>36</v>
      </c>
      <c r="B265">
        <v>2008</v>
      </c>
      <c r="C265" s="9">
        <f>39.01*2.20462</f>
        <v>86.002226199999981</v>
      </c>
      <c r="D265">
        <f t="shared" si="70"/>
        <v>18.651085199999983</v>
      </c>
      <c r="E265" s="6">
        <f t="shared" si="71"/>
        <v>0.27692307692307661</v>
      </c>
      <c r="F265">
        <v>1.3206680584551149</v>
      </c>
      <c r="G265">
        <f t="shared" si="72"/>
        <v>65.120243992728405</v>
      </c>
      <c r="H265">
        <f t="shared" si="73"/>
        <v>12.163585195945743</v>
      </c>
      <c r="I265" s="6">
        <f t="shared" si="74"/>
        <v>0.22968943797271302</v>
      </c>
    </row>
    <row r="266" spans="1:10" x14ac:dyDescent="0.25">
      <c r="A266" s="11" t="s">
        <v>36</v>
      </c>
      <c r="B266">
        <v>2009</v>
      </c>
      <c r="C266" s="9">
        <f>17.86*2.20462</f>
        <v>39.374513199999996</v>
      </c>
      <c r="D266">
        <f t="shared" si="70"/>
        <v>-46.627712999999986</v>
      </c>
      <c r="E266" s="6">
        <f t="shared" si="71"/>
        <v>-0.54216867469879515</v>
      </c>
      <c r="F266">
        <v>1.3160751565762003</v>
      </c>
      <c r="G266">
        <f t="shared" si="72"/>
        <v>29.918134236675126</v>
      </c>
      <c r="H266">
        <f t="shared" si="73"/>
        <v>-35.202109756053275</v>
      </c>
      <c r="I266" s="6">
        <f t="shared" si="74"/>
        <v>-0.54057091309400018</v>
      </c>
    </row>
    <row r="267" spans="1:10" x14ac:dyDescent="0.25">
      <c r="A267" s="11" t="s">
        <v>36</v>
      </c>
      <c r="B267">
        <v>2010</v>
      </c>
      <c r="C267" s="9">
        <f>20.85*2.20462</f>
        <v>45.966327</v>
      </c>
      <c r="D267">
        <f t="shared" si="70"/>
        <v>6.5918138000000042</v>
      </c>
      <c r="E267" s="6">
        <f t="shared" si="71"/>
        <v>0.16741321388577846</v>
      </c>
      <c r="F267">
        <v>1.3377870563674321</v>
      </c>
      <c r="G267">
        <f t="shared" si="72"/>
        <v>34.359972897940075</v>
      </c>
      <c r="H267">
        <f t="shared" si="73"/>
        <v>4.4418386612649492</v>
      </c>
      <c r="I267" s="6">
        <f t="shared" si="74"/>
        <v>0.14846643263669579</v>
      </c>
    </row>
    <row r="268" spans="1:10" x14ac:dyDescent="0.25">
      <c r="A268" s="11" t="s">
        <v>36</v>
      </c>
      <c r="B268">
        <v>2011</v>
      </c>
      <c r="C268" s="9">
        <f>17.99*2.20462</f>
        <v>39.661113799999995</v>
      </c>
      <c r="D268">
        <f t="shared" si="70"/>
        <v>-6.3052132000000043</v>
      </c>
      <c r="E268" s="6">
        <f t="shared" si="71"/>
        <v>-0.1371702637889689</v>
      </c>
      <c r="F268">
        <v>1.3799582463465554</v>
      </c>
      <c r="G268">
        <f t="shared" si="72"/>
        <v>28.740807125869889</v>
      </c>
      <c r="H268">
        <f t="shared" si="73"/>
        <v>-5.6191657720701862</v>
      </c>
      <c r="I268" s="6">
        <f t="shared" si="74"/>
        <v>-0.16353813167317899</v>
      </c>
    </row>
    <row r="269" spans="1:10" x14ac:dyDescent="0.25">
      <c r="A269" s="11" t="s">
        <v>36</v>
      </c>
      <c r="B269">
        <v>2012</v>
      </c>
      <c r="C269" s="9">
        <f>14.07*2.20462</f>
        <v>31.019003399999999</v>
      </c>
      <c r="D269">
        <f t="shared" si="70"/>
        <v>-8.6421103999999964</v>
      </c>
      <c r="E269" s="6">
        <f t="shared" si="71"/>
        <v>-0.21789883268482479</v>
      </c>
      <c r="F269">
        <v>1.4091858037578289</v>
      </c>
      <c r="G269">
        <f t="shared" si="72"/>
        <v>22.012003894222222</v>
      </c>
      <c r="H269">
        <f t="shared" si="73"/>
        <v>-6.7288032316476674</v>
      </c>
      <c r="I269" s="6">
        <f t="shared" si="74"/>
        <v>-0.23412019022913955</v>
      </c>
    </row>
    <row r="270" spans="1:10" x14ac:dyDescent="0.25">
      <c r="A270" s="11" t="s">
        <v>36</v>
      </c>
      <c r="B270">
        <v>2013</v>
      </c>
      <c r="C270" s="9">
        <f>12.89*2.20462</f>
        <v>28.417551799999998</v>
      </c>
      <c r="D270">
        <f t="shared" si="70"/>
        <v>-2.6014516000000008</v>
      </c>
      <c r="E270" s="6">
        <f t="shared" si="71"/>
        <v>-8.3866382373845139E-2</v>
      </c>
      <c r="F270">
        <v>1.4300626304801669</v>
      </c>
      <c r="G270">
        <f t="shared" si="72"/>
        <v>19.871543521459856</v>
      </c>
      <c r="H270">
        <f t="shared" si="73"/>
        <v>-2.1404603727623659</v>
      </c>
      <c r="I270" s="6">
        <f t="shared" si="74"/>
        <v>-9.7240595769847227E-2</v>
      </c>
    </row>
    <row r="271" spans="1:10" x14ac:dyDescent="0.25">
      <c r="A271" s="11" t="s">
        <v>36</v>
      </c>
      <c r="B271">
        <v>2014</v>
      </c>
      <c r="C271" s="9">
        <f>14.48*2.20462</f>
        <v>31.922897599999999</v>
      </c>
      <c r="D271">
        <f t="shared" si="70"/>
        <v>3.5053458000000006</v>
      </c>
      <c r="E271" s="6">
        <f t="shared" si="71"/>
        <v>0.12335143522110159</v>
      </c>
      <c r="F271">
        <v>1.4542797494780795</v>
      </c>
      <c r="G271">
        <f t="shared" si="72"/>
        <v>21.951001938558711</v>
      </c>
      <c r="H271">
        <f t="shared" si="73"/>
        <v>2.0794584170988557</v>
      </c>
      <c r="I271" s="6">
        <f t="shared" si="74"/>
        <v>0.10464503750567689</v>
      </c>
    </row>
    <row r="272" spans="1:10" x14ac:dyDescent="0.25">
      <c r="A272" s="12" t="s">
        <v>36</v>
      </c>
      <c r="B272" s="7">
        <v>2015</v>
      </c>
      <c r="C272" s="10">
        <f>13.44*2.20462</f>
        <v>29.630092799999996</v>
      </c>
      <c r="D272" s="7">
        <f t="shared" si="70"/>
        <v>-2.2928048000000025</v>
      </c>
      <c r="E272" s="8">
        <f t="shared" si="71"/>
        <v>-7.1823204419889541E-2</v>
      </c>
      <c r="F272" s="7">
        <v>1.4567849686847598</v>
      </c>
      <c r="G272" s="7">
        <f>C272/F272</f>
        <v>20.339372959587273</v>
      </c>
      <c r="H272" s="7">
        <f t="shared" si="73"/>
        <v>-1.6116289789714386</v>
      </c>
      <c r="I272" s="8">
        <f t="shared" si="74"/>
        <v>-7.3419381196467515E-2</v>
      </c>
    </row>
    <row r="273" spans="1:10" x14ac:dyDescent="0.25">
      <c r="A273" s="11" t="s">
        <v>38</v>
      </c>
      <c r="B273">
        <v>1998</v>
      </c>
      <c r="C273" s="9">
        <v>4630</v>
      </c>
      <c r="D273" t="s">
        <v>2</v>
      </c>
      <c r="E273" t="s">
        <v>2</v>
      </c>
      <c r="F273">
        <v>1</v>
      </c>
      <c r="G273">
        <f>C273</f>
        <v>4630</v>
      </c>
      <c r="H273" t="s">
        <v>2</v>
      </c>
      <c r="I273" s="6" t="s">
        <v>2</v>
      </c>
      <c r="J273" t="s">
        <v>39</v>
      </c>
    </row>
    <row r="274" spans="1:10" x14ac:dyDescent="0.25">
      <c r="A274" s="11" t="s">
        <v>38</v>
      </c>
      <c r="B274">
        <v>1999</v>
      </c>
      <c r="C274" s="9">
        <v>6011</v>
      </c>
      <c r="D274">
        <f>C274-C273</f>
        <v>1381</v>
      </c>
      <c r="E274" s="6">
        <f>C274/C273-1</f>
        <v>0.29827213822894172</v>
      </c>
      <c r="F274">
        <v>1.021294363256785</v>
      </c>
      <c r="G274">
        <f>C274/F274</f>
        <v>5885.6684382665571</v>
      </c>
      <c r="H274">
        <f>G274-G273</f>
        <v>1255.6684382665571</v>
      </c>
      <c r="I274" s="6">
        <f>G274/G273-1</f>
        <v>0.27120268645066026</v>
      </c>
    </row>
    <row r="275" spans="1:10" x14ac:dyDescent="0.25">
      <c r="A275" s="11" t="s">
        <v>38</v>
      </c>
      <c r="B275">
        <v>2000</v>
      </c>
      <c r="C275" s="9">
        <v>8638</v>
      </c>
      <c r="D275">
        <f t="shared" ref="D275:D290" si="75">C275-C274</f>
        <v>2627</v>
      </c>
      <c r="E275" s="6">
        <f t="shared" ref="E275:E290" si="76">C275/C274-1</f>
        <v>0.43703210780236224</v>
      </c>
      <c r="F275">
        <v>1.0559498956158664</v>
      </c>
      <c r="G275">
        <f t="shared" ref="G275:G289" si="77">C275/F275</f>
        <v>8180.3123764333732</v>
      </c>
      <c r="H275">
        <f t="shared" ref="H275:H290" si="78">G275-G274</f>
        <v>2294.643938166816</v>
      </c>
      <c r="I275" s="6">
        <f t="shared" ref="I275:I290" si="79">G275/G274-1</f>
        <v>0.38986972545851284</v>
      </c>
      <c r="J275" t="s">
        <v>13</v>
      </c>
    </row>
    <row r="276" spans="1:10" x14ac:dyDescent="0.25">
      <c r="A276" s="11" t="s">
        <v>38</v>
      </c>
      <c r="B276">
        <v>2001</v>
      </c>
      <c r="C276" s="9">
        <v>5945</v>
      </c>
      <c r="D276">
        <f t="shared" si="75"/>
        <v>-2693</v>
      </c>
      <c r="E276" s="6">
        <f t="shared" si="76"/>
        <v>-0.31176198194026394</v>
      </c>
      <c r="F276">
        <v>1.0860125260960336</v>
      </c>
      <c r="G276">
        <f t="shared" si="77"/>
        <v>5474.1541714725099</v>
      </c>
      <c r="H276">
        <f t="shared" si="78"/>
        <v>-2706.1582049608633</v>
      </c>
      <c r="I276" s="6">
        <f t="shared" si="79"/>
        <v>-0.33081355337444363</v>
      </c>
    </row>
    <row r="277" spans="1:10" x14ac:dyDescent="0.25">
      <c r="A277" s="11" t="s">
        <v>38</v>
      </c>
      <c r="B277">
        <v>2002</v>
      </c>
      <c r="C277" s="9">
        <v>6772</v>
      </c>
      <c r="D277">
        <f t="shared" si="75"/>
        <v>827</v>
      </c>
      <c r="E277" s="6">
        <f t="shared" si="76"/>
        <v>0.13910849453322127</v>
      </c>
      <c r="F277">
        <v>1.1031315240083506</v>
      </c>
      <c r="G277">
        <f t="shared" si="77"/>
        <v>6138.8872066616204</v>
      </c>
      <c r="H277">
        <f t="shared" si="78"/>
        <v>664.73303518911052</v>
      </c>
      <c r="I277" s="6">
        <f t="shared" si="79"/>
        <v>0.12143118632888306</v>
      </c>
    </row>
    <row r="278" spans="1:10" x14ac:dyDescent="0.25">
      <c r="A278" s="11" t="s">
        <v>38</v>
      </c>
      <c r="B278">
        <v>2003</v>
      </c>
      <c r="C278" s="9">
        <v>9629</v>
      </c>
      <c r="D278">
        <f t="shared" si="75"/>
        <v>2857</v>
      </c>
      <c r="E278" s="6">
        <f t="shared" si="76"/>
        <v>0.42188422917897217</v>
      </c>
      <c r="F278">
        <v>1.1281837160751564</v>
      </c>
      <c r="G278">
        <f t="shared" si="77"/>
        <v>8534.9574389341233</v>
      </c>
      <c r="H278">
        <f t="shared" si="78"/>
        <v>2396.0702322725028</v>
      </c>
      <c r="I278" s="6">
        <f t="shared" si="79"/>
        <v>0.39031019004102308</v>
      </c>
    </row>
    <row r="279" spans="1:10" x14ac:dyDescent="0.25">
      <c r="A279" s="11" t="s">
        <v>38</v>
      </c>
      <c r="B279">
        <v>2004</v>
      </c>
      <c r="C279" s="9">
        <v>13823</v>
      </c>
      <c r="D279">
        <f t="shared" si="75"/>
        <v>4194</v>
      </c>
      <c r="E279" s="6">
        <f t="shared" si="76"/>
        <v>0.43555924810468372</v>
      </c>
      <c r="F279">
        <v>1.1586638830897704</v>
      </c>
      <c r="G279">
        <f t="shared" si="77"/>
        <v>11930.120720720721</v>
      </c>
      <c r="H279">
        <f t="shared" si="78"/>
        <v>3395.1632817865975</v>
      </c>
      <c r="I279" s="6">
        <f t="shared" si="79"/>
        <v>0.39779498680319114</v>
      </c>
    </row>
    <row r="280" spans="1:10" x14ac:dyDescent="0.25">
      <c r="A280" s="11" t="s">
        <v>38</v>
      </c>
      <c r="B280">
        <v>2005</v>
      </c>
      <c r="C280" s="9">
        <v>14738</v>
      </c>
      <c r="D280">
        <f t="shared" si="75"/>
        <v>915</v>
      </c>
      <c r="E280" s="6">
        <f t="shared" si="76"/>
        <v>6.6194024452000289E-2</v>
      </c>
      <c r="F280">
        <v>1.1979123173277662</v>
      </c>
      <c r="G280">
        <f t="shared" si="77"/>
        <v>12303.070756361101</v>
      </c>
      <c r="H280">
        <f t="shared" si="78"/>
        <v>372.95003564038052</v>
      </c>
      <c r="I280" s="6">
        <f t="shared" si="79"/>
        <v>3.1261212218299361E-2</v>
      </c>
    </row>
    <row r="281" spans="1:10" x14ac:dyDescent="0.25">
      <c r="A281" s="11" t="s">
        <v>38</v>
      </c>
      <c r="B281">
        <v>2006</v>
      </c>
      <c r="C281" s="9">
        <v>24244</v>
      </c>
      <c r="D281">
        <f t="shared" si="75"/>
        <v>9506</v>
      </c>
      <c r="E281" s="6">
        <f t="shared" si="76"/>
        <v>0.64499932148188366</v>
      </c>
      <c r="F281">
        <v>1.2367432150313151</v>
      </c>
      <c r="G281">
        <f t="shared" si="77"/>
        <v>19603.099257258611</v>
      </c>
      <c r="H281">
        <f t="shared" si="78"/>
        <v>7300.0285008975097</v>
      </c>
      <c r="I281" s="6">
        <f t="shared" si="79"/>
        <v>0.59335011928815806</v>
      </c>
    </row>
    <row r="282" spans="1:10" x14ac:dyDescent="0.25">
      <c r="A282" s="11" t="s">
        <v>38</v>
      </c>
      <c r="B282">
        <v>2007</v>
      </c>
      <c r="C282" s="9">
        <v>37216</v>
      </c>
      <c r="D282">
        <f t="shared" si="75"/>
        <v>12972</v>
      </c>
      <c r="E282" s="6">
        <f t="shared" si="76"/>
        <v>0.53506022108562945</v>
      </c>
      <c r="F282">
        <v>1.2718162839248435</v>
      </c>
      <c r="G282">
        <f t="shared" si="77"/>
        <v>29262.087984241629</v>
      </c>
      <c r="H282">
        <f t="shared" si="78"/>
        <v>9658.9887269830178</v>
      </c>
      <c r="I282" s="6">
        <f t="shared" si="79"/>
        <v>0.49272763455536239</v>
      </c>
    </row>
    <row r="283" spans="1:10" x14ac:dyDescent="0.25">
      <c r="A283" s="11" t="s">
        <v>38</v>
      </c>
      <c r="B283">
        <v>2008</v>
      </c>
      <c r="C283" s="9">
        <v>21104</v>
      </c>
      <c r="D283">
        <f t="shared" si="75"/>
        <v>-16112</v>
      </c>
      <c r="E283" s="6">
        <f t="shared" si="76"/>
        <v>-0.43293207222699914</v>
      </c>
      <c r="F283">
        <v>1.3206680584551149</v>
      </c>
      <c r="G283">
        <f t="shared" si="77"/>
        <v>15979.791337337969</v>
      </c>
      <c r="H283">
        <f t="shared" si="78"/>
        <v>-13282.29664690366</v>
      </c>
      <c r="I283" s="6">
        <f t="shared" si="79"/>
        <v>-0.45390802782277573</v>
      </c>
    </row>
    <row r="284" spans="1:10" x14ac:dyDescent="0.25">
      <c r="A284" s="11" t="s">
        <v>38</v>
      </c>
      <c r="B284">
        <v>2009</v>
      </c>
      <c r="C284" s="9">
        <v>14649</v>
      </c>
      <c r="D284">
        <f t="shared" si="75"/>
        <v>-6455</v>
      </c>
      <c r="E284" s="6">
        <f t="shared" si="76"/>
        <v>-0.30586618650492803</v>
      </c>
      <c r="F284">
        <v>1.3160751565762003</v>
      </c>
      <c r="G284">
        <f t="shared" si="77"/>
        <v>11130.823286802031</v>
      </c>
      <c r="H284">
        <f t="shared" si="78"/>
        <v>-4848.9680505359374</v>
      </c>
      <c r="I284" s="6">
        <f t="shared" si="79"/>
        <v>-0.30344376520148697</v>
      </c>
    </row>
    <row r="285" spans="1:10" x14ac:dyDescent="0.25">
      <c r="A285" s="11" t="s">
        <v>38</v>
      </c>
      <c r="B285">
        <v>2010</v>
      </c>
      <c r="C285" s="9">
        <v>21804</v>
      </c>
      <c r="D285">
        <f t="shared" si="75"/>
        <v>7155</v>
      </c>
      <c r="E285" s="6">
        <f t="shared" si="76"/>
        <v>0.48842924431701817</v>
      </c>
      <c r="F285">
        <v>1.3377870563674321</v>
      </c>
      <c r="G285">
        <f t="shared" si="77"/>
        <v>16298.558052434457</v>
      </c>
      <c r="H285">
        <f t="shared" si="78"/>
        <v>5167.7347656324255</v>
      </c>
      <c r="I285" s="6">
        <f t="shared" si="79"/>
        <v>0.46427246507092423</v>
      </c>
    </row>
    <row r="286" spans="1:10" x14ac:dyDescent="0.25">
      <c r="A286" s="11" t="s">
        <v>38</v>
      </c>
      <c r="B286">
        <v>2011</v>
      </c>
      <c r="C286" s="9">
        <v>22890</v>
      </c>
      <c r="D286">
        <f t="shared" si="75"/>
        <v>1086</v>
      </c>
      <c r="E286" s="6">
        <f t="shared" si="76"/>
        <v>4.9807374793615855E-2</v>
      </c>
      <c r="F286">
        <v>1.3799582463465554</v>
      </c>
      <c r="G286">
        <f t="shared" si="77"/>
        <v>16587.458396369137</v>
      </c>
      <c r="H286">
        <f t="shared" si="78"/>
        <v>288.90034393467977</v>
      </c>
      <c r="I286" s="6">
        <f t="shared" si="79"/>
        <v>1.772551553365953E-2</v>
      </c>
    </row>
    <row r="287" spans="1:10" x14ac:dyDescent="0.25">
      <c r="A287" s="11" t="s">
        <v>38</v>
      </c>
      <c r="B287">
        <v>2012</v>
      </c>
      <c r="C287" s="9">
        <v>17533</v>
      </c>
      <c r="D287">
        <f t="shared" si="75"/>
        <v>-5357</v>
      </c>
      <c r="E287" s="6">
        <f t="shared" si="76"/>
        <v>-0.23403232852774136</v>
      </c>
      <c r="F287">
        <v>1.4091858037578289</v>
      </c>
      <c r="G287">
        <f t="shared" si="77"/>
        <v>12441.936296296295</v>
      </c>
      <c r="H287">
        <f t="shared" si="78"/>
        <v>-4145.5221000728416</v>
      </c>
      <c r="I287" s="6">
        <f t="shared" si="79"/>
        <v>-0.24991906541753639</v>
      </c>
    </row>
    <row r="288" spans="1:10" x14ac:dyDescent="0.25">
      <c r="A288" s="11" t="s">
        <v>38</v>
      </c>
      <c r="B288">
        <v>2013</v>
      </c>
      <c r="C288" s="9">
        <v>15018</v>
      </c>
      <c r="D288">
        <f t="shared" si="75"/>
        <v>-2515</v>
      </c>
      <c r="E288" s="6">
        <f t="shared" si="76"/>
        <v>-0.14344379170706667</v>
      </c>
      <c r="F288">
        <v>1.4300626304801669</v>
      </c>
      <c r="G288">
        <f t="shared" si="77"/>
        <v>10501.63795620438</v>
      </c>
      <c r="H288">
        <f t="shared" si="78"/>
        <v>-1940.2983400919147</v>
      </c>
      <c r="I288" s="6">
        <f t="shared" si="79"/>
        <v>-0.15594826190112399</v>
      </c>
    </row>
    <row r="289" spans="1:10" x14ac:dyDescent="0.25">
      <c r="A289" s="11" t="s">
        <v>38</v>
      </c>
      <c r="B289">
        <v>2014</v>
      </c>
      <c r="C289" s="9">
        <v>16865</v>
      </c>
      <c r="D289">
        <f t="shared" si="75"/>
        <v>1847</v>
      </c>
      <c r="E289" s="6">
        <f t="shared" si="76"/>
        <v>0.12298575043281401</v>
      </c>
      <c r="F289">
        <v>1.4542797494780795</v>
      </c>
      <c r="G289">
        <f t="shared" si="77"/>
        <v>11596.805914441573</v>
      </c>
      <c r="H289">
        <f t="shared" si="78"/>
        <v>1095.1679582371926</v>
      </c>
      <c r="I289" s="6">
        <f t="shared" si="79"/>
        <v>0.10428544221429448</v>
      </c>
    </row>
    <row r="290" spans="1:10" x14ac:dyDescent="0.25">
      <c r="A290" s="12" t="s">
        <v>38</v>
      </c>
      <c r="B290" s="7">
        <v>2015</v>
      </c>
      <c r="C290" s="10">
        <v>12635</v>
      </c>
      <c r="D290" s="7">
        <f t="shared" si="75"/>
        <v>-4230</v>
      </c>
      <c r="E290" s="8">
        <f t="shared" si="76"/>
        <v>-0.25081529795434332</v>
      </c>
      <c r="F290" s="7">
        <v>1.4567849686847598</v>
      </c>
      <c r="G290" s="7">
        <f>C290/F290</f>
        <v>8673.2086557752937</v>
      </c>
      <c r="H290" s="7">
        <f t="shared" si="78"/>
        <v>-2923.5972586662792</v>
      </c>
      <c r="I290" s="8">
        <f t="shared" si="79"/>
        <v>-0.25210366373602111</v>
      </c>
    </row>
    <row r="291" spans="1:10" x14ac:dyDescent="0.25">
      <c r="A291" s="11" t="s">
        <v>40</v>
      </c>
      <c r="B291">
        <v>1998</v>
      </c>
      <c r="C291" s="9">
        <f>0.79*2.20462</f>
        <v>1.7416498</v>
      </c>
      <c r="D291" t="s">
        <v>2</v>
      </c>
      <c r="E291" t="s">
        <v>2</v>
      </c>
      <c r="F291">
        <v>1</v>
      </c>
      <c r="G291">
        <f>C291</f>
        <v>1.7416498</v>
      </c>
      <c r="H291" t="s">
        <v>2</v>
      </c>
      <c r="I291" s="6" t="s">
        <v>2</v>
      </c>
      <c r="J291" t="s">
        <v>41</v>
      </c>
    </row>
    <row r="292" spans="1:10" x14ac:dyDescent="0.25">
      <c r="A292" s="11" t="s">
        <v>40</v>
      </c>
      <c r="B292">
        <v>1999</v>
      </c>
      <c r="C292" s="9">
        <f>0.757*2.20462</f>
        <v>1.6688973399999998</v>
      </c>
      <c r="D292">
        <f>C292-C291</f>
        <v>-7.2752460000000241E-2</v>
      </c>
      <c r="E292" s="6">
        <f>C292/C291-1</f>
        <v>-4.1772151898734289E-2</v>
      </c>
      <c r="F292">
        <v>1.021294363256785</v>
      </c>
      <c r="G292">
        <f>C292/F292</f>
        <v>1.6341002163941125</v>
      </c>
      <c r="H292">
        <f>G292-G291</f>
        <v>-0.10754958360588751</v>
      </c>
      <c r="I292" s="6">
        <f>G292/G291-1</f>
        <v>-6.1751555109349487E-2</v>
      </c>
    </row>
    <row r="293" spans="1:10" x14ac:dyDescent="0.25">
      <c r="A293" s="11" t="s">
        <v>40</v>
      </c>
      <c r="B293">
        <v>2000</v>
      </c>
      <c r="C293" s="9">
        <f>0.89*2.20462</f>
        <v>1.9621118</v>
      </c>
      <c r="D293">
        <f t="shared" ref="D293:D308" si="80">C293-C292</f>
        <v>0.29321446000000018</v>
      </c>
      <c r="E293" s="6">
        <f t="shared" ref="E293:E308" si="81">C293/C292-1</f>
        <v>0.17569352708058128</v>
      </c>
      <c r="F293">
        <v>1.0559498956158664</v>
      </c>
      <c r="G293">
        <f t="shared" ref="G293:G307" si="82">C293/F293</f>
        <v>1.8581485808620009</v>
      </c>
      <c r="H293">
        <f t="shared" ref="H293:H308" si="83">G293-G292</f>
        <v>0.22404836446788834</v>
      </c>
      <c r="I293" s="6">
        <f t="shared" ref="I293:I308" si="84">G293/G292-1</f>
        <v>0.13710809301664795</v>
      </c>
      <c r="J293" t="s">
        <v>13</v>
      </c>
    </row>
    <row r="294" spans="1:10" x14ac:dyDescent="0.25">
      <c r="A294" s="11" t="s">
        <v>40</v>
      </c>
      <c r="B294">
        <v>2001</v>
      </c>
      <c r="C294" s="9">
        <f>0.76*2.20462</f>
        <v>1.6755111999999999</v>
      </c>
      <c r="D294">
        <f t="shared" si="80"/>
        <v>-0.28660060000000009</v>
      </c>
      <c r="E294" s="6">
        <f t="shared" si="81"/>
        <v>-0.1460674157303371</v>
      </c>
      <c r="F294">
        <v>1.0860125260960336</v>
      </c>
      <c r="G294">
        <f t="shared" si="82"/>
        <v>1.5428101976163011</v>
      </c>
      <c r="H294">
        <f t="shared" si="83"/>
        <v>-0.31533838324569974</v>
      </c>
      <c r="I294" s="6">
        <f t="shared" si="84"/>
        <v>-0.16970568795925522</v>
      </c>
    </row>
    <row r="295" spans="1:10" x14ac:dyDescent="0.25">
      <c r="A295" s="11" t="s">
        <v>40</v>
      </c>
      <c r="B295">
        <v>2002</v>
      </c>
      <c r="C295" s="9">
        <f>0.75*2.20462</f>
        <v>1.6534649999999997</v>
      </c>
      <c r="D295">
        <f t="shared" si="80"/>
        <v>-2.2046200000000127E-2</v>
      </c>
      <c r="E295" s="6">
        <f t="shared" si="81"/>
        <v>-1.3157894736842146E-2</v>
      </c>
      <c r="F295">
        <v>1.1031315240083506</v>
      </c>
      <c r="G295">
        <f t="shared" si="82"/>
        <v>1.4988829201362603</v>
      </c>
      <c r="H295">
        <f t="shared" si="83"/>
        <v>-4.3927277480040772E-2</v>
      </c>
      <c r="I295" s="6">
        <f t="shared" si="84"/>
        <v>-2.8472249890433732E-2</v>
      </c>
      <c r="J295" t="s">
        <v>43</v>
      </c>
    </row>
    <row r="296" spans="1:10" x14ac:dyDescent="0.25">
      <c r="A296" s="11" t="s">
        <v>40</v>
      </c>
      <c r="B296">
        <v>2003</v>
      </c>
      <c r="C296" s="9">
        <f>0.82*2.20462</f>
        <v>1.8077883999999997</v>
      </c>
      <c r="D296">
        <f t="shared" si="80"/>
        <v>0.1543234</v>
      </c>
      <c r="E296" s="6">
        <f t="shared" si="81"/>
        <v>9.3333333333333268E-2</v>
      </c>
      <c r="F296">
        <v>1.1281837160751564</v>
      </c>
      <c r="G296">
        <f t="shared" si="82"/>
        <v>1.6023883116210214</v>
      </c>
      <c r="H296">
        <f t="shared" si="83"/>
        <v>0.10350539148476101</v>
      </c>
      <c r="I296" s="6">
        <f t="shared" si="84"/>
        <v>6.9055020972119463E-2</v>
      </c>
    </row>
    <row r="297" spans="1:10" x14ac:dyDescent="0.25">
      <c r="A297" s="11" t="s">
        <v>40</v>
      </c>
      <c r="B297">
        <v>2004</v>
      </c>
      <c r="C297" s="9">
        <f>1.32*2.20462</f>
        <v>2.9100983999999999</v>
      </c>
      <c r="D297">
        <f t="shared" si="80"/>
        <v>1.1023100000000001</v>
      </c>
      <c r="E297" s="6">
        <f t="shared" si="81"/>
        <v>0.60975609756097571</v>
      </c>
      <c r="F297">
        <v>1.1586638830897704</v>
      </c>
      <c r="G297">
        <f t="shared" si="82"/>
        <v>2.5115984389189188</v>
      </c>
      <c r="H297">
        <f t="shared" si="83"/>
        <v>0.90921012729789741</v>
      </c>
      <c r="I297" s="6">
        <f t="shared" si="84"/>
        <v>0.56740936058009228</v>
      </c>
    </row>
    <row r="298" spans="1:10" x14ac:dyDescent="0.25">
      <c r="A298" s="11" t="s">
        <v>40</v>
      </c>
      <c r="B298">
        <v>2005</v>
      </c>
      <c r="C298" s="9">
        <f>1.69*2.20462</f>
        <v>3.7258077999999997</v>
      </c>
      <c r="D298">
        <f t="shared" si="80"/>
        <v>0.81570939999999981</v>
      </c>
      <c r="E298" s="6">
        <f t="shared" si="81"/>
        <v>0.28030303030303028</v>
      </c>
      <c r="F298">
        <v>1.1979123173277662</v>
      </c>
      <c r="G298">
        <f t="shared" si="82"/>
        <v>3.1102508473335657</v>
      </c>
      <c r="H298">
        <f t="shared" si="83"/>
        <v>0.59865240841464695</v>
      </c>
      <c r="I298" s="6">
        <f t="shared" si="84"/>
        <v>0.23835514433283689</v>
      </c>
    </row>
    <row r="299" spans="1:10" x14ac:dyDescent="0.25">
      <c r="A299" s="11" t="s">
        <v>40</v>
      </c>
      <c r="B299">
        <v>2006</v>
      </c>
      <c r="C299" s="9">
        <f>3.2*2.20462</f>
        <v>7.0547839999999997</v>
      </c>
      <c r="D299">
        <f t="shared" si="80"/>
        <v>3.3289762000000001</v>
      </c>
      <c r="E299" s="6">
        <f t="shared" si="81"/>
        <v>0.89349112426035515</v>
      </c>
      <c r="F299">
        <v>1.2367432150313151</v>
      </c>
      <c r="G299">
        <f t="shared" si="82"/>
        <v>5.7043239972991229</v>
      </c>
      <c r="H299">
        <f t="shared" si="83"/>
        <v>2.5940731499655572</v>
      </c>
      <c r="I299" s="6">
        <f t="shared" si="84"/>
        <v>0.83403984993347713</v>
      </c>
    </row>
    <row r="300" spans="1:10" x14ac:dyDescent="0.25">
      <c r="A300" s="11" t="s">
        <v>40</v>
      </c>
      <c r="B300">
        <v>2007</v>
      </c>
      <c r="C300" s="9">
        <f>3.25*2.20462</f>
        <v>7.1650149999999995</v>
      </c>
      <c r="D300">
        <f t="shared" si="80"/>
        <v>0.11023099999999975</v>
      </c>
      <c r="E300" s="6">
        <f t="shared" si="81"/>
        <v>1.5625E-2</v>
      </c>
      <c r="F300">
        <v>1.2718162839248435</v>
      </c>
      <c r="G300">
        <f t="shared" si="82"/>
        <v>5.6336871060407088</v>
      </c>
      <c r="H300">
        <f t="shared" si="83"/>
        <v>-7.0636891258414103E-2</v>
      </c>
      <c r="I300" s="6">
        <f t="shared" si="84"/>
        <v>-1.2383043335522204E-2</v>
      </c>
    </row>
    <row r="301" spans="1:10" x14ac:dyDescent="0.25">
      <c r="A301" s="11" t="s">
        <v>40</v>
      </c>
      <c r="B301">
        <v>2008</v>
      </c>
      <c r="C301" s="9">
        <f>3.24*2.20462</f>
        <v>7.1429688000000002</v>
      </c>
      <c r="D301">
        <f t="shared" si="80"/>
        <v>-2.2046199999999239E-2</v>
      </c>
      <c r="E301" s="6">
        <f t="shared" si="81"/>
        <v>-3.0769230769229772E-3</v>
      </c>
      <c r="F301">
        <v>1.3206680584551149</v>
      </c>
      <c r="G301">
        <f t="shared" si="82"/>
        <v>5.4086026797344289</v>
      </c>
      <c r="H301">
        <f t="shared" si="83"/>
        <v>-0.22508442630627989</v>
      </c>
      <c r="I301" s="6">
        <f t="shared" si="84"/>
        <v>-3.9953306257447863E-2</v>
      </c>
    </row>
    <row r="302" spans="1:10" x14ac:dyDescent="0.25">
      <c r="A302" s="11" t="s">
        <v>40</v>
      </c>
      <c r="B302">
        <v>2009</v>
      </c>
      <c r="C302" s="9">
        <f>2.37*2.20462</f>
        <v>5.2249493999999999</v>
      </c>
      <c r="D302">
        <f t="shared" si="80"/>
        <v>-1.9180194000000004</v>
      </c>
      <c r="E302" s="6">
        <f t="shared" si="81"/>
        <v>-0.2685185185185186</v>
      </c>
      <c r="F302">
        <v>1.3160751565762003</v>
      </c>
      <c r="G302">
        <f t="shared" si="82"/>
        <v>3.9700995599619291</v>
      </c>
      <c r="H302">
        <f t="shared" si="83"/>
        <v>-1.4385031197724998</v>
      </c>
      <c r="I302" s="6">
        <f t="shared" si="84"/>
        <v>-0.26596575954126711</v>
      </c>
    </row>
    <row r="303" spans="1:10" x14ac:dyDescent="0.25">
      <c r="A303" s="11" t="s">
        <v>40</v>
      </c>
      <c r="B303">
        <v>2010</v>
      </c>
      <c r="C303" s="9">
        <f>3.42*2.20462</f>
        <v>7.539800399999999</v>
      </c>
      <c r="D303">
        <f t="shared" si="80"/>
        <v>2.3148509999999991</v>
      </c>
      <c r="E303" s="6">
        <f t="shared" si="81"/>
        <v>0.44303797468354422</v>
      </c>
      <c r="F303">
        <v>1.3377870563674321</v>
      </c>
      <c r="G303">
        <f t="shared" si="82"/>
        <v>5.6360243314606739</v>
      </c>
      <c r="H303">
        <f t="shared" si="83"/>
        <v>1.6659247714987448</v>
      </c>
      <c r="I303" s="6">
        <f t="shared" si="84"/>
        <v>0.41961788270990374</v>
      </c>
    </row>
    <row r="304" spans="1:10" x14ac:dyDescent="0.25">
      <c r="A304" s="11" t="s">
        <v>40</v>
      </c>
      <c r="B304">
        <v>2011</v>
      </c>
      <c r="C304" s="9">
        <f>4.05*2.20462</f>
        <v>8.9287109999999981</v>
      </c>
      <c r="D304">
        <f t="shared" si="80"/>
        <v>1.3889105999999991</v>
      </c>
      <c r="E304" s="6">
        <f t="shared" si="81"/>
        <v>0.18421052631578938</v>
      </c>
      <c r="F304">
        <v>1.3799582463465554</v>
      </c>
      <c r="G304">
        <f t="shared" si="82"/>
        <v>6.4702762012102859</v>
      </c>
      <c r="H304">
        <f t="shared" si="83"/>
        <v>0.83425186974961196</v>
      </c>
      <c r="I304" s="6">
        <f t="shared" si="84"/>
        <v>0.14802133927860472</v>
      </c>
    </row>
    <row r="305" spans="1:10" x14ac:dyDescent="0.25">
      <c r="A305" s="11" t="s">
        <v>40</v>
      </c>
      <c r="B305">
        <v>2012</v>
      </c>
      <c r="C305" s="9">
        <f>3.7*2.20462</f>
        <v>8.157093999999999</v>
      </c>
      <c r="D305">
        <f t="shared" si="80"/>
        <v>-0.77161699999999911</v>
      </c>
      <c r="E305" s="6">
        <f t="shared" si="81"/>
        <v>-8.6419753086419693E-2</v>
      </c>
      <c r="F305">
        <v>1.4091858037578289</v>
      </c>
      <c r="G305">
        <f t="shared" si="82"/>
        <v>5.7885155940740729</v>
      </c>
      <c r="H305">
        <f t="shared" si="83"/>
        <v>-0.681760607136213</v>
      </c>
      <c r="I305" s="6">
        <f t="shared" si="84"/>
        <v>-0.10536808413351617</v>
      </c>
    </row>
    <row r="306" spans="1:10" x14ac:dyDescent="0.25">
      <c r="A306" s="11" t="s">
        <v>40</v>
      </c>
      <c r="B306">
        <v>2013</v>
      </c>
      <c r="C306" s="9">
        <f>3.4*2.20462</f>
        <v>7.4957079999999987</v>
      </c>
      <c r="D306">
        <f t="shared" si="80"/>
        <v>-0.66138600000000025</v>
      </c>
      <c r="E306" s="6">
        <f t="shared" si="81"/>
        <v>-8.1081081081081141E-2</v>
      </c>
      <c r="F306">
        <v>1.4300626304801669</v>
      </c>
      <c r="G306">
        <f t="shared" si="82"/>
        <v>5.2415242802919702</v>
      </c>
      <c r="H306">
        <f t="shared" si="83"/>
        <v>-0.54699131378210275</v>
      </c>
      <c r="I306" s="6">
        <f t="shared" si="84"/>
        <v>-9.4495955809824395E-2</v>
      </c>
    </row>
    <row r="307" spans="1:10" x14ac:dyDescent="0.25">
      <c r="A307" s="11" t="s">
        <v>40</v>
      </c>
      <c r="B307">
        <v>2014</v>
      </c>
      <c r="C307" s="9">
        <f>3.22*2.20462</f>
        <v>7.0988764</v>
      </c>
      <c r="D307">
        <f t="shared" si="80"/>
        <v>-0.39683159999999873</v>
      </c>
      <c r="E307" s="6">
        <f t="shared" si="81"/>
        <v>-5.2941176470588047E-2</v>
      </c>
      <c r="F307">
        <v>1.4542797494780795</v>
      </c>
      <c r="G307">
        <f t="shared" si="82"/>
        <v>4.8813692156187187</v>
      </c>
      <c r="H307">
        <f t="shared" si="83"/>
        <v>-0.36015506467325142</v>
      </c>
      <c r="I307" s="6">
        <f t="shared" si="84"/>
        <v>-6.8711894749286517E-2</v>
      </c>
    </row>
    <row r="308" spans="1:10" x14ac:dyDescent="0.25">
      <c r="A308" s="12" t="s">
        <v>40</v>
      </c>
      <c r="B308" s="7">
        <v>2015</v>
      </c>
      <c r="C308" s="10">
        <f>2.77*2.20462</f>
        <v>6.1067973999999996</v>
      </c>
      <c r="D308" s="7">
        <f t="shared" si="80"/>
        <v>-0.99207900000000038</v>
      </c>
      <c r="E308" s="8">
        <f t="shared" si="81"/>
        <v>-0.13975155279503115</v>
      </c>
      <c r="F308" s="7">
        <v>1.4567849686847598</v>
      </c>
      <c r="G308" s="7">
        <f>C308/F308</f>
        <v>4.1919689805101745</v>
      </c>
      <c r="H308" s="7">
        <f t="shared" si="83"/>
        <v>-0.6894002351085442</v>
      </c>
      <c r="I308" s="8">
        <f t="shared" si="84"/>
        <v>-0.14123091383923558</v>
      </c>
    </row>
    <row r="309" spans="1:10" x14ac:dyDescent="0.25">
      <c r="A309" s="11" t="s">
        <v>42</v>
      </c>
      <c r="B309">
        <v>1998</v>
      </c>
      <c r="C309" s="9">
        <f>0.52*2.20462</f>
        <v>1.1464023999999999</v>
      </c>
      <c r="D309" t="s">
        <v>2</v>
      </c>
      <c r="E309" t="s">
        <v>2</v>
      </c>
      <c r="F309">
        <v>1</v>
      </c>
      <c r="G309">
        <f>C309</f>
        <v>1.1464023999999999</v>
      </c>
      <c r="H309" t="s">
        <v>2</v>
      </c>
      <c r="I309" s="6" t="s">
        <v>2</v>
      </c>
      <c r="J309" t="s">
        <v>41</v>
      </c>
    </row>
    <row r="310" spans="1:10" x14ac:dyDescent="0.25">
      <c r="A310" s="11" t="s">
        <v>42</v>
      </c>
      <c r="B310">
        <v>1999</v>
      </c>
      <c r="C310" s="9">
        <f>0.51*2.20462</f>
        <v>1.1243562</v>
      </c>
      <c r="D310">
        <f>C310-C309</f>
        <v>-2.2046199999999905E-2</v>
      </c>
      <c r="E310" s="6">
        <f>C310/C309-1</f>
        <v>-1.9230769230769162E-2</v>
      </c>
      <c r="F310">
        <v>1.021294363256785</v>
      </c>
      <c r="G310">
        <f>C310/F310</f>
        <v>1.1009129595257563</v>
      </c>
      <c r="H310">
        <f>G310-G309</f>
        <v>-4.5489440474243636E-2</v>
      </c>
      <c r="I310" s="6">
        <f>G310/G309-1</f>
        <v>-3.9680168564060647E-2</v>
      </c>
    </row>
    <row r="311" spans="1:10" x14ac:dyDescent="0.25">
      <c r="A311" s="11" t="s">
        <v>42</v>
      </c>
      <c r="B311">
        <v>2000</v>
      </c>
      <c r="C311" s="9">
        <f>0.56*2.20462</f>
        <v>1.2345872</v>
      </c>
      <c r="D311">
        <f t="shared" ref="D311:D326" si="85">C311-C310</f>
        <v>0.11023099999999997</v>
      </c>
      <c r="E311" s="6">
        <f t="shared" ref="E311:E326" si="86">C311/C310-1</f>
        <v>9.8039215686274384E-2</v>
      </c>
      <c r="F311">
        <v>1.0559498956158664</v>
      </c>
      <c r="G311">
        <f t="shared" ref="G311:G325" si="87">C311/F311</f>
        <v>1.1691721407671016</v>
      </c>
      <c r="H311">
        <f t="shared" ref="H311:H326" si="88">G311-G310</f>
        <v>6.8259181241345335E-2</v>
      </c>
      <c r="I311" s="6">
        <f t="shared" ref="I311:I326" si="89">G311/G310-1</f>
        <v>6.2002341466440347E-2</v>
      </c>
      <c r="J311" t="s">
        <v>13</v>
      </c>
    </row>
    <row r="312" spans="1:10" x14ac:dyDescent="0.25">
      <c r="A312" s="11" t="s">
        <v>42</v>
      </c>
      <c r="B312">
        <v>2001</v>
      </c>
      <c r="C312" s="9">
        <f>0.45*2.20462</f>
        <v>0.99207899999999993</v>
      </c>
      <c r="D312">
        <f t="shared" si="85"/>
        <v>-0.24250820000000006</v>
      </c>
      <c r="E312" s="6">
        <f t="shared" si="86"/>
        <v>-0.19642857142857151</v>
      </c>
      <c r="F312">
        <v>1.0860125260960336</v>
      </c>
      <c r="G312">
        <f t="shared" si="87"/>
        <v>0.91350603806228348</v>
      </c>
      <c r="H312">
        <f t="shared" si="88"/>
        <v>-0.25566610270481815</v>
      </c>
      <c r="I312" s="6">
        <f t="shared" si="89"/>
        <v>-0.21867276322293649</v>
      </c>
    </row>
    <row r="313" spans="1:10" x14ac:dyDescent="0.25">
      <c r="A313" s="11" t="s">
        <v>42</v>
      </c>
      <c r="B313">
        <v>2002</v>
      </c>
      <c r="C313" s="9">
        <f>0.4*2.20462</f>
        <v>0.88184799999999997</v>
      </c>
      <c r="D313">
        <f t="shared" si="85"/>
        <v>-0.11023099999999997</v>
      </c>
      <c r="E313" s="6">
        <f t="shared" si="86"/>
        <v>-0.11111111111111105</v>
      </c>
      <c r="F313">
        <v>1.1031315240083506</v>
      </c>
      <c r="G313">
        <f t="shared" si="87"/>
        <v>0.79940422407267231</v>
      </c>
      <c r="H313">
        <f t="shared" si="88"/>
        <v>-0.11410181398961117</v>
      </c>
      <c r="I313" s="6">
        <f t="shared" si="89"/>
        <v>-0.12490537471612384</v>
      </c>
      <c r="J313" t="s">
        <v>43</v>
      </c>
    </row>
    <row r="314" spans="1:10" x14ac:dyDescent="0.25">
      <c r="A314" s="11" t="s">
        <v>42</v>
      </c>
      <c r="B314">
        <v>2003</v>
      </c>
      <c r="C314" s="9">
        <f>0.39*2.20462</f>
        <v>0.85980179999999995</v>
      </c>
      <c r="D314">
        <f t="shared" si="85"/>
        <v>-2.2046200000000016E-2</v>
      </c>
      <c r="E314" s="6">
        <f t="shared" si="86"/>
        <v>-2.5000000000000022E-2</v>
      </c>
      <c r="F314">
        <v>1.1281837160751564</v>
      </c>
      <c r="G314">
        <f t="shared" si="87"/>
        <v>0.76211151406365663</v>
      </c>
      <c r="H314">
        <f t="shared" si="88"/>
        <v>-3.7292710009015684E-2</v>
      </c>
      <c r="I314" s="6">
        <f t="shared" si="89"/>
        <v>-4.6650629163582535E-2</v>
      </c>
    </row>
    <row r="315" spans="1:10" x14ac:dyDescent="0.25">
      <c r="A315" s="11" t="s">
        <v>42</v>
      </c>
      <c r="B315">
        <v>2004</v>
      </c>
      <c r="C315" s="9">
        <f>0.53*2.20462</f>
        <v>1.1684486000000001</v>
      </c>
      <c r="D315">
        <f t="shared" si="85"/>
        <v>0.30864680000000011</v>
      </c>
      <c r="E315" s="6">
        <f t="shared" si="86"/>
        <v>0.35897435897435903</v>
      </c>
      <c r="F315">
        <v>1.1586638830897704</v>
      </c>
      <c r="G315">
        <f t="shared" si="87"/>
        <v>1.0084448277477478</v>
      </c>
      <c r="H315">
        <f t="shared" si="88"/>
        <v>0.24633331368409117</v>
      </c>
      <c r="I315" s="6">
        <f t="shared" si="89"/>
        <v>0.32322476322476312</v>
      </c>
    </row>
    <row r="316" spans="1:10" x14ac:dyDescent="0.25">
      <c r="A316" s="11" t="s">
        <v>42</v>
      </c>
      <c r="B316">
        <v>2005</v>
      </c>
      <c r="C316" s="9">
        <f>0.632*2.20462</f>
        <v>1.39331984</v>
      </c>
      <c r="D316">
        <f t="shared" si="85"/>
        <v>0.22487123999999992</v>
      </c>
      <c r="E316" s="6">
        <f t="shared" si="86"/>
        <v>0.1924528301886792</v>
      </c>
      <c r="F316">
        <v>1.1979123173277662</v>
      </c>
      <c r="G316">
        <f t="shared" si="87"/>
        <v>1.1631233937957477</v>
      </c>
      <c r="H316">
        <f t="shared" si="88"/>
        <v>0.1546785660479999</v>
      </c>
      <c r="I316" s="6">
        <f t="shared" si="89"/>
        <v>0.15338327074715408</v>
      </c>
    </row>
    <row r="317" spans="1:10" x14ac:dyDescent="0.25">
      <c r="A317" s="11" t="s">
        <v>42</v>
      </c>
      <c r="B317">
        <v>2006</v>
      </c>
      <c r="C317" s="9">
        <f>1.45*2.20462</f>
        <v>3.1966989999999997</v>
      </c>
      <c r="D317">
        <f t="shared" si="85"/>
        <v>1.8033791599999998</v>
      </c>
      <c r="E317" s="6">
        <f t="shared" si="86"/>
        <v>1.2943037974683542</v>
      </c>
      <c r="F317">
        <v>1.2367432150313151</v>
      </c>
      <c r="G317">
        <f t="shared" si="87"/>
        <v>2.5847718112761648</v>
      </c>
      <c r="H317">
        <f t="shared" si="88"/>
        <v>1.4216484174804171</v>
      </c>
      <c r="I317" s="6">
        <f t="shared" si="89"/>
        <v>1.2222679253668836</v>
      </c>
    </row>
    <row r="318" spans="1:10" x14ac:dyDescent="0.25">
      <c r="A318" s="11" t="s">
        <v>42</v>
      </c>
      <c r="B318">
        <v>2007</v>
      </c>
      <c r="C318" s="9">
        <f>1.59*2.20462</f>
        <v>3.5053457999999997</v>
      </c>
      <c r="D318">
        <f t="shared" si="85"/>
        <v>0.3086468</v>
      </c>
      <c r="E318" s="6">
        <f t="shared" si="86"/>
        <v>9.6551724137931005E-2</v>
      </c>
      <c r="F318">
        <v>1.2718162839248435</v>
      </c>
      <c r="G318">
        <f t="shared" si="87"/>
        <v>2.756173076493762</v>
      </c>
      <c r="H318">
        <f t="shared" si="88"/>
        <v>0.17140126521759713</v>
      </c>
      <c r="I318" s="6">
        <f t="shared" si="89"/>
        <v>6.6311952362623439E-2</v>
      </c>
    </row>
    <row r="319" spans="1:10" x14ac:dyDescent="0.25">
      <c r="A319" s="11" t="s">
        <v>42</v>
      </c>
      <c r="B319">
        <v>2008</v>
      </c>
      <c r="C319" s="9">
        <f>0.89*2.20462</f>
        <v>1.9621118</v>
      </c>
      <c r="D319">
        <f t="shared" si="85"/>
        <v>-1.5432339999999998</v>
      </c>
      <c r="E319" s="6">
        <f t="shared" si="86"/>
        <v>-0.44025157232704404</v>
      </c>
      <c r="F319">
        <v>1.3206680584551149</v>
      </c>
      <c r="G319">
        <f t="shared" si="87"/>
        <v>1.4856964151122352</v>
      </c>
      <c r="H319">
        <f t="shared" si="88"/>
        <v>-1.2704766613815268</v>
      </c>
      <c r="I319" s="6">
        <f t="shared" si="89"/>
        <v>-0.46095677815623648</v>
      </c>
    </row>
    <row r="320" spans="1:10" x14ac:dyDescent="0.25">
      <c r="A320" s="11" t="s">
        <v>42</v>
      </c>
      <c r="B320">
        <v>2009</v>
      </c>
      <c r="C320" s="9">
        <f>0.78*2.20462</f>
        <v>1.7196035999999999</v>
      </c>
      <c r="D320">
        <f t="shared" si="85"/>
        <v>-0.24250820000000006</v>
      </c>
      <c r="E320" s="6">
        <f t="shared" si="86"/>
        <v>-0.12359550561797761</v>
      </c>
      <c r="F320">
        <v>1.3160751565762003</v>
      </c>
      <c r="G320">
        <f t="shared" si="87"/>
        <v>1.3066150450507614</v>
      </c>
      <c r="H320">
        <f t="shared" si="88"/>
        <v>-0.17908137006147373</v>
      </c>
      <c r="I320" s="6">
        <f t="shared" si="89"/>
        <v>-0.12053698739519758</v>
      </c>
    </row>
    <row r="321" spans="1:11" x14ac:dyDescent="0.25">
      <c r="A321" s="11" t="s">
        <v>42</v>
      </c>
      <c r="B321">
        <v>2010</v>
      </c>
      <c r="C321" s="9">
        <f>1.04*2.20462</f>
        <v>2.2928047999999999</v>
      </c>
      <c r="D321">
        <f t="shared" si="85"/>
        <v>0.57320119999999997</v>
      </c>
      <c r="E321" s="6">
        <f t="shared" si="86"/>
        <v>0.33333333333333326</v>
      </c>
      <c r="F321">
        <v>1.3377870563674321</v>
      </c>
      <c r="G321">
        <f t="shared" si="87"/>
        <v>1.7138787440699126</v>
      </c>
      <c r="H321">
        <f t="shared" si="88"/>
        <v>0.40726369901915116</v>
      </c>
      <c r="I321" s="6">
        <f t="shared" si="89"/>
        <v>0.31169371618809816</v>
      </c>
    </row>
    <row r="322" spans="1:11" x14ac:dyDescent="0.25">
      <c r="A322" s="11" t="s">
        <v>42</v>
      </c>
      <c r="B322">
        <v>2011</v>
      </c>
      <c r="C322" s="9">
        <f>1.06*2.20462</f>
        <v>2.3368972000000001</v>
      </c>
      <c r="D322">
        <f t="shared" si="85"/>
        <v>4.4092400000000254E-2</v>
      </c>
      <c r="E322" s="6">
        <f t="shared" si="86"/>
        <v>1.9230769230769384E-2</v>
      </c>
      <c r="F322">
        <v>1.3799582463465554</v>
      </c>
      <c r="G322">
        <f t="shared" si="87"/>
        <v>1.6934550057488653</v>
      </c>
      <c r="H322">
        <f t="shared" si="88"/>
        <v>-2.0423738321047269E-2</v>
      </c>
      <c r="I322" s="6">
        <f t="shared" si="89"/>
        <v>-1.1916676364482681E-2</v>
      </c>
    </row>
    <row r="323" spans="1:11" x14ac:dyDescent="0.25">
      <c r="A323" s="11" t="s">
        <v>42</v>
      </c>
      <c r="B323">
        <v>2012</v>
      </c>
      <c r="C323" s="9">
        <f>0.93*2.20462</f>
        <v>2.0502965999999998</v>
      </c>
      <c r="D323">
        <f t="shared" si="85"/>
        <v>-0.28660060000000032</v>
      </c>
      <c r="E323" s="6">
        <f t="shared" si="86"/>
        <v>-0.12264150943396235</v>
      </c>
      <c r="F323">
        <v>1.4091858037578289</v>
      </c>
      <c r="G323">
        <f t="shared" si="87"/>
        <v>1.4549512168888887</v>
      </c>
      <c r="H323">
        <f t="shared" si="88"/>
        <v>-0.23850378885997658</v>
      </c>
      <c r="I323" s="6">
        <f t="shared" si="89"/>
        <v>-0.14083857442348013</v>
      </c>
    </row>
    <row r="324" spans="1:11" x14ac:dyDescent="0.25">
      <c r="A324" s="11" t="s">
        <v>42</v>
      </c>
      <c r="B324">
        <v>2013</v>
      </c>
      <c r="C324" s="9">
        <f>0.96*2.20462</f>
        <v>2.1164351999999997</v>
      </c>
      <c r="D324">
        <f t="shared" si="85"/>
        <v>6.6138599999999936E-2</v>
      </c>
      <c r="E324" s="6">
        <f t="shared" si="86"/>
        <v>3.2258064516129004E-2</v>
      </c>
      <c r="F324">
        <v>1.4300626304801669</v>
      </c>
      <c r="G324">
        <f t="shared" si="87"/>
        <v>1.4799597967883211</v>
      </c>
      <c r="H324">
        <f t="shared" si="88"/>
        <v>2.5008579899432393E-2</v>
      </c>
      <c r="I324" s="6">
        <f t="shared" si="89"/>
        <v>1.718860372027331E-2</v>
      </c>
    </row>
    <row r="325" spans="1:11" x14ac:dyDescent="0.25">
      <c r="A325" s="11" t="s">
        <v>42</v>
      </c>
      <c r="B325">
        <v>2014</v>
      </c>
      <c r="C325" s="9">
        <f>1.075*2.20462</f>
        <v>2.3699664999999999</v>
      </c>
      <c r="D325">
        <f t="shared" si="85"/>
        <v>0.25353130000000013</v>
      </c>
      <c r="E325" s="6">
        <f t="shared" si="86"/>
        <v>0.11979166666666674</v>
      </c>
      <c r="F325">
        <v>1.4542797494780795</v>
      </c>
      <c r="G325">
        <f t="shared" si="87"/>
        <v>1.6296496604938269</v>
      </c>
      <c r="H325">
        <f t="shared" si="88"/>
        <v>0.14968986370550574</v>
      </c>
      <c r="I325" s="6">
        <f t="shared" si="89"/>
        <v>0.1011445473251027</v>
      </c>
    </row>
    <row r="326" spans="1:11" x14ac:dyDescent="0.25">
      <c r="A326" s="12" t="s">
        <v>42</v>
      </c>
      <c r="B326" s="7">
        <v>2015</v>
      </c>
      <c r="C326" s="10">
        <f>0.95*2.20462</f>
        <v>2.0943889999999996</v>
      </c>
      <c r="D326" s="7">
        <f t="shared" si="85"/>
        <v>-0.27557750000000025</v>
      </c>
      <c r="E326" s="8">
        <f t="shared" si="86"/>
        <v>-0.11627906976744196</v>
      </c>
      <c r="F326" s="7">
        <v>1.4567849686847598</v>
      </c>
      <c r="G326" s="7">
        <f>C326/F326</f>
        <v>1.4376788922327313</v>
      </c>
      <c r="H326" s="7">
        <f t="shared" si="88"/>
        <v>-0.1919707682610956</v>
      </c>
      <c r="I326" s="8">
        <f t="shared" si="89"/>
        <v>-0.11779879621668099</v>
      </c>
    </row>
    <row r="327" spans="1:11" x14ac:dyDescent="0.25">
      <c r="A327" s="11" t="s">
        <v>45</v>
      </c>
      <c r="B327">
        <v>1998</v>
      </c>
      <c r="C327" s="9">
        <v>595</v>
      </c>
      <c r="D327" t="s">
        <v>2</v>
      </c>
      <c r="E327" t="s">
        <v>2</v>
      </c>
      <c r="F327">
        <v>1</v>
      </c>
      <c r="G327">
        <f>C327</f>
        <v>595</v>
      </c>
      <c r="H327" t="s">
        <v>2</v>
      </c>
      <c r="I327" s="6" t="s">
        <v>2</v>
      </c>
      <c r="J327" t="s">
        <v>44</v>
      </c>
      <c r="K327" t="s">
        <v>46</v>
      </c>
    </row>
    <row r="328" spans="1:11" x14ac:dyDescent="0.25">
      <c r="A328" s="11" t="s">
        <v>45</v>
      </c>
      <c r="B328">
        <v>1999</v>
      </c>
      <c r="C328" s="9">
        <v>640</v>
      </c>
      <c r="D328">
        <f>C328-C327</f>
        <v>45</v>
      </c>
      <c r="E328" s="6">
        <f>C328/C327-1</f>
        <v>7.5630252100840289E-2</v>
      </c>
      <c r="F328">
        <v>1.021294363256785</v>
      </c>
      <c r="G328">
        <f>C328/F328</f>
        <v>626.65576451349136</v>
      </c>
      <c r="H328">
        <f>G328-G327</f>
        <v>31.655764513491363</v>
      </c>
      <c r="I328" s="6">
        <f>G328/G327-1</f>
        <v>5.3202965568893035E-2</v>
      </c>
    </row>
    <row r="329" spans="1:11" x14ac:dyDescent="0.25">
      <c r="A329" s="11" t="s">
        <v>45</v>
      </c>
      <c r="B329">
        <v>2000</v>
      </c>
      <c r="C329" s="9">
        <v>640</v>
      </c>
      <c r="D329">
        <f t="shared" ref="D329:D344" si="90">C329-C328</f>
        <v>0</v>
      </c>
      <c r="E329" s="6">
        <f t="shared" ref="E329:E344" si="91">C329/C328-1</f>
        <v>0</v>
      </c>
      <c r="F329">
        <v>1.0559498956158664</v>
      </c>
      <c r="G329">
        <f t="shared" ref="G329:G343" si="92">C329/F329</f>
        <v>606.089363384737</v>
      </c>
      <c r="H329">
        <f t="shared" ref="H329:H344" si="93">G329-G328</f>
        <v>-20.566401128754364</v>
      </c>
      <c r="I329" s="6">
        <f t="shared" ref="I329:I344" si="94">G329/G328-1</f>
        <v>-3.2819296164491862E-2</v>
      </c>
      <c r="J329" t="s">
        <v>13</v>
      </c>
    </row>
    <row r="330" spans="1:11" x14ac:dyDescent="0.25">
      <c r="A330" s="11" t="s">
        <v>45</v>
      </c>
      <c r="B330">
        <v>2001</v>
      </c>
      <c r="C330" s="9">
        <v>640</v>
      </c>
      <c r="D330">
        <f t="shared" si="90"/>
        <v>0</v>
      </c>
      <c r="E330" s="6">
        <f t="shared" si="91"/>
        <v>0</v>
      </c>
      <c r="F330">
        <v>1.0860125260960336</v>
      </c>
      <c r="G330">
        <f t="shared" si="92"/>
        <v>589.3118031526335</v>
      </c>
      <c r="H330">
        <f t="shared" si="93"/>
        <v>-16.777560232103497</v>
      </c>
      <c r="I330" s="6">
        <f t="shared" si="94"/>
        <v>-2.768166089965407E-2</v>
      </c>
    </row>
    <row r="331" spans="1:11" x14ac:dyDescent="0.25">
      <c r="A331" s="11" t="s">
        <v>45</v>
      </c>
      <c r="B331">
        <v>2002</v>
      </c>
      <c r="C331" s="9">
        <v>550</v>
      </c>
      <c r="D331">
        <f t="shared" si="90"/>
        <v>-90</v>
      </c>
      <c r="E331" s="6">
        <f t="shared" si="91"/>
        <v>-0.140625</v>
      </c>
      <c r="F331">
        <v>1.1031315240083506</v>
      </c>
      <c r="G331">
        <f t="shared" si="92"/>
        <v>498.58062074186228</v>
      </c>
      <c r="H331">
        <f t="shared" si="93"/>
        <v>-90.731182410771225</v>
      </c>
      <c r="I331" s="6">
        <f t="shared" si="94"/>
        <v>-0.15396125094625257</v>
      </c>
      <c r="J331" t="s">
        <v>43</v>
      </c>
    </row>
    <row r="332" spans="1:11" x14ac:dyDescent="0.25">
      <c r="A332" s="11" t="s">
        <v>45</v>
      </c>
      <c r="B332">
        <v>2003</v>
      </c>
      <c r="C332" s="9">
        <v>530</v>
      </c>
      <c r="D332">
        <f t="shared" si="90"/>
        <v>-20</v>
      </c>
      <c r="E332" s="6">
        <f t="shared" si="91"/>
        <v>-3.6363636363636376E-2</v>
      </c>
      <c r="F332">
        <v>1.1281837160751564</v>
      </c>
      <c r="G332">
        <f t="shared" si="92"/>
        <v>469.78164322723916</v>
      </c>
      <c r="H332">
        <f t="shared" si="93"/>
        <v>-28.798977514623118</v>
      </c>
      <c r="I332" s="6">
        <f t="shared" si="94"/>
        <v>-5.7761927191978923E-2</v>
      </c>
    </row>
    <row r="333" spans="1:11" x14ac:dyDescent="0.25">
      <c r="A333" s="11" t="s">
        <v>45</v>
      </c>
      <c r="B333">
        <v>2004</v>
      </c>
      <c r="C333" s="9">
        <v>550</v>
      </c>
      <c r="D333">
        <f t="shared" si="90"/>
        <v>20</v>
      </c>
      <c r="E333" s="6">
        <f t="shared" si="91"/>
        <v>3.7735849056603765E-2</v>
      </c>
      <c r="F333">
        <v>1.1586638830897704</v>
      </c>
      <c r="G333">
        <f t="shared" si="92"/>
        <v>474.68468468468467</v>
      </c>
      <c r="H333">
        <f t="shared" si="93"/>
        <v>4.9030414574455108</v>
      </c>
      <c r="I333" s="6">
        <f t="shared" si="94"/>
        <v>1.043685194628563E-2</v>
      </c>
    </row>
    <row r="334" spans="1:11" x14ac:dyDescent="0.25">
      <c r="A334" s="11" t="s">
        <v>45</v>
      </c>
      <c r="B334">
        <v>2005</v>
      </c>
      <c r="C334" s="9">
        <v>512</v>
      </c>
      <c r="D334">
        <f t="shared" si="90"/>
        <v>-38</v>
      </c>
      <c r="E334" s="6">
        <f t="shared" si="91"/>
        <v>-6.9090909090909092E-2</v>
      </c>
      <c r="F334">
        <v>1.1979123173277662</v>
      </c>
      <c r="G334">
        <f t="shared" si="92"/>
        <v>427.41024747298712</v>
      </c>
      <c r="H334">
        <f t="shared" si="93"/>
        <v>-47.274437211697546</v>
      </c>
      <c r="I334" s="6">
        <f t="shared" si="94"/>
        <v>-9.9591241801070929E-2</v>
      </c>
    </row>
    <row r="335" spans="1:11" x14ac:dyDescent="0.25">
      <c r="A335" s="11" t="s">
        <v>45</v>
      </c>
      <c r="B335">
        <v>2006</v>
      </c>
      <c r="C335" s="9">
        <v>500</v>
      </c>
      <c r="D335">
        <f t="shared" si="90"/>
        <v>-12</v>
      </c>
      <c r="E335" s="6">
        <f t="shared" si="91"/>
        <v>-2.34375E-2</v>
      </c>
      <c r="F335">
        <v>1.2367432150313151</v>
      </c>
      <c r="G335">
        <f t="shared" si="92"/>
        <v>404.28764348413239</v>
      </c>
      <c r="H335">
        <f t="shared" si="93"/>
        <v>-23.122603988854735</v>
      </c>
      <c r="I335" s="6">
        <f t="shared" si="94"/>
        <v>-5.4099320560432096E-2</v>
      </c>
    </row>
    <row r="336" spans="1:11" x14ac:dyDescent="0.25">
      <c r="A336" s="11" t="s">
        <v>45</v>
      </c>
      <c r="B336">
        <v>2007</v>
      </c>
      <c r="C336" s="9">
        <v>460</v>
      </c>
      <c r="D336">
        <f t="shared" si="90"/>
        <v>-40</v>
      </c>
      <c r="E336" s="6">
        <f t="shared" si="91"/>
        <v>-7.999999999999996E-2</v>
      </c>
      <c r="F336">
        <v>1.2718162839248435</v>
      </c>
      <c r="G336">
        <f t="shared" si="92"/>
        <v>361.68745896257383</v>
      </c>
      <c r="H336">
        <f t="shared" si="93"/>
        <v>-42.60018452155856</v>
      </c>
      <c r="I336" s="6">
        <f t="shared" si="94"/>
        <v>-0.10537097833223918</v>
      </c>
    </row>
    <row r="337" spans="1:10" x14ac:dyDescent="0.25">
      <c r="A337" s="11" t="s">
        <v>45</v>
      </c>
      <c r="B337">
        <v>2008</v>
      </c>
      <c r="C337" s="9">
        <v>560</v>
      </c>
      <c r="D337">
        <f t="shared" si="90"/>
        <v>100</v>
      </c>
      <c r="E337" s="6">
        <f t="shared" si="91"/>
        <v>0.21739130434782616</v>
      </c>
      <c r="F337">
        <v>1.3206680584551149</v>
      </c>
      <c r="G337">
        <f t="shared" si="92"/>
        <v>424.02782168827059</v>
      </c>
      <c r="H337">
        <f t="shared" si="93"/>
        <v>62.340362725696764</v>
      </c>
      <c r="I337" s="6">
        <f t="shared" si="94"/>
        <v>0.17235975752244026</v>
      </c>
    </row>
    <row r="338" spans="1:10" x14ac:dyDescent="0.25">
      <c r="A338" s="11" t="s">
        <v>45</v>
      </c>
      <c r="B338">
        <v>2009</v>
      </c>
      <c r="C338" s="9">
        <v>480</v>
      </c>
      <c r="D338">
        <f t="shared" si="90"/>
        <v>-80</v>
      </c>
      <c r="E338" s="6">
        <f t="shared" si="91"/>
        <v>-0.1428571428571429</v>
      </c>
      <c r="F338">
        <v>1.3160751565762003</v>
      </c>
      <c r="G338">
        <f t="shared" si="92"/>
        <v>364.72081218274116</v>
      </c>
      <c r="H338">
        <f t="shared" si="93"/>
        <v>-59.307009505529436</v>
      </c>
      <c r="I338" s="6">
        <f t="shared" si="94"/>
        <v>-0.13986584481508324</v>
      </c>
    </row>
    <row r="339" spans="1:10" x14ac:dyDescent="0.25">
      <c r="A339" s="11" t="s">
        <v>45</v>
      </c>
      <c r="B339">
        <v>2010</v>
      </c>
      <c r="C339" s="9">
        <v>670</v>
      </c>
      <c r="D339">
        <f t="shared" si="90"/>
        <v>190</v>
      </c>
      <c r="E339" s="6">
        <f t="shared" si="91"/>
        <v>0.39583333333333326</v>
      </c>
      <c r="F339">
        <v>1.3377870563674321</v>
      </c>
      <c r="G339">
        <f t="shared" si="92"/>
        <v>500.8270911360799</v>
      </c>
      <c r="H339">
        <f t="shared" si="93"/>
        <v>136.10627895333874</v>
      </c>
      <c r="I339" s="6">
        <f t="shared" si="94"/>
        <v>0.37317935913441524</v>
      </c>
    </row>
    <row r="340" spans="1:10" x14ac:dyDescent="0.25">
      <c r="A340" s="11" t="s">
        <v>45</v>
      </c>
      <c r="B340">
        <v>2011</v>
      </c>
      <c r="C340" s="9">
        <v>700</v>
      </c>
      <c r="D340">
        <f t="shared" si="90"/>
        <v>30</v>
      </c>
      <c r="E340" s="6">
        <f t="shared" si="91"/>
        <v>4.4776119402984982E-2</v>
      </c>
      <c r="F340">
        <v>1.3799582463465554</v>
      </c>
      <c r="G340">
        <f t="shared" si="92"/>
        <v>507.26172465960661</v>
      </c>
      <c r="H340">
        <f t="shared" si="93"/>
        <v>6.4346335235267134</v>
      </c>
      <c r="I340" s="6">
        <f t="shared" si="94"/>
        <v>1.2848014089913429E-2</v>
      </c>
    </row>
    <row r="341" spans="1:10" x14ac:dyDescent="0.25">
      <c r="A341" s="11" t="s">
        <v>45</v>
      </c>
      <c r="B341">
        <v>2012</v>
      </c>
      <c r="C341" s="9">
        <v>556</v>
      </c>
      <c r="D341">
        <f t="shared" si="90"/>
        <v>-144</v>
      </c>
      <c r="E341" s="6">
        <f t="shared" si="91"/>
        <v>-0.20571428571428574</v>
      </c>
      <c r="F341">
        <v>1.4091858037578289</v>
      </c>
      <c r="G341">
        <f t="shared" si="92"/>
        <v>394.55407407407404</v>
      </c>
      <c r="H341">
        <f t="shared" si="93"/>
        <v>-112.70765058553258</v>
      </c>
      <c r="I341" s="6">
        <f t="shared" si="94"/>
        <v>-0.22218835978835982</v>
      </c>
    </row>
    <row r="342" spans="1:10" x14ac:dyDescent="0.25">
      <c r="A342" s="11" t="s">
        <v>45</v>
      </c>
      <c r="B342">
        <v>2013</v>
      </c>
      <c r="C342" s="9">
        <v>511</v>
      </c>
      <c r="D342">
        <f t="shared" si="90"/>
        <v>-45</v>
      </c>
      <c r="E342" s="6">
        <f t="shared" si="91"/>
        <v>-8.0935251798561203E-2</v>
      </c>
      <c r="F342">
        <v>1.4300626304801669</v>
      </c>
      <c r="G342">
        <f t="shared" si="92"/>
        <v>357.32700729927012</v>
      </c>
      <c r="H342">
        <f t="shared" si="93"/>
        <v>-37.227066774803916</v>
      </c>
      <c r="I342" s="6">
        <f t="shared" si="94"/>
        <v>-9.435225542193959E-2</v>
      </c>
    </row>
    <row r="343" spans="1:10" x14ac:dyDescent="0.25">
      <c r="A343" s="11" t="s">
        <v>45</v>
      </c>
      <c r="B343">
        <v>2014</v>
      </c>
      <c r="C343" s="9">
        <v>362</v>
      </c>
      <c r="D343">
        <f t="shared" si="90"/>
        <v>-149</v>
      </c>
      <c r="E343" s="6">
        <f t="shared" si="91"/>
        <v>-0.2915851272015656</v>
      </c>
      <c r="F343">
        <v>1.4542797494780795</v>
      </c>
      <c r="G343">
        <f t="shared" si="92"/>
        <v>248.92047085845533</v>
      </c>
      <c r="H343">
        <f t="shared" si="93"/>
        <v>-108.40653644081479</v>
      </c>
      <c r="I343" s="6">
        <f t="shared" si="94"/>
        <v>-0.30338187214050027</v>
      </c>
    </row>
    <row r="344" spans="1:10" x14ac:dyDescent="0.25">
      <c r="A344" s="12" t="s">
        <v>45</v>
      </c>
      <c r="B344" s="7">
        <v>2015</v>
      </c>
      <c r="C344" s="10">
        <v>295</v>
      </c>
      <c r="D344" s="7">
        <f t="shared" si="90"/>
        <v>-67</v>
      </c>
      <c r="E344" s="8">
        <f t="shared" si="91"/>
        <v>-0.18508287292817682</v>
      </c>
      <c r="F344" s="7">
        <v>1.4567849686847598</v>
      </c>
      <c r="G344" s="7">
        <f>C344/F344</f>
        <v>202.5007165376899</v>
      </c>
      <c r="H344" s="7">
        <f t="shared" si="93"/>
        <v>-46.419754320765435</v>
      </c>
      <c r="I344" s="8">
        <f t="shared" si="94"/>
        <v>-0.18648427813380319</v>
      </c>
    </row>
    <row r="345" spans="1:10" x14ac:dyDescent="0.25">
      <c r="A345" s="11" t="s">
        <v>47</v>
      </c>
      <c r="B345">
        <v>1998</v>
      </c>
      <c r="C345" s="9">
        <f>0.3*2.20462</f>
        <v>0.66138599999999992</v>
      </c>
      <c r="D345" t="s">
        <v>2</v>
      </c>
      <c r="E345" t="s">
        <v>2</v>
      </c>
      <c r="F345">
        <v>1</v>
      </c>
      <c r="G345">
        <f>C345</f>
        <v>0.66138599999999992</v>
      </c>
      <c r="H345" t="s">
        <v>2</v>
      </c>
      <c r="I345" s="6" t="s">
        <v>2</v>
      </c>
      <c r="J345" t="s">
        <v>48</v>
      </c>
    </row>
    <row r="346" spans="1:10" x14ac:dyDescent="0.25">
      <c r="A346" s="11" t="s">
        <v>47</v>
      </c>
      <c r="B346">
        <v>1999</v>
      </c>
      <c r="C346" s="9">
        <f>0.32*2.20462</f>
        <v>0.70547839999999995</v>
      </c>
      <c r="D346">
        <f>C346-C345</f>
        <v>4.4092400000000032E-2</v>
      </c>
      <c r="E346" s="6">
        <f>C346/C345-1</f>
        <v>6.6666666666666652E-2</v>
      </c>
      <c r="F346">
        <v>1.021294363256785</v>
      </c>
      <c r="G346">
        <f>C346/F346</f>
        <v>0.69076891578086663</v>
      </c>
      <c r="H346">
        <f>G346-G345</f>
        <v>2.9382915780866714E-2</v>
      </c>
      <c r="I346" s="6">
        <f>G346/G345-1</f>
        <v>4.4426274189152348E-2</v>
      </c>
      <c r="J346" t="s">
        <v>49</v>
      </c>
    </row>
    <row r="347" spans="1:10" x14ac:dyDescent="0.25">
      <c r="A347" s="11" t="s">
        <v>47</v>
      </c>
      <c r="B347">
        <v>2000</v>
      </c>
      <c r="C347" s="9">
        <f>0.32*2.20462</f>
        <v>0.70547839999999995</v>
      </c>
      <c r="D347">
        <f t="shared" ref="D347:D362" si="95">C347-C346</f>
        <v>0</v>
      </c>
      <c r="E347" s="6">
        <f t="shared" ref="E347:E362" si="96">C347/C346-1</f>
        <v>0</v>
      </c>
      <c r="F347">
        <v>1.0559498956158664</v>
      </c>
      <c r="G347">
        <f t="shared" ref="G347:G361" si="97">C347/F347</f>
        <v>0.66809836615262941</v>
      </c>
      <c r="H347">
        <f t="shared" ref="H347:H362" si="98">G347-G346</f>
        <v>-2.2670549628237224E-2</v>
      </c>
      <c r="I347" s="6">
        <f t="shared" ref="I347:I362" si="99">G347/G346-1</f>
        <v>-3.2819296164491862E-2</v>
      </c>
      <c r="J347" t="s">
        <v>13</v>
      </c>
    </row>
    <row r="348" spans="1:10" x14ac:dyDescent="0.25">
      <c r="A348" s="11" t="s">
        <v>47</v>
      </c>
      <c r="B348">
        <v>2001</v>
      </c>
      <c r="C348" s="9">
        <f>0.31*2.20462</f>
        <v>0.68343219999999993</v>
      </c>
      <c r="D348">
        <f t="shared" si="95"/>
        <v>-2.2046200000000016E-2</v>
      </c>
      <c r="E348" s="6">
        <f t="shared" si="96"/>
        <v>-3.125E-2</v>
      </c>
      <c r="F348">
        <v>1.0860125260960336</v>
      </c>
      <c r="G348">
        <f t="shared" si="97"/>
        <v>0.62930415955401753</v>
      </c>
      <c r="H348">
        <f t="shared" si="98"/>
        <v>-3.879420659861188E-2</v>
      </c>
      <c r="I348" s="6">
        <f t="shared" si="99"/>
        <v>-5.8066608996539926E-2</v>
      </c>
    </row>
    <row r="349" spans="1:10" x14ac:dyDescent="0.25">
      <c r="A349" s="11" t="s">
        <v>47</v>
      </c>
      <c r="B349">
        <v>2002</v>
      </c>
      <c r="C349" s="9">
        <f>0.33*2.20462</f>
        <v>0.72752459999999997</v>
      </c>
      <c r="D349">
        <f t="shared" si="95"/>
        <v>4.4092400000000032E-2</v>
      </c>
      <c r="E349" s="6">
        <f t="shared" si="96"/>
        <v>6.4516129032258007E-2</v>
      </c>
      <c r="F349">
        <v>1.1031315240083506</v>
      </c>
      <c r="G349">
        <f t="shared" si="97"/>
        <v>0.65950848485995461</v>
      </c>
      <c r="H349">
        <f t="shared" si="98"/>
        <v>3.0204325305937085E-2</v>
      </c>
      <c r="I349" s="6">
        <f t="shared" si="99"/>
        <v>4.7996385924641949E-2</v>
      </c>
      <c r="J349" t="s">
        <v>43</v>
      </c>
    </row>
    <row r="350" spans="1:10" x14ac:dyDescent="0.25">
      <c r="A350" s="11" t="s">
        <v>47</v>
      </c>
      <c r="B350">
        <v>2003</v>
      </c>
      <c r="C350" s="9">
        <f>0.34*2.20462</f>
        <v>0.74957079999999998</v>
      </c>
      <c r="D350">
        <f t="shared" si="95"/>
        <v>2.2046200000000016E-2</v>
      </c>
      <c r="E350" s="6">
        <f t="shared" si="96"/>
        <v>3.0303030303030276E-2</v>
      </c>
      <c r="F350">
        <v>1.1281837160751564</v>
      </c>
      <c r="G350">
        <f t="shared" si="97"/>
        <v>0.66440490969652111</v>
      </c>
      <c r="H350">
        <f t="shared" si="98"/>
        <v>4.8964248365664931E-3</v>
      </c>
      <c r="I350" s="6">
        <f t="shared" si="99"/>
        <v>7.4243545746135453E-3</v>
      </c>
    </row>
    <row r="351" spans="1:10" x14ac:dyDescent="0.25">
      <c r="A351" s="11" t="s">
        <v>47</v>
      </c>
      <c r="B351">
        <v>2004</v>
      </c>
      <c r="C351" s="9">
        <f>0.32*2.20462</f>
        <v>0.70547839999999995</v>
      </c>
      <c r="D351">
        <f t="shared" si="95"/>
        <v>-4.4092400000000032E-2</v>
      </c>
      <c r="E351" s="6">
        <f t="shared" si="96"/>
        <v>-5.8823529411764719E-2</v>
      </c>
      <c r="F351">
        <v>1.1586638830897704</v>
      </c>
      <c r="G351">
        <f t="shared" si="97"/>
        <v>0.60887234882882879</v>
      </c>
      <c r="H351">
        <f t="shared" si="98"/>
        <v>-5.5532560867692315E-2</v>
      </c>
      <c r="I351" s="6">
        <f t="shared" si="99"/>
        <v>-8.3582405935347159E-2</v>
      </c>
    </row>
    <row r="352" spans="1:10" x14ac:dyDescent="0.25">
      <c r="A352" s="11" t="s">
        <v>47</v>
      </c>
      <c r="B352">
        <v>2005</v>
      </c>
      <c r="C352" s="9">
        <f>0.32*2.20462</f>
        <v>0.70547839999999995</v>
      </c>
      <c r="D352">
        <f t="shared" si="95"/>
        <v>0</v>
      </c>
      <c r="E352" s="6">
        <f t="shared" si="96"/>
        <v>0</v>
      </c>
      <c r="F352">
        <v>1.1979123173277662</v>
      </c>
      <c r="G352">
        <f t="shared" si="97"/>
        <v>0.58892323736493546</v>
      </c>
      <c r="H352">
        <f t="shared" si="98"/>
        <v>-1.9949111463893332E-2</v>
      </c>
      <c r="I352" s="6">
        <f t="shared" si="99"/>
        <v>-3.2764029278494311E-2</v>
      </c>
    </row>
    <row r="353" spans="1:10" x14ac:dyDescent="0.25">
      <c r="A353" s="11" t="s">
        <v>47</v>
      </c>
      <c r="B353">
        <v>2006</v>
      </c>
      <c r="C353" s="9">
        <f>0.35*2.20462</f>
        <v>0.77161699999999989</v>
      </c>
      <c r="D353">
        <f t="shared" si="95"/>
        <v>6.6138599999999936E-2</v>
      </c>
      <c r="E353" s="6">
        <f t="shared" si="96"/>
        <v>9.375E-2</v>
      </c>
      <c r="F353">
        <v>1.2367432150313151</v>
      </c>
      <c r="G353">
        <f t="shared" si="97"/>
        <v>0.62391043720459149</v>
      </c>
      <c r="H353">
        <f t="shared" si="98"/>
        <v>3.4987199839656036E-2</v>
      </c>
      <c r="I353" s="6">
        <f t="shared" si="99"/>
        <v>5.9408760972316177E-2</v>
      </c>
    </row>
    <row r="354" spans="1:10" x14ac:dyDescent="0.25">
      <c r="A354" s="11" t="s">
        <v>47</v>
      </c>
      <c r="B354">
        <v>2007</v>
      </c>
      <c r="C354" s="9">
        <f>0.25*2.20462</f>
        <v>0.55115499999999995</v>
      </c>
      <c r="D354">
        <f t="shared" si="95"/>
        <v>-0.22046199999999994</v>
      </c>
      <c r="E354" s="6">
        <f t="shared" si="96"/>
        <v>-0.2857142857142857</v>
      </c>
      <c r="F354">
        <v>1.2718162839248435</v>
      </c>
      <c r="G354">
        <f t="shared" si="97"/>
        <v>0.43336054661851603</v>
      </c>
      <c r="H354">
        <f t="shared" si="98"/>
        <v>-0.19054989058607547</v>
      </c>
      <c r="I354" s="6">
        <f t="shared" si="99"/>
        <v>-0.3054122502579496</v>
      </c>
    </row>
    <row r="355" spans="1:10" x14ac:dyDescent="0.25">
      <c r="A355" s="11" t="s">
        <v>47</v>
      </c>
      <c r="B355">
        <v>2008</v>
      </c>
      <c r="C355" s="9">
        <f>0.41*2.20462</f>
        <v>0.90389419999999987</v>
      </c>
      <c r="D355">
        <f t="shared" si="95"/>
        <v>0.35273919999999992</v>
      </c>
      <c r="E355" s="6">
        <f t="shared" si="96"/>
        <v>0.6399999999999999</v>
      </c>
      <c r="F355">
        <v>1.3206680584551149</v>
      </c>
      <c r="G355">
        <f t="shared" si="97"/>
        <v>0.68442194404046774</v>
      </c>
      <c r="H355">
        <f t="shared" si="98"/>
        <v>0.25106139742195172</v>
      </c>
      <c r="I355" s="6">
        <f t="shared" si="99"/>
        <v>0.57933607334808701</v>
      </c>
    </row>
    <row r="356" spans="1:10" x14ac:dyDescent="0.25">
      <c r="A356" s="11" t="s">
        <v>47</v>
      </c>
      <c r="B356">
        <v>2009</v>
      </c>
      <c r="C356" s="9">
        <f>0.54*2.20462</f>
        <v>1.1904948</v>
      </c>
      <c r="D356">
        <f t="shared" si="95"/>
        <v>0.28660060000000009</v>
      </c>
      <c r="E356" s="6">
        <f t="shared" si="96"/>
        <v>0.31707317073170738</v>
      </c>
      <c r="F356">
        <v>1.3160751565762003</v>
      </c>
      <c r="G356">
        <f t="shared" si="97"/>
        <v>0.90457964657360412</v>
      </c>
      <c r="H356">
        <f t="shared" si="98"/>
        <v>0.22015770253313638</v>
      </c>
      <c r="I356" s="6">
        <f t="shared" si="99"/>
        <v>0.32166955552804311</v>
      </c>
    </row>
    <row r="357" spans="1:10" x14ac:dyDescent="0.25">
      <c r="A357" s="11" t="s">
        <v>47</v>
      </c>
      <c r="B357">
        <v>2010</v>
      </c>
      <c r="C357" s="9">
        <f>0.2*2.20462</f>
        <v>0.44092399999999998</v>
      </c>
      <c r="D357">
        <f t="shared" si="95"/>
        <v>-0.74957079999999998</v>
      </c>
      <c r="E357" s="6">
        <f t="shared" si="96"/>
        <v>-0.62962962962962965</v>
      </c>
      <c r="F357">
        <v>1.3377870563674321</v>
      </c>
      <c r="G357">
        <f t="shared" si="97"/>
        <v>0.32959206616729086</v>
      </c>
      <c r="H357">
        <f t="shared" si="98"/>
        <v>-0.57498758040631326</v>
      </c>
      <c r="I357" s="6">
        <f t="shared" si="99"/>
        <v>-0.63564063439219498</v>
      </c>
    </row>
    <row r="358" spans="1:10" x14ac:dyDescent="0.25">
      <c r="A358" s="11" t="s">
        <v>47</v>
      </c>
      <c r="B358">
        <v>2011</v>
      </c>
      <c r="C358" s="9">
        <f>0.2*2.20462</f>
        <v>0.44092399999999998</v>
      </c>
      <c r="D358">
        <f t="shared" si="95"/>
        <v>0</v>
      </c>
      <c r="E358" s="6">
        <f t="shared" si="96"/>
        <v>0</v>
      </c>
      <c r="F358">
        <v>1.3799582463465554</v>
      </c>
      <c r="G358">
        <f t="shared" si="97"/>
        <v>0.31951981240544625</v>
      </c>
      <c r="H358">
        <f t="shared" si="98"/>
        <v>-1.0072253761844618E-2</v>
      </c>
      <c r="I358" s="6">
        <f t="shared" si="99"/>
        <v>-3.0559757942511423E-2</v>
      </c>
    </row>
    <row r="359" spans="1:10" x14ac:dyDescent="0.25">
      <c r="A359" s="11" t="s">
        <v>47</v>
      </c>
      <c r="B359">
        <v>2012</v>
      </c>
      <c r="C359" s="9">
        <f>0.22*2.20462</f>
        <v>0.48501639999999996</v>
      </c>
      <c r="D359">
        <f t="shared" si="95"/>
        <v>4.4092399999999976E-2</v>
      </c>
      <c r="E359" s="6">
        <f t="shared" si="96"/>
        <v>9.9999999999999867E-2</v>
      </c>
      <c r="F359">
        <v>1.4091858037578289</v>
      </c>
      <c r="G359">
        <f t="shared" si="97"/>
        <v>0.34418200829629625</v>
      </c>
      <c r="H359">
        <f t="shared" si="98"/>
        <v>2.4662195890850003E-2</v>
      </c>
      <c r="I359" s="6">
        <f t="shared" si="99"/>
        <v>7.7185185185185246E-2</v>
      </c>
    </row>
    <row r="360" spans="1:10" x14ac:dyDescent="0.25">
      <c r="A360" s="11" t="s">
        <v>47</v>
      </c>
      <c r="B360">
        <v>2013</v>
      </c>
      <c r="C360" s="9">
        <f>0.26*2.20462</f>
        <v>0.57320119999999997</v>
      </c>
      <c r="D360">
        <f t="shared" si="95"/>
        <v>8.8184800000000008E-2</v>
      </c>
      <c r="E360" s="6">
        <f t="shared" si="96"/>
        <v>0.18181818181818188</v>
      </c>
      <c r="F360">
        <v>1.4300626304801669</v>
      </c>
      <c r="G360">
        <f t="shared" si="97"/>
        <v>0.40082244496350367</v>
      </c>
      <c r="H360">
        <f t="shared" si="98"/>
        <v>5.6640436667207417E-2</v>
      </c>
      <c r="I360" s="6">
        <f t="shared" si="99"/>
        <v>0.16456536164565372</v>
      </c>
    </row>
    <row r="361" spans="1:10" x14ac:dyDescent="0.25">
      <c r="A361" s="11" t="s">
        <v>47</v>
      </c>
      <c r="B361">
        <v>2014</v>
      </c>
      <c r="C361" s="9">
        <f>0.3*2.20462</f>
        <v>0.66138599999999992</v>
      </c>
      <c r="D361">
        <f t="shared" si="95"/>
        <v>8.8184799999999952E-2</v>
      </c>
      <c r="E361" s="6">
        <f t="shared" si="96"/>
        <v>0.15384615384615374</v>
      </c>
      <c r="F361">
        <v>1.4542797494780795</v>
      </c>
      <c r="G361">
        <f t="shared" si="97"/>
        <v>0.45478595176571912</v>
      </c>
      <c r="H361">
        <f t="shared" si="98"/>
        <v>5.3963506802215455E-2</v>
      </c>
      <c r="I361" s="6">
        <f t="shared" si="99"/>
        <v>0.13463194858543659</v>
      </c>
    </row>
    <row r="362" spans="1:10" x14ac:dyDescent="0.25">
      <c r="A362" s="12" t="s">
        <v>47</v>
      </c>
      <c r="B362" s="7">
        <v>2015</v>
      </c>
      <c r="C362" s="10">
        <f>0.29*2.20462</f>
        <v>0.6393397999999999</v>
      </c>
      <c r="D362" s="7">
        <f t="shared" si="95"/>
        <v>-2.2046200000000016E-2</v>
      </c>
      <c r="E362" s="8">
        <f t="shared" si="96"/>
        <v>-3.3333333333333326E-2</v>
      </c>
      <c r="F362" s="7">
        <v>1.4567849686847598</v>
      </c>
      <c r="G362" s="7">
        <f>C362/F362</f>
        <v>0.43887039868157063</v>
      </c>
      <c r="H362" s="7">
        <f t="shared" si="98"/>
        <v>-1.5915553084148493E-2</v>
      </c>
      <c r="I362" s="8">
        <f t="shared" si="99"/>
        <v>-3.4995700773860605E-2</v>
      </c>
    </row>
    <row r="363" spans="1:10" x14ac:dyDescent="0.25">
      <c r="A363" s="11" t="s">
        <v>50</v>
      </c>
      <c r="B363">
        <v>1998</v>
      </c>
      <c r="C363">
        <f>2.48*2.20462</f>
        <v>5.4674575999999995</v>
      </c>
      <c r="D363" t="s">
        <v>2</v>
      </c>
      <c r="E363" s="6" t="s">
        <v>2</v>
      </c>
      <c r="F363">
        <v>1</v>
      </c>
      <c r="G363">
        <f>C363</f>
        <v>5.4674575999999995</v>
      </c>
      <c r="H363" t="s">
        <v>2</v>
      </c>
      <c r="I363" s="6" t="s">
        <v>2</v>
      </c>
      <c r="J363" t="s">
        <v>51</v>
      </c>
    </row>
    <row r="364" spans="1:10" x14ac:dyDescent="0.25">
      <c r="A364" s="11" t="s">
        <v>50</v>
      </c>
      <c r="B364">
        <v>1999</v>
      </c>
      <c r="C364">
        <f>2.5*2.20462</f>
        <v>5.5115499999999997</v>
      </c>
      <c r="D364">
        <f>C364-C363</f>
        <v>4.4092400000000254E-2</v>
      </c>
      <c r="E364" s="6">
        <f>C364/C363-1</f>
        <v>8.0645161290322509E-3</v>
      </c>
      <c r="F364">
        <v>1.021294363256785</v>
      </c>
      <c r="G364">
        <f>C364/F364</f>
        <v>5.3966321545380209</v>
      </c>
      <c r="H364">
        <f>G364-G363</f>
        <v>-7.0825445461978553E-2</v>
      </c>
      <c r="I364" s="6">
        <f>G364/G363-1</f>
        <v>-1.2953999947247663E-2</v>
      </c>
    </row>
    <row r="365" spans="1:10" x14ac:dyDescent="0.25">
      <c r="A365" s="11" t="s">
        <v>50</v>
      </c>
      <c r="B365">
        <v>2000</v>
      </c>
      <c r="C365">
        <f>3.84*2.20462</f>
        <v>8.465740799999999</v>
      </c>
      <c r="D365">
        <f t="shared" ref="D365:D426" si="100">C365-C364</f>
        <v>2.9541907999999992</v>
      </c>
      <c r="E365" s="6">
        <f t="shared" ref="E365:E380" si="101">C365/C364-1</f>
        <v>0.53599999999999981</v>
      </c>
      <c r="F365">
        <v>1.0559498956158664</v>
      </c>
      <c r="G365">
        <f t="shared" ref="G365:G379" si="102">C365/F365</f>
        <v>8.0171803938315538</v>
      </c>
      <c r="H365">
        <f t="shared" ref="H365:H380" si="103">G365-G364</f>
        <v>2.6205482392935329</v>
      </c>
      <c r="I365" s="6">
        <f t="shared" ref="I365:I380" si="104">G365/G364-1</f>
        <v>0.48558956109134055</v>
      </c>
      <c r="J365" t="s">
        <v>13</v>
      </c>
    </row>
    <row r="366" spans="1:10" x14ac:dyDescent="0.25">
      <c r="A366" s="11" t="s">
        <v>50</v>
      </c>
      <c r="B366">
        <v>2001</v>
      </c>
      <c r="C366">
        <f>3.9*2.20462</f>
        <v>8.5980179999999997</v>
      </c>
      <c r="D366">
        <f t="shared" si="100"/>
        <v>0.13227720000000076</v>
      </c>
      <c r="E366" s="6">
        <f t="shared" si="101"/>
        <v>1.5625E-2</v>
      </c>
      <c r="F366">
        <v>1.0860125260960336</v>
      </c>
      <c r="G366">
        <f t="shared" si="102"/>
        <v>7.9170523298731244</v>
      </c>
      <c r="H366">
        <f t="shared" si="103"/>
        <v>-0.10012806395842944</v>
      </c>
      <c r="I366" s="6">
        <f t="shared" si="104"/>
        <v>-1.2489186851211254E-2</v>
      </c>
    </row>
    <row r="367" spans="1:10" x14ac:dyDescent="0.25">
      <c r="A367" s="11" t="s">
        <v>50</v>
      </c>
      <c r="B367">
        <v>2002</v>
      </c>
      <c r="C367">
        <f>4.27*2.20462</f>
        <v>9.4137273999999991</v>
      </c>
      <c r="D367">
        <f t="shared" si="100"/>
        <v>0.81570939999999936</v>
      </c>
      <c r="E367" s="6">
        <f t="shared" si="101"/>
        <v>9.4871794871794757E-2</v>
      </c>
      <c r="F367">
        <v>1.1031315240083506</v>
      </c>
      <c r="G367">
        <f t="shared" si="102"/>
        <v>8.5336400919757764</v>
      </c>
      <c r="H367">
        <f t="shared" si="103"/>
        <v>0.61658776210265209</v>
      </c>
      <c r="I367" s="6">
        <f t="shared" si="104"/>
        <v>7.788097595062049E-2</v>
      </c>
      <c r="J367" t="s">
        <v>43</v>
      </c>
    </row>
    <row r="368" spans="1:10" x14ac:dyDescent="0.25">
      <c r="A368" s="11" t="s">
        <v>50</v>
      </c>
      <c r="B368">
        <v>2003</v>
      </c>
      <c r="C368">
        <f>5.68*2.20462</f>
        <v>12.522241599999997</v>
      </c>
      <c r="D368">
        <f t="shared" si="100"/>
        <v>3.1085141999999983</v>
      </c>
      <c r="E368" s="6">
        <f t="shared" si="101"/>
        <v>0.33021077283372358</v>
      </c>
      <c r="F368">
        <v>1.1281837160751564</v>
      </c>
      <c r="G368">
        <f t="shared" si="102"/>
        <v>11.099470256106587</v>
      </c>
      <c r="H368">
        <f t="shared" si="103"/>
        <v>2.5658301641308103</v>
      </c>
      <c r="I368" s="6">
        <f t="shared" si="104"/>
        <v>0.30067241370344089</v>
      </c>
    </row>
    <row r="369" spans="1:9" x14ac:dyDescent="0.25">
      <c r="A369" s="11" t="s">
        <v>50</v>
      </c>
      <c r="B369">
        <v>2004</v>
      </c>
      <c r="C369">
        <f>24.89*2.20462</f>
        <v>54.872991799999994</v>
      </c>
      <c r="D369">
        <f t="shared" si="100"/>
        <v>42.350750199999993</v>
      </c>
      <c r="E369" s="6">
        <f t="shared" si="101"/>
        <v>3.382042253521127</v>
      </c>
      <c r="F369">
        <v>1.1586638830897704</v>
      </c>
      <c r="G369">
        <f t="shared" si="102"/>
        <v>47.358852382342334</v>
      </c>
      <c r="H369">
        <f t="shared" si="103"/>
        <v>36.259382126235749</v>
      </c>
      <c r="I369" s="6">
        <f t="shared" si="104"/>
        <v>3.2667669077528227</v>
      </c>
    </row>
    <row r="370" spans="1:9" x14ac:dyDescent="0.25">
      <c r="A370" s="11" t="s">
        <v>50</v>
      </c>
      <c r="B370">
        <v>2005</v>
      </c>
      <c r="C370">
        <f>51.43*2.20462</f>
        <v>113.38360659999999</v>
      </c>
      <c r="D370">
        <f t="shared" si="100"/>
        <v>58.510614799999999</v>
      </c>
      <c r="E370" s="6">
        <f t="shared" si="101"/>
        <v>1.0662916834069907</v>
      </c>
      <c r="F370">
        <v>1.1979123173277662</v>
      </c>
      <c r="G370">
        <f t="shared" si="102"/>
        <v>94.651006555245729</v>
      </c>
      <c r="H370">
        <f t="shared" si="103"/>
        <v>47.292154172903395</v>
      </c>
      <c r="I370" s="6">
        <f t="shared" si="104"/>
        <v>0.99859164219393515</v>
      </c>
    </row>
    <row r="371" spans="1:9" x14ac:dyDescent="0.25">
      <c r="A371" s="11" t="s">
        <v>50</v>
      </c>
      <c r="B371">
        <v>2006</v>
      </c>
      <c r="C371">
        <f>24.57*2.20462</f>
        <v>54.167513399999997</v>
      </c>
      <c r="D371">
        <f t="shared" si="100"/>
        <v>-59.216093199999996</v>
      </c>
      <c r="E371" s="6">
        <f t="shared" si="101"/>
        <v>-0.52226327046470933</v>
      </c>
      <c r="F371">
        <v>1.2367432150313151</v>
      </c>
      <c r="G371">
        <f t="shared" si="102"/>
        <v>43.798512691762326</v>
      </c>
      <c r="H371">
        <f t="shared" si="103"/>
        <v>-50.852493863483403</v>
      </c>
      <c r="I371" s="6">
        <f t="shared" si="104"/>
        <v>-0.53726310700987545</v>
      </c>
    </row>
    <row r="372" spans="1:9" x14ac:dyDescent="0.25">
      <c r="A372" s="11" t="s">
        <v>50</v>
      </c>
      <c r="B372">
        <v>2007</v>
      </c>
      <c r="C372">
        <f>32.9*2.20462</f>
        <v>72.531997999999987</v>
      </c>
      <c r="D372">
        <f t="shared" si="100"/>
        <v>18.36448459999999</v>
      </c>
      <c r="E372" s="6">
        <f t="shared" si="101"/>
        <v>0.33903133903133886</v>
      </c>
      <c r="F372">
        <v>1.2718162839248435</v>
      </c>
      <c r="G372">
        <f t="shared" si="102"/>
        <v>57.030247934996702</v>
      </c>
      <c r="H372">
        <f t="shared" si="103"/>
        <v>13.231735243234375</v>
      </c>
      <c r="I372" s="6">
        <f t="shared" si="104"/>
        <v>0.30210467045660705</v>
      </c>
    </row>
    <row r="373" spans="1:9" x14ac:dyDescent="0.25">
      <c r="A373" s="11" t="s">
        <v>50</v>
      </c>
      <c r="B373">
        <v>2008</v>
      </c>
      <c r="C373">
        <f>32.29*2.20462</f>
        <v>71.187179799999996</v>
      </c>
      <c r="D373">
        <f t="shared" si="100"/>
        <v>-1.3448181999999917</v>
      </c>
      <c r="E373" s="6">
        <f t="shared" si="101"/>
        <v>-1.85410334346503E-2</v>
      </c>
      <c r="F373">
        <v>1.3206680584551149</v>
      </c>
      <c r="G373">
        <f t="shared" si="102"/>
        <v>53.902401397723672</v>
      </c>
      <c r="H373">
        <f t="shared" si="103"/>
        <v>-3.1278465372730295</v>
      </c>
      <c r="I373" s="6">
        <f t="shared" si="104"/>
        <v>-5.4845396092932264E-2</v>
      </c>
    </row>
    <row r="374" spans="1:9" x14ac:dyDescent="0.25">
      <c r="A374" s="11" t="s">
        <v>50</v>
      </c>
      <c r="B374">
        <v>2009</v>
      </c>
      <c r="C374">
        <f>23.07*2.20462</f>
        <v>50.860583399999996</v>
      </c>
      <c r="D374">
        <f t="shared" si="100"/>
        <v>-20.3265964</v>
      </c>
      <c r="E374" s="6">
        <f t="shared" si="101"/>
        <v>-0.28553731805512539</v>
      </c>
      <c r="F374">
        <v>1.3160751565762003</v>
      </c>
      <c r="G374">
        <f t="shared" si="102"/>
        <v>38.645652678616749</v>
      </c>
      <c r="H374">
        <f t="shared" si="103"/>
        <v>-15.256748719106923</v>
      </c>
      <c r="I374" s="6">
        <f t="shared" si="104"/>
        <v>-0.28304395209656141</v>
      </c>
    </row>
    <row r="375" spans="1:9" x14ac:dyDescent="0.25">
      <c r="A375" s="11" t="s">
        <v>50</v>
      </c>
      <c r="B375">
        <v>2010</v>
      </c>
      <c r="C375">
        <f>37.83*2.20462</f>
        <v>83.400774599999991</v>
      </c>
      <c r="D375">
        <f t="shared" si="100"/>
        <v>32.540191199999995</v>
      </c>
      <c r="E375" s="6">
        <f t="shared" si="101"/>
        <v>0.63979193758127439</v>
      </c>
      <c r="F375">
        <v>1.3377870563674321</v>
      </c>
      <c r="G375">
        <f t="shared" si="102"/>
        <v>62.342339315543065</v>
      </c>
      <c r="H375">
        <f t="shared" si="103"/>
        <v>23.696686636926316</v>
      </c>
      <c r="I375" s="6">
        <f t="shared" si="104"/>
        <v>0.61317858528594771</v>
      </c>
    </row>
    <row r="376" spans="1:9" x14ac:dyDescent="0.25">
      <c r="A376" s="11" t="s">
        <v>50</v>
      </c>
      <c r="B376">
        <v>2011</v>
      </c>
      <c r="C376">
        <f>66.35*2.20462</f>
        <v>146.27653699999996</v>
      </c>
      <c r="D376">
        <f t="shared" si="100"/>
        <v>62.875762399999971</v>
      </c>
      <c r="E376" s="6">
        <f t="shared" si="101"/>
        <v>0.75389902194025882</v>
      </c>
      <c r="F376">
        <v>1.3799582463465554</v>
      </c>
      <c r="G376">
        <f t="shared" si="102"/>
        <v>106.00069776550677</v>
      </c>
      <c r="H376">
        <f t="shared" si="103"/>
        <v>43.658358449963707</v>
      </c>
      <c r="I376" s="6">
        <f t="shared" si="104"/>
        <v>0.70030029237415703</v>
      </c>
    </row>
    <row r="377" spans="1:9" x14ac:dyDescent="0.25">
      <c r="A377" s="11" t="s">
        <v>50</v>
      </c>
      <c r="B377">
        <v>2012</v>
      </c>
      <c r="C377">
        <f>54*2.20462</f>
        <v>119.04947999999999</v>
      </c>
      <c r="D377">
        <f t="shared" si="100"/>
        <v>-27.227056999999974</v>
      </c>
      <c r="E377" s="6">
        <f t="shared" si="101"/>
        <v>-0.18613413715146931</v>
      </c>
      <c r="F377">
        <v>1.4091858037578289</v>
      </c>
      <c r="G377">
        <f t="shared" si="102"/>
        <v>84.481038399999989</v>
      </c>
      <c r="H377">
        <f t="shared" si="103"/>
        <v>-21.519659365506783</v>
      </c>
      <c r="I377" s="6">
        <f t="shared" si="104"/>
        <v>-0.20301431801054992</v>
      </c>
    </row>
    <row r="378" spans="1:9" x14ac:dyDescent="0.25">
      <c r="A378" s="11" t="s">
        <v>50</v>
      </c>
      <c r="B378">
        <v>2013</v>
      </c>
      <c r="C378">
        <f>36*2.20462</f>
        <v>79.366319999999988</v>
      </c>
      <c r="D378">
        <f t="shared" si="100"/>
        <v>-39.683160000000001</v>
      </c>
      <c r="E378" s="6">
        <f t="shared" si="101"/>
        <v>-0.33333333333333337</v>
      </c>
      <c r="F378">
        <v>1.4300626304801669</v>
      </c>
      <c r="G378">
        <f t="shared" si="102"/>
        <v>55.498492379562038</v>
      </c>
      <c r="H378">
        <f t="shared" si="103"/>
        <v>-28.982546020437951</v>
      </c>
      <c r="I378" s="6">
        <f t="shared" si="104"/>
        <v>-0.34306569343065696</v>
      </c>
    </row>
    <row r="379" spans="1:9" x14ac:dyDescent="0.25">
      <c r="A379" s="11" t="s">
        <v>50</v>
      </c>
      <c r="B379">
        <v>2014</v>
      </c>
      <c r="C379">
        <f>27*2.20462</f>
        <v>59.524739999999994</v>
      </c>
      <c r="D379">
        <f t="shared" si="100"/>
        <v>-19.841579999999993</v>
      </c>
      <c r="E379" s="6">
        <f t="shared" si="101"/>
        <v>-0.25</v>
      </c>
      <c r="F379">
        <v>1.4542797494780795</v>
      </c>
      <c r="G379">
        <f t="shared" si="102"/>
        <v>40.93073565891472</v>
      </c>
      <c r="H379">
        <f t="shared" si="103"/>
        <v>-14.567756720647317</v>
      </c>
      <c r="I379" s="6">
        <f t="shared" si="104"/>
        <v>-0.26248923341946606</v>
      </c>
    </row>
    <row r="380" spans="1:9" x14ac:dyDescent="0.25">
      <c r="A380" s="12" t="s">
        <v>50</v>
      </c>
      <c r="B380" s="7">
        <v>2015</v>
      </c>
      <c r="C380" s="7">
        <f>22*2.20462</f>
        <v>48.501639999999995</v>
      </c>
      <c r="D380" s="7">
        <f t="shared" si="100"/>
        <v>-11.023099999999999</v>
      </c>
      <c r="E380" s="8">
        <f t="shared" si="101"/>
        <v>-0.18518518518518523</v>
      </c>
      <c r="F380" s="7">
        <v>1.4567849686847598</v>
      </c>
      <c r="G380" s="7">
        <f>C380/F380</f>
        <v>33.293616451705361</v>
      </c>
      <c r="H380" s="7">
        <f t="shared" si="103"/>
        <v>-7.6371192072093592</v>
      </c>
      <c r="I380" s="8">
        <f t="shared" si="104"/>
        <v>-0.18658641444539958</v>
      </c>
    </row>
    <row r="381" spans="1:9" x14ac:dyDescent="0.25">
      <c r="A381" s="11" t="s">
        <v>52</v>
      </c>
      <c r="B381">
        <v>1998</v>
      </c>
      <c r="D381" t="s">
        <v>2</v>
      </c>
      <c r="E381" s="6" t="s">
        <v>2</v>
      </c>
      <c r="F381" t="s">
        <v>2</v>
      </c>
      <c r="G381" s="6" t="s">
        <v>2</v>
      </c>
      <c r="H381" t="s">
        <v>2</v>
      </c>
      <c r="I381" t="s">
        <v>2</v>
      </c>
    </row>
    <row r="382" spans="1:9" x14ac:dyDescent="0.25">
      <c r="A382" s="11" t="s">
        <v>52</v>
      </c>
      <c r="B382">
        <v>1999</v>
      </c>
      <c r="D382" t="s">
        <v>2</v>
      </c>
      <c r="E382" s="6" t="s">
        <v>2</v>
      </c>
      <c r="F382" t="s">
        <v>2</v>
      </c>
      <c r="G382" s="6" t="s">
        <v>2</v>
      </c>
      <c r="H382" t="s">
        <v>2</v>
      </c>
      <c r="I382" t="s">
        <v>2</v>
      </c>
    </row>
    <row r="383" spans="1:9" x14ac:dyDescent="0.25">
      <c r="A383" s="11" t="s">
        <v>52</v>
      </c>
      <c r="B383">
        <v>2000</v>
      </c>
      <c r="D383" t="s">
        <v>2</v>
      </c>
      <c r="E383" s="6" t="s">
        <v>2</v>
      </c>
      <c r="F383" t="s">
        <v>2</v>
      </c>
      <c r="G383" s="6" t="s">
        <v>2</v>
      </c>
      <c r="H383" t="s">
        <v>2</v>
      </c>
      <c r="I383" t="s">
        <v>2</v>
      </c>
    </row>
    <row r="384" spans="1:9" x14ac:dyDescent="0.25">
      <c r="A384" s="11" t="s">
        <v>52</v>
      </c>
      <c r="B384">
        <v>2001</v>
      </c>
      <c r="D384" t="s">
        <v>2</v>
      </c>
      <c r="E384" s="6" t="s">
        <v>2</v>
      </c>
      <c r="F384" t="s">
        <v>2</v>
      </c>
      <c r="G384" s="6" t="s">
        <v>2</v>
      </c>
      <c r="H384" t="s">
        <v>2</v>
      </c>
      <c r="I384" t="s">
        <v>2</v>
      </c>
    </row>
    <row r="385" spans="1:9" x14ac:dyDescent="0.25">
      <c r="A385" s="11" t="s">
        <v>52</v>
      </c>
      <c r="B385">
        <v>2002</v>
      </c>
      <c r="D385" t="s">
        <v>2</v>
      </c>
      <c r="E385" s="6" t="s">
        <v>2</v>
      </c>
      <c r="F385" t="s">
        <v>2</v>
      </c>
      <c r="G385" s="6" t="s">
        <v>2</v>
      </c>
      <c r="H385" t="s">
        <v>2</v>
      </c>
      <c r="I385" t="s">
        <v>2</v>
      </c>
    </row>
    <row r="386" spans="1:9" x14ac:dyDescent="0.25">
      <c r="A386" s="11" t="s">
        <v>52</v>
      </c>
      <c r="B386">
        <v>2003</v>
      </c>
      <c r="D386" t="s">
        <v>2</v>
      </c>
      <c r="E386" s="6" t="s">
        <v>2</v>
      </c>
      <c r="F386" t="s">
        <v>2</v>
      </c>
      <c r="G386" s="6" t="s">
        <v>2</v>
      </c>
      <c r="H386" t="s">
        <v>2</v>
      </c>
      <c r="I386" t="s">
        <v>2</v>
      </c>
    </row>
    <row r="387" spans="1:9" x14ac:dyDescent="0.25">
      <c r="A387" s="11" t="s">
        <v>52</v>
      </c>
      <c r="B387">
        <v>2004</v>
      </c>
      <c r="D387" t="s">
        <v>2</v>
      </c>
      <c r="E387" s="6" t="s">
        <v>2</v>
      </c>
      <c r="F387" t="s">
        <v>2</v>
      </c>
      <c r="G387" s="6" t="s">
        <v>2</v>
      </c>
      <c r="H387" t="s">
        <v>2</v>
      </c>
      <c r="I387" t="s">
        <v>2</v>
      </c>
    </row>
    <row r="388" spans="1:9" x14ac:dyDescent="0.25">
      <c r="A388" s="11" t="s">
        <v>52</v>
      </c>
      <c r="B388">
        <v>2005</v>
      </c>
      <c r="D388" t="s">
        <v>2</v>
      </c>
      <c r="E388" s="6" t="s">
        <v>2</v>
      </c>
      <c r="F388" t="s">
        <v>2</v>
      </c>
      <c r="G388" s="6" t="s">
        <v>2</v>
      </c>
      <c r="H388" t="s">
        <v>2</v>
      </c>
      <c r="I388" t="s">
        <v>2</v>
      </c>
    </row>
    <row r="389" spans="1:9" x14ac:dyDescent="0.25">
      <c r="A389" s="11" t="s">
        <v>52</v>
      </c>
      <c r="B389">
        <v>2006</v>
      </c>
      <c r="D389" t="s">
        <v>2</v>
      </c>
      <c r="E389" s="6" t="s">
        <v>2</v>
      </c>
      <c r="F389" t="s">
        <v>2</v>
      </c>
      <c r="G389" s="6" t="s">
        <v>2</v>
      </c>
      <c r="H389" t="s">
        <v>2</v>
      </c>
      <c r="I389" t="s">
        <v>2</v>
      </c>
    </row>
    <row r="390" spans="1:9" x14ac:dyDescent="0.25">
      <c r="A390" s="11" t="s">
        <v>52</v>
      </c>
      <c r="B390">
        <v>2007</v>
      </c>
      <c r="D390" t="s">
        <v>2</v>
      </c>
      <c r="E390" s="6" t="s">
        <v>2</v>
      </c>
      <c r="F390" t="s">
        <v>2</v>
      </c>
      <c r="G390" s="6" t="s">
        <v>2</v>
      </c>
      <c r="H390" t="s">
        <v>2</v>
      </c>
      <c r="I390" t="s">
        <v>2</v>
      </c>
    </row>
    <row r="391" spans="1:9" x14ac:dyDescent="0.25">
      <c r="A391" s="11" t="s">
        <v>52</v>
      </c>
      <c r="B391">
        <v>2008</v>
      </c>
      <c r="D391" t="s">
        <v>2</v>
      </c>
      <c r="E391" s="6" t="s">
        <v>2</v>
      </c>
      <c r="F391" t="s">
        <v>2</v>
      </c>
      <c r="G391" s="6" t="s">
        <v>2</v>
      </c>
      <c r="H391" t="s">
        <v>2</v>
      </c>
      <c r="I391" t="s">
        <v>2</v>
      </c>
    </row>
    <row r="392" spans="1:9" x14ac:dyDescent="0.25">
      <c r="A392" s="11" t="s">
        <v>52</v>
      </c>
      <c r="B392">
        <v>2009</v>
      </c>
      <c r="D392" t="s">
        <v>2</v>
      </c>
      <c r="E392" s="6" t="s">
        <v>2</v>
      </c>
      <c r="F392" t="s">
        <v>2</v>
      </c>
      <c r="G392" s="6" t="s">
        <v>2</v>
      </c>
      <c r="H392" t="s">
        <v>2</v>
      </c>
      <c r="I392" t="s">
        <v>2</v>
      </c>
    </row>
    <row r="393" spans="1:9" x14ac:dyDescent="0.25">
      <c r="A393" s="11" t="s">
        <v>52</v>
      </c>
      <c r="B393">
        <v>2010</v>
      </c>
      <c r="D393" t="s">
        <v>2</v>
      </c>
      <c r="E393" s="6" t="s">
        <v>2</v>
      </c>
      <c r="F393" t="s">
        <v>2</v>
      </c>
      <c r="G393" s="6" t="s">
        <v>2</v>
      </c>
      <c r="H393" t="s">
        <v>2</v>
      </c>
      <c r="I393" t="s">
        <v>2</v>
      </c>
    </row>
    <row r="394" spans="1:9" x14ac:dyDescent="0.25">
      <c r="A394" s="11" t="s">
        <v>52</v>
      </c>
      <c r="B394">
        <v>2011</v>
      </c>
      <c r="D394" t="s">
        <v>2</v>
      </c>
      <c r="E394" s="6" t="s">
        <v>2</v>
      </c>
      <c r="F394" t="s">
        <v>2</v>
      </c>
      <c r="G394" s="6" t="s">
        <v>2</v>
      </c>
      <c r="H394" t="s">
        <v>2</v>
      </c>
      <c r="I394" t="s">
        <v>2</v>
      </c>
    </row>
    <row r="395" spans="1:9" x14ac:dyDescent="0.25">
      <c r="A395" s="11" t="s">
        <v>52</v>
      </c>
      <c r="B395">
        <v>2012</v>
      </c>
      <c r="D395" t="s">
        <v>2</v>
      </c>
      <c r="E395" s="6" t="s">
        <v>2</v>
      </c>
      <c r="F395" t="s">
        <v>2</v>
      </c>
      <c r="G395" s="6" t="s">
        <v>2</v>
      </c>
      <c r="H395" t="s">
        <v>2</v>
      </c>
      <c r="I395" t="s">
        <v>2</v>
      </c>
    </row>
    <row r="396" spans="1:9" x14ac:dyDescent="0.25">
      <c r="A396" s="11" t="s">
        <v>52</v>
      </c>
      <c r="B396">
        <v>2013</v>
      </c>
      <c r="D396" t="s">
        <v>2</v>
      </c>
      <c r="E396" s="6" t="s">
        <v>2</v>
      </c>
      <c r="F396" t="s">
        <v>2</v>
      </c>
      <c r="G396" s="6" t="s">
        <v>2</v>
      </c>
      <c r="H396" t="s">
        <v>2</v>
      </c>
      <c r="I396" t="s">
        <v>2</v>
      </c>
    </row>
    <row r="397" spans="1:9" x14ac:dyDescent="0.25">
      <c r="A397" s="11" t="s">
        <v>52</v>
      </c>
      <c r="B397">
        <v>2014</v>
      </c>
      <c r="D397" t="s">
        <v>2</v>
      </c>
      <c r="E397" s="6" t="s">
        <v>2</v>
      </c>
      <c r="F397" t="s">
        <v>2</v>
      </c>
      <c r="G397" s="6" t="s">
        <v>2</v>
      </c>
      <c r="H397" t="s">
        <v>2</v>
      </c>
      <c r="I397" t="s">
        <v>2</v>
      </c>
    </row>
    <row r="398" spans="1:9" x14ac:dyDescent="0.25">
      <c r="A398" s="12" t="s">
        <v>52</v>
      </c>
      <c r="B398" s="7">
        <v>2015</v>
      </c>
      <c r="C398" s="7"/>
      <c r="D398" s="7" t="s">
        <v>2</v>
      </c>
      <c r="E398" s="8" t="s">
        <v>2</v>
      </c>
      <c r="F398" s="7" t="s">
        <v>2</v>
      </c>
      <c r="G398" s="8" t="s">
        <v>2</v>
      </c>
      <c r="H398" s="7" t="s">
        <v>2</v>
      </c>
      <c r="I398" s="7" t="s">
        <v>2</v>
      </c>
    </row>
    <row r="399" spans="1:9" x14ac:dyDescent="0.25">
      <c r="A399" s="11" t="s">
        <v>53</v>
      </c>
      <c r="B399">
        <v>1998</v>
      </c>
      <c r="D399" s="6" t="s">
        <v>2</v>
      </c>
      <c r="E399" s="6" t="s">
        <v>2</v>
      </c>
      <c r="F399" s="6" t="s">
        <v>2</v>
      </c>
      <c r="G399" s="6" t="s">
        <v>2</v>
      </c>
      <c r="H399" s="6" t="s">
        <v>2</v>
      </c>
      <c r="I399" s="6" t="s">
        <v>2</v>
      </c>
    </row>
    <row r="400" spans="1:9" x14ac:dyDescent="0.25">
      <c r="A400" s="11" t="s">
        <v>53</v>
      </c>
      <c r="B400">
        <v>1999</v>
      </c>
      <c r="D400" s="6" t="s">
        <v>2</v>
      </c>
      <c r="E400" s="6" t="s">
        <v>2</v>
      </c>
      <c r="F400" s="6" t="s">
        <v>2</v>
      </c>
      <c r="G400" s="6" t="s">
        <v>2</v>
      </c>
      <c r="H400" s="6" t="s">
        <v>2</v>
      </c>
      <c r="I400" s="6" t="s">
        <v>2</v>
      </c>
    </row>
    <row r="401" spans="1:9" x14ac:dyDescent="0.25">
      <c r="A401" s="11" t="s">
        <v>53</v>
      </c>
      <c r="B401">
        <v>2000</v>
      </c>
      <c r="D401" s="6" t="s">
        <v>2</v>
      </c>
      <c r="E401" s="6" t="s">
        <v>2</v>
      </c>
      <c r="F401" s="6" t="s">
        <v>2</v>
      </c>
      <c r="G401" s="6" t="s">
        <v>2</v>
      </c>
      <c r="H401" s="6" t="s">
        <v>2</v>
      </c>
      <c r="I401" s="6" t="s">
        <v>2</v>
      </c>
    </row>
    <row r="402" spans="1:9" x14ac:dyDescent="0.25">
      <c r="A402" s="11" t="s">
        <v>53</v>
      </c>
      <c r="B402">
        <v>2001</v>
      </c>
      <c r="D402" s="6" t="s">
        <v>2</v>
      </c>
      <c r="E402" s="6" t="s">
        <v>2</v>
      </c>
      <c r="F402" s="6" t="s">
        <v>2</v>
      </c>
      <c r="G402" s="6" t="s">
        <v>2</v>
      </c>
      <c r="H402" s="6" t="s">
        <v>2</v>
      </c>
      <c r="I402" s="6" t="s">
        <v>2</v>
      </c>
    </row>
    <row r="403" spans="1:9" x14ac:dyDescent="0.25">
      <c r="A403" s="11" t="s">
        <v>53</v>
      </c>
      <c r="B403">
        <v>2002</v>
      </c>
      <c r="D403" s="6" t="s">
        <v>2</v>
      </c>
      <c r="E403" s="6" t="s">
        <v>2</v>
      </c>
      <c r="F403" s="6" t="s">
        <v>2</v>
      </c>
      <c r="G403" s="6" t="s">
        <v>2</v>
      </c>
      <c r="H403" s="6" t="s">
        <v>2</v>
      </c>
      <c r="I403" s="6" t="s">
        <v>2</v>
      </c>
    </row>
    <row r="404" spans="1:9" x14ac:dyDescent="0.25">
      <c r="A404" s="11" t="s">
        <v>53</v>
      </c>
      <c r="B404">
        <v>2003</v>
      </c>
      <c r="D404" s="6" t="s">
        <v>2</v>
      </c>
      <c r="E404" s="6" t="s">
        <v>2</v>
      </c>
      <c r="F404" s="6" t="s">
        <v>2</v>
      </c>
      <c r="G404" s="6" t="s">
        <v>2</v>
      </c>
      <c r="H404" s="6" t="s">
        <v>2</v>
      </c>
      <c r="I404" s="6" t="s">
        <v>2</v>
      </c>
    </row>
    <row r="405" spans="1:9" x14ac:dyDescent="0.25">
      <c r="A405" s="11" t="s">
        <v>53</v>
      </c>
      <c r="B405">
        <v>2004</v>
      </c>
      <c r="D405" s="6" t="s">
        <v>2</v>
      </c>
      <c r="E405" s="6" t="s">
        <v>2</v>
      </c>
      <c r="F405" s="6" t="s">
        <v>2</v>
      </c>
      <c r="G405" s="6" t="s">
        <v>2</v>
      </c>
      <c r="H405" s="6" t="s">
        <v>2</v>
      </c>
      <c r="I405" s="6" t="s">
        <v>2</v>
      </c>
    </row>
    <row r="406" spans="1:9" x14ac:dyDescent="0.25">
      <c r="A406" s="11" t="s">
        <v>53</v>
      </c>
      <c r="B406">
        <v>2005</v>
      </c>
      <c r="D406" s="6" t="s">
        <v>2</v>
      </c>
      <c r="E406" s="6" t="s">
        <v>2</v>
      </c>
      <c r="F406" s="6" t="s">
        <v>2</v>
      </c>
      <c r="G406" s="6" t="s">
        <v>2</v>
      </c>
      <c r="H406" s="6" t="s">
        <v>2</v>
      </c>
      <c r="I406" s="6" t="s">
        <v>2</v>
      </c>
    </row>
    <row r="407" spans="1:9" x14ac:dyDescent="0.25">
      <c r="A407" s="11" t="s">
        <v>53</v>
      </c>
      <c r="B407">
        <v>2006</v>
      </c>
      <c r="D407" s="6" t="s">
        <v>2</v>
      </c>
      <c r="E407" s="6" t="s">
        <v>2</v>
      </c>
      <c r="F407" s="6" t="s">
        <v>2</v>
      </c>
      <c r="G407" s="6" t="s">
        <v>2</v>
      </c>
      <c r="H407" s="6" t="s">
        <v>2</v>
      </c>
      <c r="I407" s="6" t="s">
        <v>2</v>
      </c>
    </row>
    <row r="408" spans="1:9" x14ac:dyDescent="0.25">
      <c r="A408" s="11" t="s">
        <v>53</v>
      </c>
      <c r="B408">
        <v>2007</v>
      </c>
      <c r="D408" s="6" t="s">
        <v>2</v>
      </c>
      <c r="E408" s="6" t="s">
        <v>2</v>
      </c>
      <c r="F408" s="6" t="s">
        <v>2</v>
      </c>
      <c r="G408" s="6" t="s">
        <v>2</v>
      </c>
      <c r="H408" s="6" t="s">
        <v>2</v>
      </c>
      <c r="I408" s="6" t="s">
        <v>2</v>
      </c>
    </row>
    <row r="409" spans="1:9" x14ac:dyDescent="0.25">
      <c r="A409" s="11" t="s">
        <v>53</v>
      </c>
      <c r="B409">
        <v>2008</v>
      </c>
      <c r="D409" s="6" t="s">
        <v>2</v>
      </c>
      <c r="E409" s="6" t="s">
        <v>2</v>
      </c>
      <c r="F409" s="6" t="s">
        <v>2</v>
      </c>
      <c r="G409" s="6" t="s">
        <v>2</v>
      </c>
      <c r="H409" s="6" t="s">
        <v>2</v>
      </c>
      <c r="I409" s="6" t="s">
        <v>2</v>
      </c>
    </row>
    <row r="410" spans="1:9" x14ac:dyDescent="0.25">
      <c r="A410" s="11" t="s">
        <v>53</v>
      </c>
      <c r="B410">
        <v>2009</v>
      </c>
      <c r="D410" s="6" t="s">
        <v>2</v>
      </c>
      <c r="E410" s="6" t="s">
        <v>2</v>
      </c>
      <c r="F410" s="6" t="s">
        <v>2</v>
      </c>
      <c r="G410" s="6" t="s">
        <v>2</v>
      </c>
      <c r="H410" s="6" t="s">
        <v>2</v>
      </c>
      <c r="I410" s="6" t="s">
        <v>2</v>
      </c>
    </row>
    <row r="411" spans="1:9" x14ac:dyDescent="0.25">
      <c r="A411" s="11" t="s">
        <v>53</v>
      </c>
      <c r="B411">
        <v>2010</v>
      </c>
      <c r="D411" s="6" t="s">
        <v>2</v>
      </c>
      <c r="E411" s="6" t="s">
        <v>2</v>
      </c>
      <c r="F411" s="6" t="s">
        <v>2</v>
      </c>
      <c r="G411" s="6" t="s">
        <v>2</v>
      </c>
      <c r="H411" s="6" t="s">
        <v>2</v>
      </c>
      <c r="I411" s="6" t="s">
        <v>2</v>
      </c>
    </row>
    <row r="412" spans="1:9" x14ac:dyDescent="0.25">
      <c r="A412" s="11" t="s">
        <v>53</v>
      </c>
      <c r="B412">
        <v>2011</v>
      </c>
      <c r="D412" s="6" t="s">
        <v>2</v>
      </c>
      <c r="E412" s="6" t="s">
        <v>2</v>
      </c>
      <c r="F412" s="6" t="s">
        <v>2</v>
      </c>
      <c r="G412" s="6" t="s">
        <v>2</v>
      </c>
      <c r="H412" s="6" t="s">
        <v>2</v>
      </c>
      <c r="I412" s="6" t="s">
        <v>2</v>
      </c>
    </row>
    <row r="413" spans="1:9" x14ac:dyDescent="0.25">
      <c r="A413" s="11" t="s">
        <v>53</v>
      </c>
      <c r="B413">
        <v>2012</v>
      </c>
      <c r="D413" s="6" t="s">
        <v>2</v>
      </c>
      <c r="E413" s="6" t="s">
        <v>2</v>
      </c>
      <c r="F413" s="6" t="s">
        <v>2</v>
      </c>
      <c r="G413" s="6" t="s">
        <v>2</v>
      </c>
      <c r="H413" s="6" t="s">
        <v>2</v>
      </c>
      <c r="I413" s="6" t="s">
        <v>2</v>
      </c>
    </row>
    <row r="414" spans="1:9" x14ac:dyDescent="0.25">
      <c r="A414" s="11" t="s">
        <v>53</v>
      </c>
      <c r="B414">
        <v>2013</v>
      </c>
      <c r="D414" s="6" t="s">
        <v>2</v>
      </c>
      <c r="E414" s="6" t="s">
        <v>2</v>
      </c>
      <c r="F414" s="6" t="s">
        <v>2</v>
      </c>
      <c r="G414" s="6" t="s">
        <v>2</v>
      </c>
      <c r="H414" s="6" t="s">
        <v>2</v>
      </c>
      <c r="I414" s="6" t="s">
        <v>2</v>
      </c>
    </row>
    <row r="415" spans="1:9" x14ac:dyDescent="0.25">
      <c r="A415" s="11" t="s">
        <v>53</v>
      </c>
      <c r="B415">
        <v>2014</v>
      </c>
      <c r="D415" s="6" t="s">
        <v>2</v>
      </c>
      <c r="E415" s="6" t="s">
        <v>2</v>
      </c>
      <c r="F415" s="6" t="s">
        <v>2</v>
      </c>
      <c r="G415" s="6" t="s">
        <v>2</v>
      </c>
      <c r="H415" s="6" t="s">
        <v>2</v>
      </c>
      <c r="I415" s="6" t="s">
        <v>2</v>
      </c>
    </row>
    <row r="416" spans="1:9" x14ac:dyDescent="0.25">
      <c r="A416" s="12" t="s">
        <v>53</v>
      </c>
      <c r="B416" s="7">
        <v>2015</v>
      </c>
      <c r="C416" s="7"/>
      <c r="D416" s="8" t="s">
        <v>2</v>
      </c>
      <c r="E416" s="8" t="s">
        <v>2</v>
      </c>
      <c r="F416" s="8" t="s">
        <v>2</v>
      </c>
      <c r="G416" s="8" t="s">
        <v>2</v>
      </c>
      <c r="H416" s="8" t="s">
        <v>2</v>
      </c>
      <c r="I416" s="8" t="s">
        <v>2</v>
      </c>
    </row>
    <row r="417" spans="1:10" x14ac:dyDescent="0.25">
      <c r="A417" s="11" t="s">
        <v>55</v>
      </c>
      <c r="B417">
        <v>1998</v>
      </c>
      <c r="C417">
        <v>2.4300000000000002</v>
      </c>
      <c r="D417">
        <f t="shared" si="100"/>
        <v>2.4300000000000002</v>
      </c>
      <c r="E417" s="6" t="s">
        <v>2</v>
      </c>
      <c r="F417">
        <v>1</v>
      </c>
      <c r="G417">
        <f>C417</f>
        <v>2.4300000000000002</v>
      </c>
      <c r="H417" t="s">
        <v>2</v>
      </c>
      <c r="I417" s="6" t="s">
        <v>2</v>
      </c>
      <c r="J417" t="s">
        <v>54</v>
      </c>
    </row>
    <row r="418" spans="1:10" x14ac:dyDescent="0.25">
      <c r="A418" s="11" t="s">
        <v>55</v>
      </c>
      <c r="B418">
        <v>1999</v>
      </c>
      <c r="C418">
        <v>2.09</v>
      </c>
      <c r="D418">
        <f t="shared" si="100"/>
        <v>-0.3400000000000003</v>
      </c>
      <c r="E418" s="6">
        <f>C418/C417-1</f>
        <v>-0.13991769547325117</v>
      </c>
      <c r="F418">
        <v>1.021294363256785</v>
      </c>
      <c r="G418">
        <f>C418/F418</f>
        <v>2.0464227309893701</v>
      </c>
      <c r="H418">
        <f>G418-G417</f>
        <v>-0.38357726901063005</v>
      </c>
      <c r="I418" s="6">
        <f>G418/G417-1</f>
        <v>-0.15785072798791355</v>
      </c>
    </row>
    <row r="419" spans="1:10" x14ac:dyDescent="0.25">
      <c r="A419" s="11" t="s">
        <v>55</v>
      </c>
      <c r="B419">
        <v>2000</v>
      </c>
      <c r="C419">
        <v>1.38</v>
      </c>
      <c r="D419">
        <f t="shared" si="100"/>
        <v>-0.71</v>
      </c>
      <c r="E419" s="6">
        <f t="shared" ref="E419:E426" si="105">C419/C418-1</f>
        <v>-0.33971291866028708</v>
      </c>
      <c r="F419">
        <v>1.0559498956158664</v>
      </c>
      <c r="G419">
        <f t="shared" ref="G419:G426" si="106">C419/F419</f>
        <v>1.3068801897983391</v>
      </c>
      <c r="H419">
        <f t="shared" ref="H419:H434" si="107">G419-G418</f>
        <v>-0.73954254119103102</v>
      </c>
      <c r="I419" s="6">
        <f t="shared" ref="I419:I434" si="108">G419/G418-1</f>
        <v>-0.3613830759363631</v>
      </c>
      <c r="J419" t="s">
        <v>13</v>
      </c>
    </row>
    <row r="420" spans="1:10" x14ac:dyDescent="0.25">
      <c r="A420" s="11" t="s">
        <v>55</v>
      </c>
      <c r="B420">
        <v>2001</v>
      </c>
      <c r="C420">
        <v>1.61</v>
      </c>
      <c r="D420">
        <f t="shared" si="100"/>
        <v>0.2300000000000002</v>
      </c>
      <c r="E420" s="6">
        <f t="shared" si="105"/>
        <v>0.16666666666666674</v>
      </c>
      <c r="F420">
        <v>1.0860125260960336</v>
      </c>
      <c r="G420">
        <f t="shared" si="106"/>
        <v>1.4824875048058437</v>
      </c>
      <c r="H420">
        <f t="shared" si="107"/>
        <v>0.17560731500750459</v>
      </c>
      <c r="I420" s="6">
        <f t="shared" si="108"/>
        <v>0.13437139561707023</v>
      </c>
    </row>
    <row r="421" spans="1:10" x14ac:dyDescent="0.25">
      <c r="A421" s="11" t="s">
        <v>55</v>
      </c>
      <c r="B421">
        <v>2002</v>
      </c>
      <c r="C421">
        <v>1.43</v>
      </c>
      <c r="D421">
        <f t="shared" si="100"/>
        <v>-0.18000000000000016</v>
      </c>
      <c r="E421" s="6">
        <f t="shared" si="105"/>
        <v>-0.11180124223602494</v>
      </c>
      <c r="F421">
        <v>1.1031315240083506</v>
      </c>
      <c r="G421">
        <f t="shared" si="106"/>
        <v>1.2963096139288419</v>
      </c>
      <c r="H421">
        <f t="shared" si="107"/>
        <v>-0.18617789087700176</v>
      </c>
      <c r="I421" s="6">
        <f t="shared" si="108"/>
        <v>-0.12558479600904615</v>
      </c>
      <c r="J421" t="s">
        <v>43</v>
      </c>
    </row>
    <row r="422" spans="1:10" x14ac:dyDescent="0.25">
      <c r="A422" s="11" t="s">
        <v>55</v>
      </c>
      <c r="B422">
        <v>2003</v>
      </c>
      <c r="C422">
        <v>1.5</v>
      </c>
      <c r="D422">
        <f t="shared" si="100"/>
        <v>7.0000000000000062E-2</v>
      </c>
      <c r="E422" s="6">
        <f t="shared" si="105"/>
        <v>4.8951048951048959E-2</v>
      </c>
      <c r="F422">
        <v>1.1281837160751564</v>
      </c>
      <c r="G422">
        <f t="shared" si="106"/>
        <v>1.3295706883789786</v>
      </c>
      <c r="H422">
        <f t="shared" si="107"/>
        <v>3.3261074450136707E-2</v>
      </c>
      <c r="I422" s="6">
        <f t="shared" si="108"/>
        <v>2.5658279544289897E-2</v>
      </c>
    </row>
    <row r="423" spans="1:10" x14ac:dyDescent="0.25">
      <c r="A423" s="11" t="s">
        <v>55</v>
      </c>
      <c r="B423">
        <v>2004</v>
      </c>
      <c r="C423">
        <v>2.41</v>
      </c>
      <c r="D423">
        <f t="shared" si="100"/>
        <v>0.91000000000000014</v>
      </c>
      <c r="E423" s="6">
        <f t="shared" si="105"/>
        <v>0.60666666666666669</v>
      </c>
      <c r="F423">
        <v>1.1586638830897704</v>
      </c>
      <c r="G423">
        <f t="shared" si="106"/>
        <v>2.079981981981982</v>
      </c>
      <c r="H423">
        <f t="shared" si="107"/>
        <v>0.7504112936030034</v>
      </c>
      <c r="I423" s="6">
        <f t="shared" si="108"/>
        <v>0.56440120120120119</v>
      </c>
    </row>
    <row r="424" spans="1:10" x14ac:dyDescent="0.25">
      <c r="A424" s="11" t="s">
        <v>55</v>
      </c>
      <c r="B424">
        <v>2005</v>
      </c>
      <c r="C424">
        <v>2.37</v>
      </c>
      <c r="D424">
        <f t="shared" si="100"/>
        <v>-4.0000000000000036E-2</v>
      </c>
      <c r="E424" s="6">
        <f t="shared" si="105"/>
        <v>-1.6597510373444035E-2</v>
      </c>
      <c r="F424">
        <v>1.1979123173277662</v>
      </c>
      <c r="G424">
        <f t="shared" si="106"/>
        <v>1.9784419658417569</v>
      </c>
      <c r="H424">
        <f t="shared" si="107"/>
        <v>-0.10154001614022512</v>
      </c>
      <c r="I424" s="6">
        <f t="shared" si="108"/>
        <v>-4.8817738336112582E-2</v>
      </c>
    </row>
    <row r="425" spans="1:10" x14ac:dyDescent="0.25">
      <c r="A425" s="11" t="s">
        <v>55</v>
      </c>
      <c r="B425">
        <v>2006</v>
      </c>
      <c r="C425">
        <v>1.28</v>
      </c>
      <c r="D425">
        <f t="shared" si="100"/>
        <v>-1.0900000000000001</v>
      </c>
      <c r="E425" s="6">
        <f t="shared" si="105"/>
        <v>-0.45991561181434604</v>
      </c>
      <c r="F425">
        <v>1.2367432150313151</v>
      </c>
      <c r="G425">
        <f t="shared" si="106"/>
        <v>1.0349763673193788</v>
      </c>
      <c r="H425">
        <f t="shared" si="107"/>
        <v>-0.9434655985223781</v>
      </c>
      <c r="I425" s="6">
        <f t="shared" si="108"/>
        <v>-0.47687302170673829</v>
      </c>
    </row>
    <row r="426" spans="1:10" x14ac:dyDescent="0.25">
      <c r="A426" s="11" t="s">
        <v>55</v>
      </c>
      <c r="B426">
        <v>2007</v>
      </c>
      <c r="C426">
        <v>3.33</v>
      </c>
      <c r="D426">
        <f t="shared" si="100"/>
        <v>2.0499999999999998</v>
      </c>
      <c r="E426" s="6">
        <f t="shared" si="105"/>
        <v>1.6015625</v>
      </c>
      <c r="F426">
        <v>1.2718162839248435</v>
      </c>
      <c r="G426">
        <f t="shared" si="106"/>
        <v>2.6183026920551544</v>
      </c>
      <c r="H426">
        <f t="shared" si="107"/>
        <v>1.5833263247357756</v>
      </c>
      <c r="I426" s="6">
        <f t="shared" si="108"/>
        <v>1.5298188197636247</v>
      </c>
    </row>
    <row r="427" spans="1:10" x14ac:dyDescent="0.25">
      <c r="A427" s="11" t="s">
        <v>55</v>
      </c>
      <c r="B427">
        <v>2008</v>
      </c>
      <c r="C427" t="s">
        <v>2</v>
      </c>
      <c r="D427" t="s">
        <v>2</v>
      </c>
      <c r="E427" t="s">
        <v>2</v>
      </c>
      <c r="F427" t="s">
        <v>2</v>
      </c>
      <c r="G427" t="s">
        <v>2</v>
      </c>
      <c r="H427" t="s">
        <v>2</v>
      </c>
      <c r="I427" t="s">
        <v>2</v>
      </c>
    </row>
    <row r="428" spans="1:10" x14ac:dyDescent="0.25">
      <c r="A428" s="11" t="s">
        <v>55</v>
      </c>
      <c r="B428">
        <v>2009</v>
      </c>
      <c r="C428" t="s">
        <v>2</v>
      </c>
      <c r="D428" t="s">
        <v>2</v>
      </c>
      <c r="E428" t="s">
        <v>2</v>
      </c>
      <c r="F428" t="s">
        <v>2</v>
      </c>
      <c r="G428" t="s">
        <v>2</v>
      </c>
      <c r="H428" t="s">
        <v>2</v>
      </c>
      <c r="I428" t="s">
        <v>2</v>
      </c>
    </row>
    <row r="429" spans="1:10" x14ac:dyDescent="0.25">
      <c r="A429" s="11" t="s">
        <v>55</v>
      </c>
      <c r="B429">
        <v>2010</v>
      </c>
      <c r="C429" t="s">
        <v>2</v>
      </c>
      <c r="D429" t="s">
        <v>2</v>
      </c>
      <c r="E429" t="s">
        <v>2</v>
      </c>
      <c r="F429" t="s">
        <v>2</v>
      </c>
      <c r="G429" t="s">
        <v>2</v>
      </c>
      <c r="H429" t="s">
        <v>2</v>
      </c>
      <c r="I429" t="s">
        <v>2</v>
      </c>
    </row>
    <row r="430" spans="1:10" x14ac:dyDescent="0.25">
      <c r="A430" s="11" t="s">
        <v>55</v>
      </c>
      <c r="B430">
        <v>2011</v>
      </c>
      <c r="C430" t="s">
        <v>2</v>
      </c>
      <c r="D430" t="s">
        <v>2</v>
      </c>
      <c r="E430" t="s">
        <v>2</v>
      </c>
      <c r="F430" t="s">
        <v>2</v>
      </c>
      <c r="G430" t="s">
        <v>2</v>
      </c>
      <c r="H430" t="s">
        <v>2</v>
      </c>
      <c r="I430" t="s">
        <v>2</v>
      </c>
    </row>
    <row r="431" spans="1:10" x14ac:dyDescent="0.25">
      <c r="A431" s="11" t="s">
        <v>55</v>
      </c>
      <c r="B431">
        <v>2012</v>
      </c>
      <c r="C431" t="s">
        <v>2</v>
      </c>
      <c r="D431" t="s">
        <v>2</v>
      </c>
      <c r="E431" t="s">
        <v>2</v>
      </c>
      <c r="F431" t="s">
        <v>2</v>
      </c>
      <c r="G431" t="s">
        <v>2</v>
      </c>
      <c r="H431" t="s">
        <v>2</v>
      </c>
      <c r="I431" t="s">
        <v>2</v>
      </c>
    </row>
    <row r="432" spans="1:10" x14ac:dyDescent="0.25">
      <c r="A432" s="11" t="s">
        <v>55</v>
      </c>
      <c r="B432">
        <v>2013</v>
      </c>
      <c r="C432" t="s">
        <v>2</v>
      </c>
      <c r="D432" t="s">
        <v>2</v>
      </c>
      <c r="E432" t="s">
        <v>2</v>
      </c>
      <c r="F432" t="s">
        <v>2</v>
      </c>
      <c r="G432" t="s">
        <v>2</v>
      </c>
      <c r="H432" t="s">
        <v>2</v>
      </c>
      <c r="I432" t="s">
        <v>2</v>
      </c>
    </row>
    <row r="433" spans="1:10" x14ac:dyDescent="0.25">
      <c r="A433" s="11" t="s">
        <v>55</v>
      </c>
      <c r="B433">
        <v>2014</v>
      </c>
      <c r="C433" t="s">
        <v>2</v>
      </c>
      <c r="D433" t="s">
        <v>2</v>
      </c>
      <c r="E433" t="s">
        <v>2</v>
      </c>
      <c r="F433" t="s">
        <v>2</v>
      </c>
      <c r="G433" t="s">
        <v>2</v>
      </c>
      <c r="H433" t="s">
        <v>2</v>
      </c>
      <c r="I433" t="s">
        <v>2</v>
      </c>
    </row>
    <row r="434" spans="1:10" x14ac:dyDescent="0.25">
      <c r="A434" s="12" t="s">
        <v>55</v>
      </c>
      <c r="B434" s="7">
        <v>2015</v>
      </c>
      <c r="C434" s="7" t="s">
        <v>2</v>
      </c>
      <c r="D434" s="7" t="s">
        <v>2</v>
      </c>
      <c r="E434" s="7" t="s">
        <v>2</v>
      </c>
      <c r="F434" s="7" t="s">
        <v>2</v>
      </c>
      <c r="G434" s="7" t="s">
        <v>2</v>
      </c>
      <c r="H434" s="7" t="s">
        <v>2</v>
      </c>
      <c r="I434" s="7" t="s">
        <v>2</v>
      </c>
    </row>
    <row r="435" spans="1:10" x14ac:dyDescent="0.25">
      <c r="A435" s="11" t="s">
        <v>56</v>
      </c>
      <c r="B435">
        <v>1998</v>
      </c>
      <c r="C435">
        <f>320*1.10231</f>
        <v>352.73919999999998</v>
      </c>
      <c r="D435" t="s">
        <v>2</v>
      </c>
      <c r="E435" s="6" t="s">
        <v>2</v>
      </c>
      <c r="F435">
        <v>1</v>
      </c>
      <c r="G435">
        <f>C435</f>
        <v>352.73919999999998</v>
      </c>
      <c r="H435" t="s">
        <v>2</v>
      </c>
      <c r="I435" s="6" t="s">
        <v>2</v>
      </c>
      <c r="J435" t="s">
        <v>57</v>
      </c>
    </row>
    <row r="436" spans="1:10" x14ac:dyDescent="0.25">
      <c r="A436" s="11" t="s">
        <v>56</v>
      </c>
      <c r="B436">
        <v>1999</v>
      </c>
      <c r="C436">
        <f>425*1.10231</f>
        <v>468.48174999999998</v>
      </c>
      <c r="D436">
        <f t="shared" ref="D436:D487" si="109">C436-C435</f>
        <v>115.74254999999999</v>
      </c>
      <c r="E436" s="6">
        <f>C436/C435-1</f>
        <v>0.328125</v>
      </c>
      <c r="F436">
        <v>1.021294363256785</v>
      </c>
      <c r="G436">
        <f>C436/F436</f>
        <v>458.71373313573179</v>
      </c>
      <c r="H436">
        <f>G436-G435</f>
        <v>105.9745331357318</v>
      </c>
      <c r="I436" s="6">
        <f>G436/G435-1</f>
        <v>0.30043310506950127</v>
      </c>
    </row>
    <row r="437" spans="1:10" x14ac:dyDescent="0.25">
      <c r="A437" s="11" t="s">
        <v>56</v>
      </c>
      <c r="B437">
        <v>2000</v>
      </c>
      <c r="C437">
        <f>340*1.10231</f>
        <v>374.78539999999998</v>
      </c>
      <c r="D437">
        <f t="shared" si="109"/>
        <v>-93.696349999999995</v>
      </c>
      <c r="E437" s="6">
        <f t="shared" ref="E437:E452" si="110">C437/C436-1</f>
        <v>-0.19999999999999996</v>
      </c>
      <c r="F437">
        <v>1.0559498956158664</v>
      </c>
      <c r="G437">
        <f t="shared" ref="G437:G451" si="111">C437/F437</f>
        <v>354.92725701858438</v>
      </c>
      <c r="H437">
        <f t="shared" ref="H437:H452" si="112">G437-G436</f>
        <v>-103.7864761171474</v>
      </c>
      <c r="I437" s="6">
        <f t="shared" ref="I437:I452" si="113">G437/G436-1</f>
        <v>-0.22625543693159356</v>
      </c>
      <c r="J437" t="s">
        <v>13</v>
      </c>
    </row>
    <row r="438" spans="1:10" x14ac:dyDescent="0.25">
      <c r="A438" s="11" t="s">
        <v>56</v>
      </c>
      <c r="B438">
        <v>2001</v>
      </c>
      <c r="C438">
        <f>340*1.10231</f>
        <v>374.78539999999998</v>
      </c>
      <c r="D438">
        <f t="shared" si="109"/>
        <v>0</v>
      </c>
      <c r="E438" s="6">
        <f t="shared" si="110"/>
        <v>0</v>
      </c>
      <c r="F438">
        <v>1.0860125260960336</v>
      </c>
      <c r="G438">
        <f t="shared" si="111"/>
        <v>345.10228104575157</v>
      </c>
      <c r="H438">
        <f t="shared" si="112"/>
        <v>-9.8249759728328172</v>
      </c>
      <c r="I438" s="6">
        <f t="shared" si="113"/>
        <v>-2.768166089965407E-2</v>
      </c>
    </row>
    <row r="439" spans="1:10" x14ac:dyDescent="0.25">
      <c r="A439" s="11" t="s">
        <v>56</v>
      </c>
      <c r="B439">
        <v>2002</v>
      </c>
      <c r="C439">
        <f>350*1.10231</f>
        <v>385.80849999999998</v>
      </c>
      <c r="D439">
        <f t="shared" si="109"/>
        <v>11.023099999999999</v>
      </c>
      <c r="E439" s="6">
        <f t="shared" si="110"/>
        <v>2.9411764705882248E-2</v>
      </c>
      <c r="F439">
        <v>1.1031315240083506</v>
      </c>
      <c r="G439">
        <f t="shared" si="111"/>
        <v>349.73934803179412</v>
      </c>
      <c r="H439">
        <f t="shared" si="112"/>
        <v>4.6370669860425551</v>
      </c>
      <c r="I439" s="6">
        <f t="shared" si="113"/>
        <v>1.3436790310371149E-2</v>
      </c>
      <c r="J439" t="s">
        <v>58</v>
      </c>
    </row>
    <row r="440" spans="1:10" x14ac:dyDescent="0.25">
      <c r="A440" s="11" t="s">
        <v>56</v>
      </c>
      <c r="B440">
        <v>2003</v>
      </c>
      <c r="C440">
        <f>370*1.10231</f>
        <v>407.85469999999998</v>
      </c>
      <c r="D440">
        <f t="shared" si="109"/>
        <v>22.046199999999999</v>
      </c>
      <c r="E440" s="6">
        <f t="shared" si="110"/>
        <v>5.7142857142857162E-2</v>
      </c>
      <c r="F440">
        <v>1.1281837160751564</v>
      </c>
      <c r="G440">
        <f t="shared" si="111"/>
        <v>361.51443615840122</v>
      </c>
      <c r="H440">
        <f t="shared" si="112"/>
        <v>11.775088126607102</v>
      </c>
      <c r="I440" s="6">
        <f t="shared" si="113"/>
        <v>3.3668182298826288E-2</v>
      </c>
    </row>
    <row r="441" spans="1:10" x14ac:dyDescent="0.25">
      <c r="A441" s="11" t="s">
        <v>56</v>
      </c>
      <c r="B441">
        <v>2004</v>
      </c>
      <c r="C441">
        <f>455*1.10231</f>
        <v>501.55104999999998</v>
      </c>
      <c r="D441">
        <f t="shared" si="109"/>
        <v>93.696349999999995</v>
      </c>
      <c r="E441" s="6">
        <f t="shared" si="110"/>
        <v>0.22972972972972983</v>
      </c>
      <c r="F441">
        <v>1.1586638830897704</v>
      </c>
      <c r="G441">
        <f t="shared" si="111"/>
        <v>432.87018549549543</v>
      </c>
      <c r="H441">
        <f t="shared" si="112"/>
        <v>71.35574933709421</v>
      </c>
      <c r="I441" s="6">
        <f t="shared" si="113"/>
        <v>0.19738008278548791</v>
      </c>
    </row>
    <row r="442" spans="1:10" x14ac:dyDescent="0.25">
      <c r="A442" s="11" t="s">
        <v>56</v>
      </c>
      <c r="B442">
        <v>2005</v>
      </c>
      <c r="C442">
        <f>415*1.10231</f>
        <v>457.45864999999998</v>
      </c>
      <c r="D442">
        <f t="shared" si="109"/>
        <v>-44.092399999999998</v>
      </c>
      <c r="E442" s="6">
        <f t="shared" si="110"/>
        <v>-8.7912087912087933E-2</v>
      </c>
      <c r="F442">
        <v>1.1979123173277662</v>
      </c>
      <c r="G442">
        <f t="shared" si="111"/>
        <v>381.87991172882539</v>
      </c>
      <c r="H442">
        <f t="shared" si="112"/>
        <v>-50.990273766670043</v>
      </c>
      <c r="I442" s="6">
        <f t="shared" si="113"/>
        <v>-0.11779576296829675</v>
      </c>
    </row>
    <row r="443" spans="1:10" x14ac:dyDescent="0.25">
      <c r="A443" s="11" t="s">
        <v>56</v>
      </c>
      <c r="B443">
        <v>2006</v>
      </c>
      <c r="C443">
        <f>785*1.10231</f>
        <v>865.3133499999999</v>
      </c>
      <c r="D443">
        <f t="shared" si="109"/>
        <v>407.85469999999992</v>
      </c>
      <c r="E443" s="6">
        <f t="shared" si="110"/>
        <v>0.89156626506024095</v>
      </c>
      <c r="F443">
        <v>1.2367432150313151</v>
      </c>
      <c r="G443">
        <f t="shared" si="111"/>
        <v>699.67099029372048</v>
      </c>
      <c r="H443">
        <f t="shared" si="112"/>
        <v>317.79107856489509</v>
      </c>
      <c r="I443" s="6">
        <f t="shared" si="113"/>
        <v>0.83217542689325841</v>
      </c>
    </row>
    <row r="444" spans="1:10" x14ac:dyDescent="0.25">
      <c r="A444" s="11" t="s">
        <v>56</v>
      </c>
      <c r="B444">
        <v>2007</v>
      </c>
      <c r="C444">
        <f>763*1.10231</f>
        <v>841.06252999999992</v>
      </c>
      <c r="D444">
        <f t="shared" si="109"/>
        <v>-24.250819999999976</v>
      </c>
      <c r="E444" s="6">
        <f t="shared" si="110"/>
        <v>-2.8025477707006363E-2</v>
      </c>
      <c r="F444">
        <v>1.2718162839248435</v>
      </c>
      <c r="G444">
        <f t="shared" si="111"/>
        <v>661.30819413985546</v>
      </c>
      <c r="H444">
        <f t="shared" si="112"/>
        <v>-38.36279615386502</v>
      </c>
      <c r="I444" s="6">
        <f t="shared" si="113"/>
        <v>-5.4829765255467233E-2</v>
      </c>
    </row>
    <row r="445" spans="1:10" x14ac:dyDescent="0.25">
      <c r="A445" s="11" t="s">
        <v>56</v>
      </c>
      <c r="B445">
        <v>2008</v>
      </c>
      <c r="C445">
        <f>787.5*1.10231</f>
        <v>868.06912499999987</v>
      </c>
      <c r="D445">
        <f t="shared" si="109"/>
        <v>27.006594999999948</v>
      </c>
      <c r="E445" s="6">
        <f t="shared" si="110"/>
        <v>3.2110091743119185E-2</v>
      </c>
      <c r="F445">
        <v>1.3206680584551149</v>
      </c>
      <c r="G445">
        <f t="shared" si="111"/>
        <v>657.29546455105901</v>
      </c>
      <c r="H445">
        <f t="shared" si="112"/>
        <v>-4.0127295887964465</v>
      </c>
      <c r="I445" s="6">
        <f t="shared" si="113"/>
        <v>-6.0678661240780585E-3</v>
      </c>
    </row>
    <row r="446" spans="1:10" x14ac:dyDescent="0.25">
      <c r="A446" s="11" t="s">
        <v>56</v>
      </c>
      <c r="B446">
        <v>2009</v>
      </c>
      <c r="C446">
        <f>830*1.10231</f>
        <v>914.91729999999995</v>
      </c>
      <c r="D446">
        <f t="shared" si="109"/>
        <v>46.848175000000083</v>
      </c>
      <c r="E446" s="6">
        <f t="shared" si="110"/>
        <v>5.3968253968253999E-2</v>
      </c>
      <c r="F446">
        <v>1.3160751565762003</v>
      </c>
      <c r="G446">
        <f t="shared" si="111"/>
        <v>695.18620986675126</v>
      </c>
      <c r="H446">
        <f t="shared" si="112"/>
        <v>37.890745315692243</v>
      </c>
      <c r="I446" s="6">
        <f t="shared" si="113"/>
        <v>5.7646442671823506E-2</v>
      </c>
    </row>
    <row r="447" spans="1:10" x14ac:dyDescent="0.25">
      <c r="A447" s="11" t="s">
        <v>56</v>
      </c>
      <c r="B447">
        <v>2010</v>
      </c>
      <c r="C447">
        <f>860*1.10231</f>
        <v>947.98659999999995</v>
      </c>
      <c r="D447">
        <f t="shared" si="109"/>
        <v>33.069299999999998</v>
      </c>
      <c r="E447" s="6">
        <f t="shared" si="110"/>
        <v>3.6144578313253017E-2</v>
      </c>
      <c r="F447">
        <v>1.3377870563674321</v>
      </c>
      <c r="G447">
        <f t="shared" si="111"/>
        <v>708.62294225967537</v>
      </c>
      <c r="H447">
        <f t="shared" si="112"/>
        <v>13.436732392924114</v>
      </c>
      <c r="I447" s="6">
        <f t="shared" si="113"/>
        <v>1.9328249326895586E-2</v>
      </c>
    </row>
    <row r="448" spans="1:10" x14ac:dyDescent="0.25">
      <c r="A448" s="11" t="s">
        <v>56</v>
      </c>
      <c r="B448">
        <v>2011</v>
      </c>
      <c r="C448">
        <f>2650*1.10231</f>
        <v>2921.1214999999997</v>
      </c>
      <c r="D448">
        <f t="shared" si="109"/>
        <v>1973.1348999999998</v>
      </c>
      <c r="E448" s="6">
        <f t="shared" si="110"/>
        <v>2.081395348837209</v>
      </c>
      <c r="F448">
        <v>1.3799582463465554</v>
      </c>
      <c r="G448">
        <f t="shared" si="111"/>
        <v>2116.8187571860813</v>
      </c>
      <c r="H448">
        <f t="shared" si="112"/>
        <v>1408.195814926406</v>
      </c>
      <c r="I448" s="6">
        <f t="shared" si="113"/>
        <v>1.9872286528515635</v>
      </c>
    </row>
    <row r="449" spans="1:10" x14ac:dyDescent="0.25">
      <c r="A449" s="11" t="s">
        <v>56</v>
      </c>
      <c r="B449">
        <v>2012</v>
      </c>
      <c r="C449">
        <f>2650*1.10231</f>
        <v>2921.1214999999997</v>
      </c>
      <c r="D449">
        <f t="shared" si="109"/>
        <v>0</v>
      </c>
      <c r="E449" s="6">
        <f t="shared" si="110"/>
        <v>0</v>
      </c>
      <c r="F449">
        <v>1.4091858037578289</v>
      </c>
      <c r="G449">
        <f t="shared" si="111"/>
        <v>2072.9143681481478</v>
      </c>
      <c r="H449">
        <f t="shared" si="112"/>
        <v>-43.90438903793347</v>
      </c>
      <c r="I449" s="6">
        <f t="shared" si="113"/>
        <v>-2.0740740740740726E-2</v>
      </c>
    </row>
    <row r="450" spans="1:10" x14ac:dyDescent="0.25">
      <c r="A450" s="11" t="s">
        <v>56</v>
      </c>
      <c r="B450">
        <v>2013</v>
      </c>
      <c r="C450">
        <f>1050*1.10231</f>
        <v>1157.4254999999998</v>
      </c>
      <c r="D450">
        <f t="shared" si="109"/>
        <v>-1763.6959999999999</v>
      </c>
      <c r="E450" s="6">
        <f t="shared" si="110"/>
        <v>-0.60377358490566047</v>
      </c>
      <c r="F450">
        <v>1.4300626304801669</v>
      </c>
      <c r="G450">
        <f t="shared" si="111"/>
        <v>809.35301386861306</v>
      </c>
      <c r="H450">
        <f t="shared" si="112"/>
        <v>-1263.5613542795347</v>
      </c>
      <c r="I450" s="6">
        <f t="shared" si="113"/>
        <v>-0.60955791213331501</v>
      </c>
    </row>
    <row r="451" spans="1:10" x14ac:dyDescent="0.25">
      <c r="A451" s="11" t="s">
        <v>56</v>
      </c>
      <c r="B451">
        <v>2014</v>
      </c>
      <c r="C451">
        <f>1050*1.10231</f>
        <v>1157.4254999999998</v>
      </c>
      <c r="D451">
        <f t="shared" si="109"/>
        <v>0</v>
      </c>
      <c r="E451" s="6">
        <f t="shared" si="110"/>
        <v>0</v>
      </c>
      <c r="F451">
        <v>1.4542797494780795</v>
      </c>
      <c r="G451">
        <f t="shared" si="111"/>
        <v>795.8754155900084</v>
      </c>
      <c r="H451">
        <f t="shared" si="112"/>
        <v>-13.47759827860466</v>
      </c>
      <c r="I451" s="6">
        <f t="shared" si="113"/>
        <v>-1.6652311225954786E-2</v>
      </c>
    </row>
    <row r="452" spans="1:10" x14ac:dyDescent="0.25">
      <c r="A452" s="12" t="s">
        <v>56</v>
      </c>
      <c r="B452" s="7">
        <v>2015</v>
      </c>
      <c r="C452" s="7">
        <f>1025*1.10231</f>
        <v>1129.8677499999999</v>
      </c>
      <c r="D452" s="7">
        <f t="shared" si="109"/>
        <v>-27.557749999999942</v>
      </c>
      <c r="E452" s="8">
        <f t="shared" si="110"/>
        <v>-2.3809523809523725E-2</v>
      </c>
      <c r="F452" s="7">
        <v>1.4567849686847598</v>
      </c>
      <c r="G452" s="7">
        <f>C452/F452</f>
        <v>775.58992870449981</v>
      </c>
      <c r="H452" s="7">
        <f t="shared" si="112"/>
        <v>-20.28548688550859</v>
      </c>
      <c r="I452" s="8">
        <f t="shared" si="113"/>
        <v>-2.5488269254391183E-2</v>
      </c>
    </row>
    <row r="453" spans="1:10" x14ac:dyDescent="0.25">
      <c r="A453" s="11" t="s">
        <v>59</v>
      </c>
      <c r="B453">
        <v>1998</v>
      </c>
      <c r="C453">
        <f>6.88*2.20462</f>
        <v>15.167785599999998</v>
      </c>
      <c r="D453" t="s">
        <v>2</v>
      </c>
      <c r="E453" s="6" t="s">
        <v>2</v>
      </c>
      <c r="F453">
        <v>1</v>
      </c>
      <c r="G453">
        <f>C453</f>
        <v>15.167785599999998</v>
      </c>
      <c r="H453" t="s">
        <v>2</v>
      </c>
      <c r="I453" s="6" t="s">
        <v>2</v>
      </c>
      <c r="J453" t="s">
        <v>60</v>
      </c>
    </row>
    <row r="454" spans="1:10" x14ac:dyDescent="0.25">
      <c r="A454" s="11" t="s">
        <v>59</v>
      </c>
      <c r="B454">
        <v>1999</v>
      </c>
      <c r="C454">
        <f>6.88*2.20462</f>
        <v>15.167785599999998</v>
      </c>
      <c r="D454">
        <f t="shared" si="109"/>
        <v>0</v>
      </c>
      <c r="E454" s="6">
        <f>C454/C453-1</f>
        <v>0</v>
      </c>
      <c r="F454">
        <v>1.021294363256785</v>
      </c>
      <c r="G454">
        <f>C454/F454</f>
        <v>14.851531689288633</v>
      </c>
      <c r="H454">
        <f>G454-G453</f>
        <v>-0.31625391071136555</v>
      </c>
      <c r="I454" s="6">
        <f>G454/G453-1</f>
        <v>-2.0850367947669701E-2</v>
      </c>
    </row>
    <row r="455" spans="1:10" x14ac:dyDescent="0.25">
      <c r="A455" s="11" t="s">
        <v>59</v>
      </c>
      <c r="B455">
        <v>2000</v>
      </c>
      <c r="C455">
        <f>6.88*2.20462</f>
        <v>15.167785599999998</v>
      </c>
      <c r="D455">
        <f t="shared" si="109"/>
        <v>0</v>
      </c>
      <c r="E455" s="6">
        <f t="shared" ref="E455:E460" si="114">C455/C454-1</f>
        <v>0</v>
      </c>
      <c r="F455">
        <v>1.0559498956158664</v>
      </c>
      <c r="G455">
        <f t="shared" ref="G455:G460" si="115">C455/F455</f>
        <v>14.364114872281533</v>
      </c>
      <c r="H455">
        <f t="shared" ref="H455:H470" si="116">G455-G454</f>
        <v>-0.48741681700709982</v>
      </c>
      <c r="I455" s="6">
        <f t="shared" ref="I455:I470" si="117">G455/G454-1</f>
        <v>-3.2819296164491862E-2</v>
      </c>
      <c r="J455" t="s">
        <v>13</v>
      </c>
    </row>
    <row r="456" spans="1:10" x14ac:dyDescent="0.25">
      <c r="A456" s="11" t="s">
        <v>59</v>
      </c>
      <c r="B456">
        <v>2001</v>
      </c>
      <c r="C456">
        <f>6.88*2.20462</f>
        <v>15.167785599999998</v>
      </c>
      <c r="D456">
        <f t="shared" si="109"/>
        <v>0</v>
      </c>
      <c r="E456" s="6">
        <f t="shared" si="114"/>
        <v>0</v>
      </c>
      <c r="F456">
        <v>1.0860125260960336</v>
      </c>
      <c r="G456">
        <f t="shared" si="115"/>
        <v>13.966492315263356</v>
      </c>
      <c r="H456">
        <f t="shared" si="116"/>
        <v>-0.3976225570181775</v>
      </c>
      <c r="I456" s="6">
        <f t="shared" si="117"/>
        <v>-2.7681660899654181E-2</v>
      </c>
    </row>
    <row r="457" spans="1:10" x14ac:dyDescent="0.25">
      <c r="A457" s="11" t="s">
        <v>59</v>
      </c>
      <c r="B457">
        <v>2002</v>
      </c>
      <c r="C457">
        <f>6.6*2.20462</f>
        <v>14.550491999999998</v>
      </c>
      <c r="D457">
        <f t="shared" si="109"/>
        <v>-0.6172936</v>
      </c>
      <c r="E457" s="6">
        <f t="shared" si="114"/>
        <v>-4.0697674418604612E-2</v>
      </c>
      <c r="F457">
        <v>1.1031315240083506</v>
      </c>
      <c r="G457">
        <f t="shared" si="115"/>
        <v>13.190169697199092</v>
      </c>
      <c r="H457">
        <f t="shared" si="116"/>
        <v>-0.77632261806426328</v>
      </c>
      <c r="I457" s="6">
        <f t="shared" si="117"/>
        <v>-5.5584652219072606E-2</v>
      </c>
      <c r="J457" t="s">
        <v>43</v>
      </c>
    </row>
    <row r="458" spans="1:10" x14ac:dyDescent="0.25">
      <c r="A458" s="11" t="s">
        <v>59</v>
      </c>
      <c r="B458">
        <v>2003</v>
      </c>
      <c r="C458">
        <f>6.58*2.20462</f>
        <v>14.506399599999998</v>
      </c>
      <c r="D458">
        <f t="shared" si="109"/>
        <v>-4.4092400000000254E-2</v>
      </c>
      <c r="E458" s="6">
        <f t="shared" si="114"/>
        <v>-3.0303030303030498E-3</v>
      </c>
      <c r="F458">
        <v>1.1281837160751564</v>
      </c>
      <c r="G458">
        <f t="shared" si="115"/>
        <v>12.858189134715026</v>
      </c>
      <c r="H458">
        <f t="shared" si="116"/>
        <v>-0.33198056248406616</v>
      </c>
      <c r="I458" s="6">
        <f t="shared" si="117"/>
        <v>-2.5168786308682689E-2</v>
      </c>
    </row>
    <row r="459" spans="1:10" x14ac:dyDescent="0.25">
      <c r="A459" s="11" t="s">
        <v>59</v>
      </c>
      <c r="B459">
        <v>2004</v>
      </c>
      <c r="C459">
        <f>6.56*2.20462</f>
        <v>14.462307199999998</v>
      </c>
      <c r="D459">
        <f t="shared" si="109"/>
        <v>-4.4092400000000254E-2</v>
      </c>
      <c r="E459" s="6">
        <f t="shared" si="114"/>
        <v>-3.0395136778115228E-3</v>
      </c>
      <c r="F459">
        <v>1.1586638830897704</v>
      </c>
      <c r="G459">
        <f t="shared" si="115"/>
        <v>12.481883150990988</v>
      </c>
      <c r="H459">
        <f t="shared" si="116"/>
        <v>-0.37630598372403767</v>
      </c>
      <c r="I459" s="6">
        <f t="shared" si="117"/>
        <v>-2.9265861606287302E-2</v>
      </c>
    </row>
    <row r="460" spans="1:10" x14ac:dyDescent="0.25">
      <c r="A460" s="11" t="s">
        <v>59</v>
      </c>
      <c r="B460">
        <v>2005</v>
      </c>
      <c r="C460">
        <f>6.56*2.20462</f>
        <v>14.462307199999998</v>
      </c>
      <c r="D460">
        <f t="shared" si="109"/>
        <v>0</v>
      </c>
      <c r="E460" s="6">
        <f t="shared" si="114"/>
        <v>0</v>
      </c>
      <c r="F460">
        <v>1.1979123173277662</v>
      </c>
      <c r="G460">
        <f t="shared" si="115"/>
        <v>12.072926365981177</v>
      </c>
      <c r="H460">
        <f t="shared" si="116"/>
        <v>-0.4089567850098117</v>
      </c>
      <c r="I460" s="6">
        <f t="shared" si="117"/>
        <v>-3.27640292784942E-2</v>
      </c>
    </row>
    <row r="461" spans="1:10" x14ac:dyDescent="0.25">
      <c r="A461" s="11" t="s">
        <v>59</v>
      </c>
      <c r="B461">
        <v>2006</v>
      </c>
      <c r="C461" t="s">
        <v>2</v>
      </c>
      <c r="D461" t="s">
        <v>2</v>
      </c>
      <c r="E461" t="s">
        <v>2</v>
      </c>
      <c r="F461" t="s">
        <v>2</v>
      </c>
      <c r="G461" t="s">
        <v>2</v>
      </c>
      <c r="H461" t="s">
        <v>2</v>
      </c>
      <c r="I461" t="s">
        <v>2</v>
      </c>
    </row>
    <row r="462" spans="1:10" x14ac:dyDescent="0.25">
      <c r="A462" s="11" t="s">
        <v>59</v>
      </c>
      <c r="B462">
        <v>2007</v>
      </c>
      <c r="C462" t="s">
        <v>2</v>
      </c>
      <c r="D462" t="s">
        <v>2</v>
      </c>
      <c r="E462" t="s">
        <v>2</v>
      </c>
      <c r="F462" t="s">
        <v>2</v>
      </c>
      <c r="G462" t="s">
        <v>2</v>
      </c>
      <c r="H462" t="s">
        <v>2</v>
      </c>
      <c r="I462" t="s">
        <v>2</v>
      </c>
    </row>
    <row r="463" spans="1:10" x14ac:dyDescent="0.25">
      <c r="A463" s="11" t="s">
        <v>59</v>
      </c>
      <c r="B463">
        <v>2008</v>
      </c>
      <c r="C463" t="s">
        <v>2</v>
      </c>
      <c r="D463" t="s">
        <v>2</v>
      </c>
      <c r="E463" t="s">
        <v>2</v>
      </c>
      <c r="F463" t="s">
        <v>2</v>
      </c>
      <c r="G463" t="s">
        <v>2</v>
      </c>
      <c r="H463" t="s">
        <v>2</v>
      </c>
      <c r="I463" t="s">
        <v>2</v>
      </c>
    </row>
    <row r="464" spans="1:10" x14ac:dyDescent="0.25">
      <c r="A464" s="11" t="s">
        <v>59</v>
      </c>
      <c r="B464">
        <v>2009</v>
      </c>
      <c r="C464" t="s">
        <v>2</v>
      </c>
      <c r="D464" t="s">
        <v>2</v>
      </c>
      <c r="E464" t="s">
        <v>2</v>
      </c>
      <c r="F464" t="s">
        <v>2</v>
      </c>
      <c r="G464" t="s">
        <v>2</v>
      </c>
      <c r="H464" t="s">
        <v>2</v>
      </c>
      <c r="I464" t="s">
        <v>2</v>
      </c>
    </row>
    <row r="465" spans="1:10" x14ac:dyDescent="0.25">
      <c r="A465" s="11" t="s">
        <v>59</v>
      </c>
      <c r="B465">
        <v>2010</v>
      </c>
      <c r="C465" t="s">
        <v>2</v>
      </c>
      <c r="D465" t="s">
        <v>2</v>
      </c>
      <c r="E465" t="s">
        <v>2</v>
      </c>
      <c r="F465" t="s">
        <v>2</v>
      </c>
      <c r="G465" t="s">
        <v>2</v>
      </c>
      <c r="H465" t="s">
        <v>2</v>
      </c>
      <c r="I465" t="s">
        <v>2</v>
      </c>
    </row>
    <row r="466" spans="1:10" x14ac:dyDescent="0.25">
      <c r="A466" s="11" t="s">
        <v>59</v>
      </c>
      <c r="B466">
        <v>2011</v>
      </c>
      <c r="C466" t="s">
        <v>2</v>
      </c>
      <c r="D466" t="s">
        <v>2</v>
      </c>
      <c r="E466" t="s">
        <v>2</v>
      </c>
      <c r="F466" t="s">
        <v>2</v>
      </c>
      <c r="G466" t="s">
        <v>2</v>
      </c>
      <c r="H466" t="s">
        <v>2</v>
      </c>
      <c r="I466" t="s">
        <v>2</v>
      </c>
    </row>
    <row r="467" spans="1:10" x14ac:dyDescent="0.25">
      <c r="A467" s="11" t="s">
        <v>59</v>
      </c>
      <c r="B467">
        <v>2012</v>
      </c>
      <c r="C467" t="s">
        <v>2</v>
      </c>
      <c r="D467" t="s">
        <v>2</v>
      </c>
      <c r="E467" t="s">
        <v>2</v>
      </c>
      <c r="F467" t="s">
        <v>2</v>
      </c>
      <c r="G467" t="s">
        <v>2</v>
      </c>
      <c r="H467" t="s">
        <v>2</v>
      </c>
      <c r="I467" t="s">
        <v>2</v>
      </c>
    </row>
    <row r="468" spans="1:10" x14ac:dyDescent="0.25">
      <c r="A468" s="11" t="s">
        <v>59</v>
      </c>
      <c r="B468">
        <v>2013</v>
      </c>
      <c r="C468" t="s">
        <v>2</v>
      </c>
      <c r="D468" t="s">
        <v>2</v>
      </c>
      <c r="E468" t="s">
        <v>2</v>
      </c>
      <c r="F468" t="s">
        <v>2</v>
      </c>
      <c r="G468" t="s">
        <v>2</v>
      </c>
      <c r="H468" t="s">
        <v>2</v>
      </c>
      <c r="I468" t="s">
        <v>2</v>
      </c>
    </row>
    <row r="469" spans="1:10" x14ac:dyDescent="0.25">
      <c r="A469" s="11" t="s">
        <v>59</v>
      </c>
      <c r="B469">
        <v>2014</v>
      </c>
      <c r="C469" t="s">
        <v>2</v>
      </c>
      <c r="D469" t="s">
        <v>2</v>
      </c>
      <c r="E469" t="s">
        <v>2</v>
      </c>
      <c r="F469" t="s">
        <v>2</v>
      </c>
      <c r="G469" t="s">
        <v>2</v>
      </c>
      <c r="H469" t="s">
        <v>2</v>
      </c>
      <c r="I469" t="s">
        <v>2</v>
      </c>
    </row>
    <row r="470" spans="1:10" x14ac:dyDescent="0.25">
      <c r="A470" s="12" t="s">
        <v>59</v>
      </c>
      <c r="B470" s="7">
        <v>2015</v>
      </c>
      <c r="C470" s="7" t="s">
        <v>2</v>
      </c>
      <c r="D470" s="7" t="s">
        <v>2</v>
      </c>
      <c r="E470" s="7" t="s">
        <v>2</v>
      </c>
      <c r="F470" s="7" t="s">
        <v>2</v>
      </c>
      <c r="G470" s="7" t="s">
        <v>2</v>
      </c>
      <c r="H470" s="7" t="s">
        <v>2</v>
      </c>
      <c r="I470" s="7" t="s">
        <v>2</v>
      </c>
    </row>
    <row r="471" spans="1:10" x14ac:dyDescent="0.25">
      <c r="A471" s="11" t="s">
        <v>61</v>
      </c>
      <c r="B471">
        <v>1998</v>
      </c>
      <c r="C471">
        <v>5.87</v>
      </c>
      <c r="D471" t="s">
        <v>2</v>
      </c>
      <c r="E471" s="6" t="s">
        <v>2</v>
      </c>
      <c r="F471">
        <v>1</v>
      </c>
      <c r="G471">
        <f>C471</f>
        <v>5.87</v>
      </c>
      <c r="H471" t="s">
        <v>2</v>
      </c>
      <c r="I471" s="6" t="s">
        <v>2</v>
      </c>
      <c r="J471" t="s">
        <v>62</v>
      </c>
    </row>
    <row r="472" spans="1:10" x14ac:dyDescent="0.25">
      <c r="A472" s="11" t="s">
        <v>61</v>
      </c>
      <c r="B472">
        <v>1999</v>
      </c>
      <c r="C472">
        <v>5.8609999999999998</v>
      </c>
      <c r="D472">
        <f t="shared" si="109"/>
        <v>-9.0000000000003411E-3</v>
      </c>
      <c r="E472" s="6">
        <f>C472/C471-1</f>
        <v>-1.5332197614992271E-3</v>
      </c>
      <c r="F472">
        <v>1.021294363256785</v>
      </c>
      <c r="G472">
        <f>C472/F472</f>
        <v>5.7387959934587078</v>
      </c>
      <c r="H472">
        <f>G472-G471</f>
        <v>-0.13120400654129227</v>
      </c>
      <c r="I472" s="6">
        <f>G472/G471-1</f>
        <v>-2.2351619512997023E-2</v>
      </c>
    </row>
    <row r="473" spans="1:10" x14ac:dyDescent="0.25">
      <c r="A473" s="11" t="s">
        <v>61</v>
      </c>
      <c r="B473">
        <v>2000</v>
      </c>
      <c r="C473">
        <v>5.6379999999999999</v>
      </c>
      <c r="D473">
        <f t="shared" si="109"/>
        <v>-0.22299999999999986</v>
      </c>
      <c r="E473" s="6">
        <f t="shared" ref="E473:E487" si="118">C473/C472-1</f>
        <v>-3.8048114656201948E-2</v>
      </c>
      <c r="F473">
        <v>1.0559498956158664</v>
      </c>
      <c r="G473">
        <f t="shared" ref="G473:G487" si="119">C473/F473</f>
        <v>5.339268485567418</v>
      </c>
      <c r="H473">
        <f t="shared" ref="H473:H488" si="120">G473-G472</f>
        <v>-0.39952750789128988</v>
      </c>
      <c r="I473" s="6">
        <f t="shared" ref="I473:I488" si="121">G473/G472-1</f>
        <v>-6.9618698477291407E-2</v>
      </c>
      <c r="J473" t="s">
        <v>13</v>
      </c>
    </row>
    <row r="474" spans="1:10" x14ac:dyDescent="0.25">
      <c r="A474" s="11" t="s">
        <v>61</v>
      </c>
      <c r="B474">
        <v>2001</v>
      </c>
      <c r="C474">
        <v>5.1959999999999997</v>
      </c>
      <c r="D474">
        <f t="shared" si="109"/>
        <v>-0.44200000000000017</v>
      </c>
      <c r="E474" s="6">
        <f t="shared" si="118"/>
        <v>-7.839659453706993E-2</v>
      </c>
      <c r="F474">
        <v>1.0860125260960336</v>
      </c>
      <c r="G474">
        <f t="shared" si="119"/>
        <v>4.7844752018454431</v>
      </c>
      <c r="H474">
        <f t="shared" si="120"/>
        <v>-0.55479328372197489</v>
      </c>
      <c r="I474" s="6">
        <f t="shared" si="121"/>
        <v>-0.10390810749106116</v>
      </c>
    </row>
    <row r="475" spans="1:10" x14ac:dyDescent="0.25">
      <c r="A475" s="11" t="s">
        <v>61</v>
      </c>
      <c r="B475">
        <v>2002</v>
      </c>
      <c r="C475">
        <v>8.27</v>
      </c>
      <c r="D475">
        <f t="shared" si="109"/>
        <v>3.0739999999999998</v>
      </c>
      <c r="E475" s="6">
        <f t="shared" si="118"/>
        <v>0.59160892994611247</v>
      </c>
      <c r="F475">
        <v>1.1031315240083506</v>
      </c>
      <c r="G475">
        <f t="shared" si="119"/>
        <v>7.4968395155185474</v>
      </c>
      <c r="H475">
        <f t="shared" si="120"/>
        <v>2.7123643136731044</v>
      </c>
      <c r="I475" s="6">
        <f t="shared" si="121"/>
        <v>0.56690947266837233</v>
      </c>
      <c r="J475" t="s">
        <v>43</v>
      </c>
    </row>
    <row r="476" spans="1:10" x14ac:dyDescent="0.25">
      <c r="A476" s="11" t="s">
        <v>61</v>
      </c>
      <c r="B476">
        <v>2003</v>
      </c>
      <c r="C476">
        <v>11.653</v>
      </c>
      <c r="D476">
        <f t="shared" si="109"/>
        <v>3.3830000000000009</v>
      </c>
      <c r="E476" s="6">
        <f t="shared" si="118"/>
        <v>0.4090689238210401</v>
      </c>
      <c r="F476">
        <v>1.1281837160751564</v>
      </c>
      <c r="G476">
        <f t="shared" si="119"/>
        <v>10.328991487786826</v>
      </c>
      <c r="H476">
        <f t="shared" si="120"/>
        <v>2.8321519722682789</v>
      </c>
      <c r="I476" s="6">
        <f t="shared" si="121"/>
        <v>0.37777945845121663</v>
      </c>
    </row>
    <row r="477" spans="1:10" x14ac:dyDescent="0.25">
      <c r="A477" s="11" t="s">
        <v>61</v>
      </c>
      <c r="B477">
        <v>2004</v>
      </c>
      <c r="C477">
        <v>36.728999999999999</v>
      </c>
      <c r="D477">
        <f t="shared" si="109"/>
        <v>25.076000000000001</v>
      </c>
      <c r="E477" s="6">
        <f t="shared" si="118"/>
        <v>2.1518922165965844</v>
      </c>
      <c r="F477">
        <v>1.1586638830897704</v>
      </c>
      <c r="G477">
        <f t="shared" si="119"/>
        <v>31.699443243243241</v>
      </c>
      <c r="H477">
        <f t="shared" si="120"/>
        <v>21.370451755456415</v>
      </c>
      <c r="I477" s="6">
        <f t="shared" si="121"/>
        <v>2.0689775745023313</v>
      </c>
    </row>
    <row r="478" spans="1:10" x14ac:dyDescent="0.25">
      <c r="A478" s="11" t="s">
        <v>61</v>
      </c>
      <c r="B478">
        <v>2005</v>
      </c>
      <c r="C478">
        <v>70.677000000000007</v>
      </c>
      <c r="D478">
        <f t="shared" si="109"/>
        <v>33.948000000000008</v>
      </c>
      <c r="E478" s="6">
        <f t="shared" si="118"/>
        <v>0.92428326390590554</v>
      </c>
      <c r="F478">
        <v>1.1979123173277662</v>
      </c>
      <c r="G478">
        <f t="shared" si="119"/>
        <v>59.000144649703735</v>
      </c>
      <c r="H478">
        <f t="shared" si="120"/>
        <v>27.300701406460494</v>
      </c>
      <c r="I478" s="6">
        <f t="shared" si="121"/>
        <v>0.86123599070717605</v>
      </c>
    </row>
    <row r="479" spans="1:10" x14ac:dyDescent="0.25">
      <c r="A479" s="11" t="s">
        <v>61</v>
      </c>
      <c r="B479">
        <v>2006</v>
      </c>
      <c r="C479">
        <v>54.618000000000002</v>
      </c>
      <c r="D479">
        <f t="shared" si="109"/>
        <v>-16.059000000000005</v>
      </c>
      <c r="E479" s="6">
        <f t="shared" si="118"/>
        <v>-0.22721677490555625</v>
      </c>
      <c r="F479">
        <v>1.2367432150313151</v>
      </c>
      <c r="G479">
        <f t="shared" si="119"/>
        <v>44.162765023632687</v>
      </c>
      <c r="H479">
        <f t="shared" si="120"/>
        <v>-14.837379626071048</v>
      </c>
      <c r="I479" s="6">
        <f t="shared" si="121"/>
        <v>-0.25148039405943312</v>
      </c>
    </row>
    <row r="480" spans="1:10" x14ac:dyDescent="0.25">
      <c r="A480" s="11" t="s">
        <v>61</v>
      </c>
      <c r="B480">
        <v>2007</v>
      </c>
      <c r="C480">
        <v>66.790000000000006</v>
      </c>
      <c r="D480">
        <f t="shared" si="109"/>
        <v>12.172000000000004</v>
      </c>
      <c r="E480" s="6">
        <f t="shared" si="118"/>
        <v>0.22285693361162995</v>
      </c>
      <c r="F480">
        <v>1.2718162839248435</v>
      </c>
      <c r="G480">
        <f t="shared" si="119"/>
        <v>52.515446487196328</v>
      </c>
      <c r="H480">
        <f t="shared" si="120"/>
        <v>8.3526814635636413</v>
      </c>
      <c r="I480" s="6">
        <f t="shared" si="121"/>
        <v>0.1891340240832724</v>
      </c>
    </row>
    <row r="481" spans="1:9" x14ac:dyDescent="0.25">
      <c r="A481" s="11" t="s">
        <v>61</v>
      </c>
      <c r="B481">
        <v>2008</v>
      </c>
      <c r="C481">
        <v>62.988</v>
      </c>
      <c r="D481">
        <f t="shared" si="109"/>
        <v>-3.8020000000000067</v>
      </c>
      <c r="E481" s="6">
        <f t="shared" si="118"/>
        <v>-5.6924689324749256E-2</v>
      </c>
      <c r="F481">
        <v>1.3206680584551149</v>
      </c>
      <c r="G481">
        <f t="shared" si="119"/>
        <v>47.694043629465696</v>
      </c>
      <c r="H481">
        <f t="shared" si="120"/>
        <v>-4.8214028577306323</v>
      </c>
      <c r="I481" s="6">
        <f t="shared" si="121"/>
        <v>-9.1809232906476912E-2</v>
      </c>
    </row>
    <row r="482" spans="1:9" x14ac:dyDescent="0.25">
      <c r="A482" s="11" t="s">
        <v>61</v>
      </c>
      <c r="B482">
        <v>2009</v>
      </c>
      <c r="C482">
        <v>33</v>
      </c>
      <c r="D482">
        <f t="shared" si="109"/>
        <v>-29.988</v>
      </c>
      <c r="E482" s="6">
        <f t="shared" si="118"/>
        <v>-0.47609068393979803</v>
      </c>
      <c r="F482">
        <v>1.3160751565762003</v>
      </c>
      <c r="G482">
        <f t="shared" si="119"/>
        <v>25.074555837563452</v>
      </c>
      <c r="H482">
        <f t="shared" si="120"/>
        <v>-22.619487791902245</v>
      </c>
      <c r="I482" s="6">
        <f t="shared" si="121"/>
        <v>-0.47426232020989256</v>
      </c>
    </row>
    <row r="483" spans="1:9" x14ac:dyDescent="0.25">
      <c r="A483" s="11" t="s">
        <v>61</v>
      </c>
      <c r="B483">
        <v>2010</v>
      </c>
      <c r="C483">
        <v>16.04</v>
      </c>
      <c r="D483">
        <f t="shared" si="109"/>
        <v>-16.96</v>
      </c>
      <c r="E483" s="6">
        <f t="shared" si="118"/>
        <v>-0.51393939393939392</v>
      </c>
      <c r="F483">
        <v>1.3377870563674321</v>
      </c>
      <c r="G483">
        <f t="shared" si="119"/>
        <v>11.989950062421972</v>
      </c>
      <c r="H483">
        <f t="shared" si="120"/>
        <v>-13.08460577514148</v>
      </c>
      <c r="I483" s="6">
        <f t="shared" si="121"/>
        <v>-0.52182801800779333</v>
      </c>
    </row>
    <row r="484" spans="1:9" x14ac:dyDescent="0.25">
      <c r="A484" s="11" t="s">
        <v>61</v>
      </c>
      <c r="B484">
        <v>2011</v>
      </c>
      <c r="C484">
        <v>15.4825</v>
      </c>
      <c r="D484">
        <f t="shared" si="109"/>
        <v>-0.55749999999999922</v>
      </c>
      <c r="E484" s="6">
        <f t="shared" si="118"/>
        <v>-3.4756857855361534E-2</v>
      </c>
      <c r="F484">
        <v>1.3799582463465554</v>
      </c>
      <c r="G484">
        <f t="shared" si="119"/>
        <v>11.219542360060514</v>
      </c>
      <c r="H484">
        <f t="shared" si="120"/>
        <v>-0.77040770236145839</v>
      </c>
      <c r="I484" s="6">
        <f t="shared" si="121"/>
        <v>-6.4254454634970815E-2</v>
      </c>
    </row>
    <row r="485" spans="1:9" x14ac:dyDescent="0.25">
      <c r="A485" s="11" t="s">
        <v>61</v>
      </c>
      <c r="B485">
        <v>2012</v>
      </c>
      <c r="C485">
        <v>12.742000000000001</v>
      </c>
      <c r="D485">
        <f t="shared" si="109"/>
        <v>-2.740499999999999</v>
      </c>
      <c r="E485" s="6">
        <f t="shared" si="118"/>
        <v>-0.17700629743258511</v>
      </c>
      <c r="F485">
        <v>1.4091858037578289</v>
      </c>
      <c r="G485">
        <f t="shared" si="119"/>
        <v>9.0421007407407412</v>
      </c>
      <c r="H485">
        <f t="shared" si="120"/>
        <v>-2.1774416193197723</v>
      </c>
      <c r="I485" s="6">
        <f t="shared" si="121"/>
        <v>-0.19407579644879813</v>
      </c>
    </row>
    <row r="486" spans="1:9" x14ac:dyDescent="0.25">
      <c r="A486" s="11" t="s">
        <v>61</v>
      </c>
      <c r="B486">
        <v>2013</v>
      </c>
      <c r="C486">
        <v>10.58</v>
      </c>
      <c r="D486">
        <f t="shared" si="109"/>
        <v>-2.1620000000000008</v>
      </c>
      <c r="E486" s="6">
        <f t="shared" si="118"/>
        <v>-0.16967509025270766</v>
      </c>
      <c r="F486">
        <v>1.4300626304801669</v>
      </c>
      <c r="G486">
        <f t="shared" si="119"/>
        <v>7.3982773722627746</v>
      </c>
      <c r="H486">
        <f t="shared" si="120"/>
        <v>-1.6438233684779666</v>
      </c>
      <c r="I486" s="6">
        <f t="shared" si="121"/>
        <v>-0.18179662178186506</v>
      </c>
    </row>
    <row r="487" spans="1:9" x14ac:dyDescent="0.25">
      <c r="A487" s="11" t="s">
        <v>61</v>
      </c>
      <c r="B487">
        <v>2014</v>
      </c>
      <c r="C487">
        <v>12.1425</v>
      </c>
      <c r="D487">
        <f t="shared" si="109"/>
        <v>1.5625</v>
      </c>
      <c r="E487" s="6">
        <f t="shared" si="118"/>
        <v>0.14768431001890359</v>
      </c>
      <c r="F487">
        <v>1.4542797494780795</v>
      </c>
      <c r="G487">
        <f t="shared" si="119"/>
        <v>8.3494939707148994</v>
      </c>
      <c r="H487">
        <f t="shared" si="120"/>
        <v>0.95121659845212481</v>
      </c>
      <c r="I487" s="6">
        <f t="shared" si="121"/>
        <v>0.12857271369932355</v>
      </c>
    </row>
    <row r="488" spans="1:9" x14ac:dyDescent="0.25">
      <c r="A488" s="12" t="s">
        <v>61</v>
      </c>
      <c r="B488" s="7">
        <v>2015</v>
      </c>
      <c r="C488" s="7">
        <v>7.0235000000000003</v>
      </c>
      <c r="D488" s="7">
        <f>C488-C487</f>
        <v>-5.1189999999999998</v>
      </c>
      <c r="E488" s="8">
        <f>C488/C487-1</f>
        <v>-0.42157710520897673</v>
      </c>
      <c r="F488" s="7">
        <v>1.4567849686847598</v>
      </c>
      <c r="G488" s="7">
        <f>C488/F488</f>
        <v>4.8212331613642885</v>
      </c>
      <c r="H488" s="7">
        <f t="shared" si="120"/>
        <v>-3.5282608093506109</v>
      </c>
      <c r="I488" s="8">
        <f t="shared" si="121"/>
        <v>-0.42257181354051743</v>
      </c>
    </row>
    <row r="489" spans="1:9" x14ac:dyDescent="0.25">
      <c r="A489" s="11" t="s">
        <v>63</v>
      </c>
      <c r="B489">
        <v>1998</v>
      </c>
      <c r="C489" t="s">
        <v>2</v>
      </c>
      <c r="D489" t="s">
        <v>2</v>
      </c>
      <c r="E489" s="6" t="s">
        <v>2</v>
      </c>
      <c r="F489" t="s">
        <v>2</v>
      </c>
      <c r="G489" t="s">
        <v>2</v>
      </c>
      <c r="H489" s="6" t="s">
        <v>2</v>
      </c>
      <c r="I489" t="s">
        <v>2</v>
      </c>
    </row>
    <row r="490" spans="1:9" x14ac:dyDescent="0.25">
      <c r="A490" s="11" t="s">
        <v>63</v>
      </c>
      <c r="B490">
        <v>1999</v>
      </c>
      <c r="C490" t="s">
        <v>2</v>
      </c>
      <c r="D490" t="s">
        <v>2</v>
      </c>
      <c r="E490" s="6" t="s">
        <v>2</v>
      </c>
      <c r="F490" t="s">
        <v>2</v>
      </c>
      <c r="G490" t="s">
        <v>2</v>
      </c>
      <c r="H490" s="6" t="s">
        <v>2</v>
      </c>
      <c r="I490" t="s">
        <v>2</v>
      </c>
    </row>
    <row r="491" spans="1:9" x14ac:dyDescent="0.25">
      <c r="A491" s="11" t="s">
        <v>63</v>
      </c>
      <c r="B491">
        <v>2000</v>
      </c>
      <c r="C491" t="s">
        <v>2</v>
      </c>
      <c r="D491" t="s">
        <v>2</v>
      </c>
      <c r="E491" s="6" t="s">
        <v>2</v>
      </c>
      <c r="F491" t="s">
        <v>2</v>
      </c>
      <c r="G491" t="s">
        <v>2</v>
      </c>
      <c r="H491" s="6" t="s">
        <v>2</v>
      </c>
      <c r="I491" t="s">
        <v>2</v>
      </c>
    </row>
    <row r="492" spans="1:9" x14ac:dyDescent="0.25">
      <c r="A492" s="11" t="s">
        <v>63</v>
      </c>
      <c r="B492">
        <v>2001</v>
      </c>
      <c r="C492" t="s">
        <v>2</v>
      </c>
      <c r="D492" t="s">
        <v>2</v>
      </c>
      <c r="E492" s="6" t="s">
        <v>2</v>
      </c>
      <c r="F492" t="s">
        <v>2</v>
      </c>
      <c r="G492" t="s">
        <v>2</v>
      </c>
      <c r="H492" s="6" t="s">
        <v>2</v>
      </c>
      <c r="I492" t="s">
        <v>2</v>
      </c>
    </row>
    <row r="493" spans="1:9" x14ac:dyDescent="0.25">
      <c r="A493" s="11" t="s">
        <v>63</v>
      </c>
      <c r="B493">
        <v>2002</v>
      </c>
      <c r="C493" t="s">
        <v>2</v>
      </c>
      <c r="D493" t="s">
        <v>2</v>
      </c>
      <c r="E493" s="6" t="s">
        <v>2</v>
      </c>
      <c r="F493" t="s">
        <v>2</v>
      </c>
      <c r="G493" t="s">
        <v>2</v>
      </c>
      <c r="H493" s="6" t="s">
        <v>2</v>
      </c>
      <c r="I493" t="s">
        <v>2</v>
      </c>
    </row>
    <row r="494" spans="1:9" x14ac:dyDescent="0.25">
      <c r="A494" s="11" t="s">
        <v>63</v>
      </c>
      <c r="B494">
        <v>2003</v>
      </c>
      <c r="C494" t="s">
        <v>2</v>
      </c>
      <c r="D494" t="s">
        <v>2</v>
      </c>
      <c r="E494" s="6" t="s">
        <v>2</v>
      </c>
      <c r="F494" t="s">
        <v>2</v>
      </c>
      <c r="G494" t="s">
        <v>2</v>
      </c>
      <c r="H494" s="6" t="s">
        <v>2</v>
      </c>
      <c r="I494" t="s">
        <v>2</v>
      </c>
    </row>
    <row r="495" spans="1:9" x14ac:dyDescent="0.25">
      <c r="A495" s="11" t="s">
        <v>63</v>
      </c>
      <c r="B495">
        <v>2004</v>
      </c>
      <c r="C495" t="s">
        <v>2</v>
      </c>
      <c r="D495" t="s">
        <v>2</v>
      </c>
      <c r="E495" s="6" t="s">
        <v>2</v>
      </c>
      <c r="F495" t="s">
        <v>2</v>
      </c>
      <c r="G495" t="s">
        <v>2</v>
      </c>
      <c r="H495" s="6" t="s">
        <v>2</v>
      </c>
      <c r="I495" t="s">
        <v>2</v>
      </c>
    </row>
    <row r="496" spans="1:9" x14ac:dyDescent="0.25">
      <c r="A496" s="11" t="s">
        <v>63</v>
      </c>
      <c r="B496">
        <v>2005</v>
      </c>
      <c r="C496" t="s">
        <v>2</v>
      </c>
      <c r="D496" t="s">
        <v>2</v>
      </c>
      <c r="E496" s="6" t="s">
        <v>2</v>
      </c>
      <c r="F496" t="s">
        <v>2</v>
      </c>
      <c r="G496" t="s">
        <v>2</v>
      </c>
      <c r="H496" s="6" t="s">
        <v>2</v>
      </c>
      <c r="I496" t="s">
        <v>2</v>
      </c>
    </row>
    <row r="497" spans="1:10" x14ac:dyDescent="0.25">
      <c r="A497" s="11" t="s">
        <v>63</v>
      </c>
      <c r="B497">
        <v>2006</v>
      </c>
      <c r="C497" t="s">
        <v>2</v>
      </c>
      <c r="D497" t="s">
        <v>2</v>
      </c>
      <c r="E497" s="6" t="s">
        <v>2</v>
      </c>
      <c r="F497" t="s">
        <v>2</v>
      </c>
      <c r="G497" t="s">
        <v>2</v>
      </c>
      <c r="H497" s="6" t="s">
        <v>2</v>
      </c>
      <c r="I497" t="s">
        <v>2</v>
      </c>
    </row>
    <row r="498" spans="1:10" x14ac:dyDescent="0.25">
      <c r="A498" s="11" t="s">
        <v>63</v>
      </c>
      <c r="B498">
        <v>2007</v>
      </c>
      <c r="C498" t="s">
        <v>2</v>
      </c>
      <c r="D498" t="s">
        <v>2</v>
      </c>
      <c r="E498" s="6" t="s">
        <v>2</v>
      </c>
      <c r="F498" t="s">
        <v>2</v>
      </c>
      <c r="G498" t="s">
        <v>2</v>
      </c>
      <c r="H498" s="6" t="s">
        <v>2</v>
      </c>
      <c r="I498" t="s">
        <v>2</v>
      </c>
    </row>
    <row r="499" spans="1:10" x14ac:dyDescent="0.25">
      <c r="A499" s="11" t="s">
        <v>63</v>
      </c>
      <c r="B499">
        <v>2008</v>
      </c>
      <c r="C499" t="s">
        <v>2</v>
      </c>
      <c r="D499" t="s">
        <v>2</v>
      </c>
      <c r="E499" s="6" t="s">
        <v>2</v>
      </c>
      <c r="F499" t="s">
        <v>2</v>
      </c>
      <c r="G499" t="s">
        <v>2</v>
      </c>
      <c r="H499" s="6" t="s">
        <v>2</v>
      </c>
      <c r="I499" t="s">
        <v>2</v>
      </c>
    </row>
    <row r="500" spans="1:10" x14ac:dyDescent="0.25">
      <c r="A500" s="11" t="s">
        <v>63</v>
      </c>
      <c r="B500">
        <v>2009</v>
      </c>
      <c r="C500" t="s">
        <v>2</v>
      </c>
      <c r="D500" t="s">
        <v>2</v>
      </c>
      <c r="E500" s="6" t="s">
        <v>2</v>
      </c>
      <c r="F500" t="s">
        <v>2</v>
      </c>
      <c r="G500" t="s">
        <v>2</v>
      </c>
      <c r="H500" s="6" t="s">
        <v>2</v>
      </c>
      <c r="I500" t="s">
        <v>2</v>
      </c>
    </row>
    <row r="501" spans="1:10" x14ac:dyDescent="0.25">
      <c r="A501" s="11" t="s">
        <v>63</v>
      </c>
      <c r="B501">
        <v>2010</v>
      </c>
      <c r="C501" t="s">
        <v>2</v>
      </c>
      <c r="D501" t="s">
        <v>2</v>
      </c>
      <c r="E501" s="6" t="s">
        <v>2</v>
      </c>
      <c r="F501" t="s">
        <v>2</v>
      </c>
      <c r="G501" t="s">
        <v>2</v>
      </c>
      <c r="H501" s="6" t="s">
        <v>2</v>
      </c>
      <c r="I501" t="s">
        <v>2</v>
      </c>
    </row>
    <row r="502" spans="1:10" x14ac:dyDescent="0.25">
      <c r="A502" s="11" t="s">
        <v>63</v>
      </c>
      <c r="B502">
        <v>2011</v>
      </c>
      <c r="C502" t="s">
        <v>2</v>
      </c>
      <c r="D502" t="s">
        <v>2</v>
      </c>
      <c r="E502" s="6" t="s">
        <v>2</v>
      </c>
      <c r="F502" t="s">
        <v>2</v>
      </c>
      <c r="G502" t="s">
        <v>2</v>
      </c>
      <c r="H502" s="6" t="s">
        <v>2</v>
      </c>
      <c r="I502" t="s">
        <v>2</v>
      </c>
    </row>
    <row r="503" spans="1:10" x14ac:dyDescent="0.25">
      <c r="A503" s="11" t="s">
        <v>63</v>
      </c>
      <c r="B503">
        <v>2012</v>
      </c>
      <c r="C503" t="s">
        <v>2</v>
      </c>
      <c r="D503" t="s">
        <v>2</v>
      </c>
      <c r="E503" s="6" t="s">
        <v>2</v>
      </c>
      <c r="F503" t="s">
        <v>2</v>
      </c>
      <c r="G503" t="s">
        <v>2</v>
      </c>
      <c r="H503" s="6" t="s">
        <v>2</v>
      </c>
      <c r="I503" t="s">
        <v>2</v>
      </c>
    </row>
    <row r="504" spans="1:10" x14ac:dyDescent="0.25">
      <c r="A504" s="11" t="s">
        <v>63</v>
      </c>
      <c r="B504">
        <v>2013</v>
      </c>
      <c r="C504" t="s">
        <v>2</v>
      </c>
      <c r="D504" t="s">
        <v>2</v>
      </c>
      <c r="E504" s="6" t="s">
        <v>2</v>
      </c>
      <c r="F504" t="s">
        <v>2</v>
      </c>
      <c r="G504" t="s">
        <v>2</v>
      </c>
      <c r="H504" s="6" t="s">
        <v>2</v>
      </c>
      <c r="I504" t="s">
        <v>2</v>
      </c>
    </row>
    <row r="505" spans="1:10" x14ac:dyDescent="0.25">
      <c r="A505" s="11" t="s">
        <v>63</v>
      </c>
      <c r="B505">
        <v>2014</v>
      </c>
      <c r="C505" t="s">
        <v>2</v>
      </c>
      <c r="D505" t="s">
        <v>2</v>
      </c>
      <c r="E505" s="6" t="s">
        <v>2</v>
      </c>
      <c r="F505" t="s">
        <v>2</v>
      </c>
      <c r="G505" t="s">
        <v>2</v>
      </c>
      <c r="H505" s="6" t="s">
        <v>2</v>
      </c>
      <c r="I505" t="s">
        <v>2</v>
      </c>
    </row>
    <row r="506" spans="1:10" x14ac:dyDescent="0.25">
      <c r="A506" s="12" t="s">
        <v>63</v>
      </c>
      <c r="B506" s="7">
        <v>2015</v>
      </c>
      <c r="C506" s="7" t="s">
        <v>2</v>
      </c>
      <c r="D506" s="7" t="s">
        <v>2</v>
      </c>
      <c r="E506" s="8" t="s">
        <v>2</v>
      </c>
      <c r="F506" s="7" t="s">
        <v>2</v>
      </c>
      <c r="G506" s="7" t="s">
        <v>2</v>
      </c>
      <c r="H506" s="8" t="s">
        <v>2</v>
      </c>
      <c r="I506" s="7" t="s">
        <v>2</v>
      </c>
    </row>
    <row r="507" spans="1:10" x14ac:dyDescent="0.25">
      <c r="A507" s="11" t="s">
        <v>64</v>
      </c>
      <c r="B507">
        <v>1998</v>
      </c>
      <c r="C507">
        <f>5.54*32.1507</f>
        <v>178.114878</v>
      </c>
      <c r="D507" t="s">
        <v>2</v>
      </c>
      <c r="E507" s="6" t="s">
        <v>2</v>
      </c>
      <c r="F507">
        <v>1</v>
      </c>
      <c r="G507">
        <f>C507</f>
        <v>178.114878</v>
      </c>
      <c r="H507" t="s">
        <v>2</v>
      </c>
      <c r="I507" s="6" t="s">
        <v>2</v>
      </c>
      <c r="J507" t="s">
        <v>65</v>
      </c>
    </row>
    <row r="508" spans="1:10" x14ac:dyDescent="0.25">
      <c r="A508" s="11" t="s">
        <v>64</v>
      </c>
      <c r="B508">
        <v>1999</v>
      </c>
      <c r="C508">
        <f>5.25*32.1507</f>
        <v>168.79117500000001</v>
      </c>
      <c r="D508">
        <f t="shared" ref="D508:D523" si="122">C508-C507</f>
        <v>-9.3237029999999947</v>
      </c>
      <c r="E508" s="6">
        <f>C508/C507-1</f>
        <v>-5.234657039711188E-2</v>
      </c>
      <c r="F508">
        <v>1.021294363256785</v>
      </c>
      <c r="G508">
        <f>C508/F508</f>
        <v>165.27181689493051</v>
      </c>
      <c r="H508">
        <f>G508-G507</f>
        <v>-12.843061105069495</v>
      </c>
      <c r="I508" s="6">
        <f>G508/G507-1</f>
        <v>-7.2105493091203177E-2</v>
      </c>
    </row>
    <row r="509" spans="1:10" x14ac:dyDescent="0.25">
      <c r="A509" s="11" t="s">
        <v>64</v>
      </c>
      <c r="B509">
        <v>2000</v>
      </c>
      <c r="C509">
        <f>5*32.1507</f>
        <v>160.7535</v>
      </c>
      <c r="D509">
        <f t="shared" si="122"/>
        <v>-8.0376750000000072</v>
      </c>
      <c r="E509" s="6">
        <f t="shared" ref="E509:E524" si="123">C509/C508-1</f>
        <v>-4.7619047619047672E-2</v>
      </c>
      <c r="F509">
        <v>1.0559498956158664</v>
      </c>
      <c r="G509">
        <f t="shared" ref="G509:G523" si="124">C509/F509</f>
        <v>152.23591637010676</v>
      </c>
      <c r="H509">
        <f t="shared" ref="H509:H524" si="125">G509-G508</f>
        <v>-13.035900524823745</v>
      </c>
      <c r="I509" s="6">
        <f t="shared" ref="I509:I524" si="126">G509/G508-1</f>
        <v>-7.8875520156658996E-2</v>
      </c>
      <c r="J509" t="s">
        <v>13</v>
      </c>
    </row>
    <row r="510" spans="1:10" x14ac:dyDescent="0.25">
      <c r="A510" s="11" t="s">
        <v>64</v>
      </c>
      <c r="B510">
        <v>2001</v>
      </c>
      <c r="C510">
        <f>4.39*32.1507</f>
        <v>141.14157299999999</v>
      </c>
      <c r="D510">
        <f t="shared" si="122"/>
        <v>-19.611927000000009</v>
      </c>
      <c r="E510" s="6">
        <f t="shared" si="123"/>
        <v>-0.122</v>
      </c>
      <c r="F510">
        <v>1.0860125260960336</v>
      </c>
      <c r="G510">
        <f t="shared" si="124"/>
        <v>129.96311700692038</v>
      </c>
      <c r="H510">
        <f t="shared" si="125"/>
        <v>-22.27279936318638</v>
      </c>
      <c r="I510" s="6">
        <f t="shared" si="126"/>
        <v>-0.14630449826989644</v>
      </c>
    </row>
    <row r="511" spans="1:10" x14ac:dyDescent="0.25">
      <c r="A511" s="11" t="s">
        <v>64</v>
      </c>
      <c r="B511">
        <v>2002</v>
      </c>
      <c r="C511">
        <f>4.62*32.1507</f>
        <v>148.53623400000001</v>
      </c>
      <c r="D511">
        <f t="shared" si="122"/>
        <v>7.3946610000000135</v>
      </c>
      <c r="E511" s="6">
        <f t="shared" si="123"/>
        <v>5.2391799544419193E-2</v>
      </c>
      <c r="F511">
        <v>1.1031315240083506</v>
      </c>
      <c r="G511">
        <f t="shared" si="124"/>
        <v>134.6496140915973</v>
      </c>
      <c r="H511">
        <f t="shared" si="125"/>
        <v>4.6864970846769154</v>
      </c>
      <c r="I511" s="6">
        <f t="shared" si="126"/>
        <v>3.6060208408416061E-2</v>
      </c>
      <c r="J511" t="s">
        <v>43</v>
      </c>
    </row>
    <row r="512" spans="1:10" x14ac:dyDescent="0.25">
      <c r="A512" s="11" t="s">
        <v>64</v>
      </c>
      <c r="B512">
        <v>2003</v>
      </c>
      <c r="C512">
        <f>4.91*32.1507</f>
        <v>157.859937</v>
      </c>
      <c r="D512">
        <f t="shared" si="122"/>
        <v>9.3237029999999947</v>
      </c>
      <c r="E512" s="6">
        <f t="shared" si="123"/>
        <v>6.277056277056281E-2</v>
      </c>
      <c r="F512">
        <v>1.1281837160751564</v>
      </c>
      <c r="G512">
        <f t="shared" si="124"/>
        <v>139.9239634030348</v>
      </c>
      <c r="H512">
        <f t="shared" si="125"/>
        <v>5.2743493114375042</v>
      </c>
      <c r="I512" s="6">
        <f t="shared" si="126"/>
        <v>3.9170920370032114E-2</v>
      </c>
    </row>
    <row r="513" spans="1:10" x14ac:dyDescent="0.25">
      <c r="A513" s="11" t="s">
        <v>64</v>
      </c>
      <c r="B513">
        <v>2004</v>
      </c>
      <c r="C513">
        <f>6.69*32.1507</f>
        <v>215.08818300000001</v>
      </c>
      <c r="D513">
        <f t="shared" si="122"/>
        <v>57.228246000000013</v>
      </c>
      <c r="E513" s="6">
        <f t="shared" si="123"/>
        <v>0.36252545824847249</v>
      </c>
      <c r="F513">
        <v>1.1586638830897704</v>
      </c>
      <c r="G513">
        <f t="shared" si="124"/>
        <v>185.63466604864865</v>
      </c>
      <c r="H513">
        <f t="shared" si="125"/>
        <v>45.71070264561385</v>
      </c>
      <c r="I513" s="6">
        <f t="shared" si="126"/>
        <v>0.32668244619364772</v>
      </c>
    </row>
    <row r="514" spans="1:10" x14ac:dyDescent="0.25">
      <c r="A514" s="11" t="s">
        <v>64</v>
      </c>
      <c r="B514">
        <v>2005</v>
      </c>
      <c r="C514">
        <f>7.34*32.1507</f>
        <v>235.98613800000001</v>
      </c>
      <c r="D514">
        <f t="shared" si="122"/>
        <v>20.897954999999996</v>
      </c>
      <c r="E514" s="6">
        <f t="shared" si="123"/>
        <v>9.7159940209267548E-2</v>
      </c>
      <c r="F514">
        <v>1.1979123173277662</v>
      </c>
      <c r="G514">
        <f t="shared" si="124"/>
        <v>196.99783914604393</v>
      </c>
      <c r="H514">
        <f t="shared" si="125"/>
        <v>11.363173097395276</v>
      </c>
      <c r="I514" s="6">
        <f t="shared" si="126"/>
        <v>6.1212559805060129E-2</v>
      </c>
    </row>
    <row r="515" spans="1:10" x14ac:dyDescent="0.25">
      <c r="A515" s="11" t="s">
        <v>64</v>
      </c>
      <c r="B515">
        <v>2006</v>
      </c>
      <c r="C515">
        <f>11.61*32.1507</f>
        <v>373.26962700000001</v>
      </c>
      <c r="D515">
        <f t="shared" si="122"/>
        <v>137.283489</v>
      </c>
      <c r="E515" s="6">
        <f t="shared" si="123"/>
        <v>0.58174386920980914</v>
      </c>
      <c r="F515">
        <v>1.2367432150313151</v>
      </c>
      <c r="G515">
        <f t="shared" si="124"/>
        <v>301.81659576806214</v>
      </c>
      <c r="H515">
        <f t="shared" si="125"/>
        <v>104.81875662201821</v>
      </c>
      <c r="I515" s="6">
        <f t="shared" si="126"/>
        <v>0.53208074299896779</v>
      </c>
    </row>
    <row r="516" spans="1:10" x14ac:dyDescent="0.25">
      <c r="A516" s="11" t="s">
        <v>64</v>
      </c>
      <c r="B516">
        <v>2007</v>
      </c>
      <c r="C516">
        <f>13.38*32.1507</f>
        <v>430.17636600000003</v>
      </c>
      <c r="D516">
        <f t="shared" si="122"/>
        <v>56.906739000000016</v>
      </c>
      <c r="E516" s="6">
        <f t="shared" si="123"/>
        <v>0.15245478036175708</v>
      </c>
      <c r="F516">
        <v>1.2718162839248435</v>
      </c>
      <c r="G516">
        <f t="shared" si="124"/>
        <v>338.23781896585689</v>
      </c>
      <c r="H516">
        <f t="shared" si="125"/>
        <v>36.421223197794745</v>
      </c>
      <c r="I516" s="6">
        <f t="shared" si="126"/>
        <v>0.12067336159931874</v>
      </c>
    </row>
    <row r="517" spans="1:10" x14ac:dyDescent="0.25">
      <c r="A517" s="11" t="s">
        <v>64</v>
      </c>
      <c r="B517">
        <v>2008</v>
      </c>
      <c r="C517">
        <f>14.87*32.1507</f>
        <v>478.08090899999996</v>
      </c>
      <c r="D517">
        <f t="shared" si="122"/>
        <v>47.904542999999933</v>
      </c>
      <c r="E517" s="6">
        <f t="shared" si="123"/>
        <v>0.11136023916292959</v>
      </c>
      <c r="F517">
        <v>1.3206680584551149</v>
      </c>
      <c r="G517">
        <f t="shared" si="124"/>
        <v>361.9992972036041</v>
      </c>
      <c r="H517">
        <f t="shared" si="125"/>
        <v>23.761478237747212</v>
      </c>
      <c r="I517" s="6">
        <f t="shared" si="126"/>
        <v>7.0250802557787928E-2</v>
      </c>
    </row>
    <row r="518" spans="1:10" x14ac:dyDescent="0.25">
      <c r="A518" s="11" t="s">
        <v>64</v>
      </c>
      <c r="B518">
        <v>2009</v>
      </c>
      <c r="C518">
        <f>14.69*32.1507</f>
        <v>472.29378300000002</v>
      </c>
      <c r="D518">
        <f t="shared" si="122"/>
        <v>-5.7871259999999438</v>
      </c>
      <c r="E518" s="6">
        <f t="shared" si="123"/>
        <v>-1.2104909213180748E-2</v>
      </c>
      <c r="F518">
        <v>1.3160751565762003</v>
      </c>
      <c r="G518">
        <f t="shared" si="124"/>
        <v>358.86535859295691</v>
      </c>
      <c r="H518">
        <f t="shared" si="125"/>
        <v>-3.133938610647192</v>
      </c>
      <c r="I518" s="6">
        <f t="shared" si="126"/>
        <v>-8.6573057872113557E-3</v>
      </c>
    </row>
    <row r="519" spans="1:10" x14ac:dyDescent="0.25">
      <c r="A519" s="11" t="s">
        <v>64</v>
      </c>
      <c r="B519">
        <v>2010</v>
      </c>
      <c r="C519">
        <f>20.2*32.1507</f>
        <v>649.44413999999995</v>
      </c>
      <c r="D519">
        <f t="shared" si="122"/>
        <v>177.15035699999993</v>
      </c>
      <c r="E519" s="6">
        <f t="shared" si="123"/>
        <v>0.37508509189925099</v>
      </c>
      <c r="F519">
        <v>1.3377870563674321</v>
      </c>
      <c r="G519">
        <f t="shared" si="124"/>
        <v>485.46152162921345</v>
      </c>
      <c r="H519">
        <f t="shared" si="125"/>
        <v>126.59616303625654</v>
      </c>
      <c r="I519" s="6">
        <f t="shared" si="126"/>
        <v>0.35276785570113578</v>
      </c>
    </row>
    <row r="520" spans="1:10" x14ac:dyDescent="0.25">
      <c r="A520" s="11" t="s">
        <v>64</v>
      </c>
      <c r="B520">
        <v>2011</v>
      </c>
      <c r="C520">
        <f>35.26*32.1507</f>
        <v>1133.6336819999999</v>
      </c>
      <c r="D520">
        <f t="shared" si="122"/>
        <v>484.18954199999996</v>
      </c>
      <c r="E520" s="6">
        <f t="shared" si="123"/>
        <v>0.74554455445544554</v>
      </c>
      <c r="F520">
        <v>1.3799582463465554</v>
      </c>
      <c r="G520">
        <f t="shared" si="124"/>
        <v>821.49853809077149</v>
      </c>
      <c r="H520">
        <f t="shared" si="125"/>
        <v>336.03701646155804</v>
      </c>
      <c r="I520" s="6">
        <f t="shared" si="126"/>
        <v>0.69220113539341832</v>
      </c>
    </row>
    <row r="521" spans="1:10" x14ac:dyDescent="0.25">
      <c r="A521" s="11" t="s">
        <v>64</v>
      </c>
      <c r="B521">
        <v>2012</v>
      </c>
      <c r="C521">
        <f>31.21*32.1507</f>
        <v>1003.423347</v>
      </c>
      <c r="D521">
        <f t="shared" si="122"/>
        <v>-130.21033499999987</v>
      </c>
      <c r="E521" s="6">
        <f t="shared" si="123"/>
        <v>-0.11486103233125344</v>
      </c>
      <c r="F521">
        <v>1.4091858037578289</v>
      </c>
      <c r="G521">
        <f t="shared" si="124"/>
        <v>712.05893809333338</v>
      </c>
      <c r="H521">
        <f t="shared" si="125"/>
        <v>-109.43959999743811</v>
      </c>
      <c r="I521" s="6">
        <f t="shared" si="126"/>
        <v>-0.13321947017919777</v>
      </c>
    </row>
    <row r="522" spans="1:10" x14ac:dyDescent="0.25">
      <c r="A522" s="11" t="s">
        <v>64</v>
      </c>
      <c r="B522">
        <v>2013</v>
      </c>
      <c r="C522">
        <f>23.8*32.1507</f>
        <v>765.18666000000007</v>
      </c>
      <c r="D522">
        <f t="shared" si="122"/>
        <v>-238.23668699999996</v>
      </c>
      <c r="E522" s="6">
        <f t="shared" si="123"/>
        <v>-0.23742390259532198</v>
      </c>
      <c r="F522">
        <v>1.4300626304801669</v>
      </c>
      <c r="G522">
        <f t="shared" si="124"/>
        <v>535.07213159124092</v>
      </c>
      <c r="H522">
        <f t="shared" si="125"/>
        <v>-176.98680650209246</v>
      </c>
      <c r="I522" s="6">
        <f t="shared" si="126"/>
        <v>-0.24855640036765303</v>
      </c>
    </row>
    <row r="523" spans="1:10" x14ac:dyDescent="0.25">
      <c r="A523" s="11" t="s">
        <v>64</v>
      </c>
      <c r="B523">
        <v>2014</v>
      </c>
      <c r="C523">
        <f>19.37*32.1507</f>
        <v>622.75905900000009</v>
      </c>
      <c r="D523">
        <f t="shared" si="122"/>
        <v>-142.42760099999998</v>
      </c>
      <c r="E523" s="6">
        <f t="shared" si="123"/>
        <v>-0.18613445378151261</v>
      </c>
      <c r="F523">
        <v>1.4542797494780795</v>
      </c>
      <c r="G523">
        <f t="shared" si="124"/>
        <v>428.22507789405688</v>
      </c>
      <c r="H523">
        <f t="shared" si="125"/>
        <v>-106.84705369718404</v>
      </c>
      <c r="I523" s="6">
        <f t="shared" si="126"/>
        <v>-0.19968719615322439</v>
      </c>
    </row>
    <row r="524" spans="1:10" x14ac:dyDescent="0.25">
      <c r="A524" s="12" t="s">
        <v>64</v>
      </c>
      <c r="B524" s="7">
        <v>2015</v>
      </c>
      <c r="C524" s="7">
        <f>15.72*32.1507</f>
        <v>505.40900400000004</v>
      </c>
      <c r="D524" s="7">
        <f>C524-C523</f>
        <v>-117.35005500000005</v>
      </c>
      <c r="E524" s="8">
        <f t="shared" si="123"/>
        <v>-0.18843572534847708</v>
      </c>
      <c r="F524" s="7">
        <v>1.4567849686847598</v>
      </c>
      <c r="G524" s="7">
        <f>C524/F524</f>
        <v>346.9345269647464</v>
      </c>
      <c r="H524" s="7">
        <f t="shared" si="125"/>
        <v>-81.290550929310484</v>
      </c>
      <c r="I524" s="8">
        <f t="shared" si="126"/>
        <v>-0.18983136468579687</v>
      </c>
    </row>
    <row r="525" spans="1:10" x14ac:dyDescent="0.25">
      <c r="A525" s="11" t="s">
        <v>66</v>
      </c>
      <c r="B525">
        <v>1998</v>
      </c>
      <c r="C525">
        <f>0.28*2.20462</f>
        <v>0.6172936</v>
      </c>
      <c r="D525" t="s">
        <v>2</v>
      </c>
      <c r="E525" s="6" t="s">
        <v>2</v>
      </c>
      <c r="F525">
        <v>1</v>
      </c>
      <c r="G525">
        <f>C525</f>
        <v>0.6172936</v>
      </c>
      <c r="H525" t="s">
        <v>2</v>
      </c>
      <c r="I525" s="6" t="s">
        <v>2</v>
      </c>
      <c r="J525" t="s">
        <v>67</v>
      </c>
    </row>
    <row r="526" spans="1:10" x14ac:dyDescent="0.25">
      <c r="A526" s="11" t="s">
        <v>66</v>
      </c>
      <c r="B526">
        <v>1999</v>
      </c>
      <c r="C526">
        <f>0.14*2.20462</f>
        <v>0.3086468</v>
      </c>
      <c r="D526">
        <f t="shared" ref="D526:D541" si="127">C526-C525</f>
        <v>-0.3086468</v>
      </c>
      <c r="E526" s="6">
        <f>C526/C525-1</f>
        <v>-0.5</v>
      </c>
      <c r="F526">
        <v>1.021294363256785</v>
      </c>
      <c r="G526">
        <f>C526/F526</f>
        <v>0.30221140065412916</v>
      </c>
      <c r="H526">
        <f>G526-G525</f>
        <v>-0.31508219934587084</v>
      </c>
      <c r="I526" s="6">
        <f>G526/G525-1</f>
        <v>-0.51042518397383496</v>
      </c>
    </row>
    <row r="527" spans="1:10" x14ac:dyDescent="0.25">
      <c r="A527" s="11" t="s">
        <v>66</v>
      </c>
      <c r="B527">
        <v>2000</v>
      </c>
      <c r="C527">
        <f>0.16*2.20462</f>
        <v>0.35273919999999997</v>
      </c>
      <c r="D527">
        <f t="shared" si="127"/>
        <v>4.4092399999999976E-2</v>
      </c>
      <c r="E527" s="6">
        <f t="shared" ref="E527:E542" si="128">C527/C526-1</f>
        <v>0.14285714285714279</v>
      </c>
      <c r="F527">
        <v>1.0559498956158664</v>
      </c>
      <c r="G527">
        <f t="shared" ref="G527:G541" si="129">C527/F527</f>
        <v>0.3340491830763147</v>
      </c>
      <c r="H527">
        <f t="shared" ref="H527:H542" si="130">G527-G526</f>
        <v>3.1837782422185545E-2</v>
      </c>
      <c r="I527" s="6">
        <f t="shared" ref="I527:I542" si="131">G527/G526-1</f>
        <v>0.1053493758120092</v>
      </c>
      <c r="J527" t="s">
        <v>13</v>
      </c>
    </row>
    <row r="528" spans="1:10" x14ac:dyDescent="0.25">
      <c r="A528" s="11" t="s">
        <v>66</v>
      </c>
      <c r="B528">
        <v>2001</v>
      </c>
      <c r="C528">
        <f>0.23*2.20462</f>
        <v>0.50706260000000003</v>
      </c>
      <c r="D528">
        <f t="shared" si="127"/>
        <v>0.15432340000000005</v>
      </c>
      <c r="E528" s="6">
        <f t="shared" si="128"/>
        <v>0.43750000000000022</v>
      </c>
      <c r="F528">
        <v>1.0860125260960336</v>
      </c>
      <c r="G528">
        <f t="shared" si="129"/>
        <v>0.46690308612072273</v>
      </c>
      <c r="H528">
        <f t="shared" si="130"/>
        <v>0.13285390304440803</v>
      </c>
      <c r="I528" s="6">
        <f t="shared" si="131"/>
        <v>0.39770761245674735</v>
      </c>
    </row>
    <row r="529" spans="1:10" x14ac:dyDescent="0.25">
      <c r="A529" s="11" t="s">
        <v>66</v>
      </c>
      <c r="B529">
        <v>2002</v>
      </c>
      <c r="C529">
        <f>0.29*2.20462</f>
        <v>0.6393397999999999</v>
      </c>
      <c r="D529">
        <f t="shared" si="127"/>
        <v>0.13227719999999987</v>
      </c>
      <c r="E529" s="6">
        <f t="shared" si="128"/>
        <v>0.26086956521739113</v>
      </c>
      <c r="F529">
        <v>1.1031315240083506</v>
      </c>
      <c r="G529">
        <f t="shared" si="129"/>
        <v>0.57956806245268733</v>
      </c>
      <c r="H529">
        <f t="shared" si="130"/>
        <v>0.11266497633196459</v>
      </c>
      <c r="I529" s="6">
        <f t="shared" si="131"/>
        <v>0.2413027021689762</v>
      </c>
      <c r="J529" t="s">
        <v>43</v>
      </c>
    </row>
    <row r="530" spans="1:10" x14ac:dyDescent="0.25">
      <c r="A530" s="11" t="s">
        <v>66</v>
      </c>
      <c r="B530">
        <v>2003</v>
      </c>
      <c r="C530">
        <f>0.5*2.20462</f>
        <v>1.1023099999999999</v>
      </c>
      <c r="D530">
        <f t="shared" si="127"/>
        <v>0.4629702</v>
      </c>
      <c r="E530" s="6">
        <f t="shared" si="128"/>
        <v>0.72413793103448287</v>
      </c>
      <c r="F530">
        <v>1.1281837160751564</v>
      </c>
      <c r="G530">
        <f t="shared" si="129"/>
        <v>0.97706604367135463</v>
      </c>
      <c r="H530">
        <f t="shared" si="130"/>
        <v>0.39749798121866731</v>
      </c>
      <c r="I530" s="6">
        <f t="shared" si="131"/>
        <v>0.68585211465325835</v>
      </c>
    </row>
    <row r="531" spans="1:10" x14ac:dyDescent="0.25">
      <c r="A531" s="11" t="s">
        <v>66</v>
      </c>
      <c r="B531">
        <v>2004</v>
      </c>
      <c r="C531">
        <f>0.71*2.20462</f>
        <v>1.5652801999999997</v>
      </c>
      <c r="D531">
        <f t="shared" si="127"/>
        <v>0.46297019999999978</v>
      </c>
      <c r="E531" s="6">
        <f t="shared" si="128"/>
        <v>0.41999999999999993</v>
      </c>
      <c r="F531">
        <v>1.1586638830897704</v>
      </c>
      <c r="G531">
        <f t="shared" si="129"/>
        <v>1.3509355239639635</v>
      </c>
      <c r="H531">
        <f t="shared" si="130"/>
        <v>0.37386948029260891</v>
      </c>
      <c r="I531" s="6">
        <f t="shared" si="131"/>
        <v>0.38264504504504449</v>
      </c>
    </row>
    <row r="532" spans="1:10" x14ac:dyDescent="0.25">
      <c r="A532" s="11" t="s">
        <v>66</v>
      </c>
      <c r="B532">
        <v>2005</v>
      </c>
      <c r="C532">
        <f>1.5*2.20462</f>
        <v>3.3069299999999995</v>
      </c>
      <c r="D532">
        <f t="shared" si="127"/>
        <v>1.7416497999999998</v>
      </c>
      <c r="E532" s="6">
        <f t="shared" si="128"/>
        <v>1.1126760563380285</v>
      </c>
      <c r="F532">
        <v>1.1979123173277662</v>
      </c>
      <c r="G532">
        <f t="shared" si="129"/>
        <v>2.7605776751481348</v>
      </c>
      <c r="H532">
        <f t="shared" si="130"/>
        <v>1.4096421511841712</v>
      </c>
      <c r="I532" s="6">
        <f t="shared" si="131"/>
        <v>1.0434562761721957</v>
      </c>
    </row>
    <row r="533" spans="1:10" x14ac:dyDescent="0.25">
      <c r="A533" s="11" t="s">
        <v>66</v>
      </c>
      <c r="B533">
        <v>2006</v>
      </c>
      <c r="C533">
        <f>2.98</f>
        <v>2.98</v>
      </c>
      <c r="D533">
        <f t="shared" si="127"/>
        <v>-0.3269299999999995</v>
      </c>
      <c r="E533" s="6">
        <f t="shared" si="128"/>
        <v>-9.886208658786233E-2</v>
      </c>
      <c r="F533">
        <v>1.2367432150313151</v>
      </c>
      <c r="G533">
        <f t="shared" si="129"/>
        <v>2.409554355165429</v>
      </c>
      <c r="H533">
        <f t="shared" si="130"/>
        <v>-0.35102331998270575</v>
      </c>
      <c r="I533" s="6">
        <f t="shared" si="131"/>
        <v>-0.12715574828513732</v>
      </c>
    </row>
    <row r="534" spans="1:10" x14ac:dyDescent="0.25">
      <c r="A534" s="11" t="s">
        <v>66</v>
      </c>
      <c r="B534">
        <v>2007</v>
      </c>
      <c r="C534">
        <f>7.61</f>
        <v>7.61</v>
      </c>
      <c r="D534">
        <f t="shared" si="127"/>
        <v>4.6300000000000008</v>
      </c>
      <c r="E534" s="6">
        <f t="shared" si="128"/>
        <v>1.5536912751677852</v>
      </c>
      <c r="F534">
        <v>1.2718162839248435</v>
      </c>
      <c r="G534">
        <f t="shared" si="129"/>
        <v>5.9835686145764937</v>
      </c>
      <c r="H534">
        <f t="shared" si="130"/>
        <v>3.5740142594110647</v>
      </c>
      <c r="I534" s="6">
        <f t="shared" si="131"/>
        <v>1.4832677468965789</v>
      </c>
    </row>
    <row r="535" spans="1:10" x14ac:dyDescent="0.25">
      <c r="A535" s="11" t="s">
        <v>66</v>
      </c>
      <c r="B535">
        <v>2008</v>
      </c>
      <c r="C535">
        <f>5.92</f>
        <v>5.92</v>
      </c>
      <c r="D535">
        <f t="shared" si="127"/>
        <v>-1.6900000000000004</v>
      </c>
      <c r="E535" s="6">
        <f t="shared" si="128"/>
        <v>-0.22207621550591328</v>
      </c>
      <c r="F535">
        <v>1.3206680584551149</v>
      </c>
      <c r="G535">
        <f t="shared" si="129"/>
        <v>4.4825798292760037</v>
      </c>
      <c r="H535">
        <f t="shared" si="130"/>
        <v>-1.50098878530049</v>
      </c>
      <c r="I535" s="6">
        <f t="shared" si="131"/>
        <v>-0.25085177123964963</v>
      </c>
    </row>
    <row r="536" spans="1:10" x14ac:dyDescent="0.25">
      <c r="A536" s="11" t="s">
        <v>66</v>
      </c>
      <c r="B536">
        <v>2009</v>
      </c>
      <c r="C536">
        <f>2.87</f>
        <v>2.87</v>
      </c>
      <c r="D536">
        <f t="shared" si="127"/>
        <v>-3.05</v>
      </c>
      <c r="E536" s="6">
        <f t="shared" si="128"/>
        <v>-0.51520270270270263</v>
      </c>
      <c r="F536">
        <v>1.3160751565762003</v>
      </c>
      <c r="G536">
        <f t="shared" si="129"/>
        <v>2.1807265228426398</v>
      </c>
      <c r="H536">
        <f t="shared" si="130"/>
        <v>-2.3018533064333639</v>
      </c>
      <c r="I536" s="6">
        <f t="shared" si="131"/>
        <v>-0.51351083396213459</v>
      </c>
    </row>
    <row r="537" spans="1:10" x14ac:dyDescent="0.25">
      <c r="A537" s="11" t="s">
        <v>66</v>
      </c>
      <c r="B537">
        <v>2010</v>
      </c>
      <c r="C537">
        <f>3.9</f>
        <v>3.9</v>
      </c>
      <c r="D537">
        <f t="shared" si="127"/>
        <v>1.0299999999999998</v>
      </c>
      <c r="E537" s="6">
        <f t="shared" si="128"/>
        <v>0.35888501742160273</v>
      </c>
      <c r="F537">
        <v>1.3377870563674321</v>
      </c>
      <c r="G537">
        <f t="shared" si="129"/>
        <v>2.9152621722846441</v>
      </c>
      <c r="H537">
        <f t="shared" si="130"/>
        <v>0.73453564944200433</v>
      </c>
      <c r="I537" s="6">
        <f t="shared" si="131"/>
        <v>0.33683070378055291</v>
      </c>
    </row>
    <row r="538" spans="1:10" x14ac:dyDescent="0.25">
      <c r="A538" s="11" t="s">
        <v>66</v>
      </c>
      <c r="B538">
        <v>2011</v>
      </c>
      <c r="C538">
        <f>2.76</f>
        <v>2.76</v>
      </c>
      <c r="D538">
        <f t="shared" si="127"/>
        <v>-1.1400000000000001</v>
      </c>
      <c r="E538" s="6">
        <f t="shared" si="128"/>
        <v>-0.29230769230769238</v>
      </c>
      <c r="F538">
        <v>1.3799582463465554</v>
      </c>
      <c r="G538">
        <f t="shared" si="129"/>
        <v>2.000060514372163</v>
      </c>
      <c r="H538">
        <f t="shared" si="130"/>
        <v>-0.91520165791248109</v>
      </c>
      <c r="I538" s="6">
        <f t="shared" si="131"/>
        <v>-0.31393459792854661</v>
      </c>
    </row>
    <row r="539" spans="1:10" x14ac:dyDescent="0.25">
      <c r="A539" s="11" t="s">
        <v>66</v>
      </c>
      <c r="B539">
        <v>2012</v>
      </c>
      <c r="C539">
        <f>2.03</f>
        <v>2.0299999999999998</v>
      </c>
      <c r="D539">
        <f t="shared" si="127"/>
        <v>-0.73</v>
      </c>
      <c r="E539" s="6">
        <f t="shared" si="128"/>
        <v>-0.26449275362318847</v>
      </c>
      <c r="F539">
        <v>1.4091858037578289</v>
      </c>
      <c r="G539">
        <f t="shared" si="129"/>
        <v>1.4405481481481479</v>
      </c>
      <c r="H539">
        <f t="shared" si="130"/>
        <v>-0.55951236622401512</v>
      </c>
      <c r="I539" s="6">
        <f t="shared" si="131"/>
        <v>-0.27974771873322601</v>
      </c>
    </row>
    <row r="540" spans="1:10" x14ac:dyDescent="0.25">
      <c r="A540" s="11" t="s">
        <v>66</v>
      </c>
      <c r="B540">
        <v>2013</v>
      </c>
      <c r="C540">
        <f>1.92</f>
        <v>1.92</v>
      </c>
      <c r="D540">
        <f t="shared" si="127"/>
        <v>-0.10999999999999988</v>
      </c>
      <c r="E540" s="6">
        <f t="shared" si="128"/>
        <v>-5.4187192118226535E-2</v>
      </c>
      <c r="F540">
        <v>1.4300626304801669</v>
      </c>
      <c r="G540">
        <f t="shared" si="129"/>
        <v>1.3425985401459855</v>
      </c>
      <c r="H540">
        <f t="shared" si="130"/>
        <v>-9.7949608002162458E-2</v>
      </c>
      <c r="I540" s="6">
        <f t="shared" si="131"/>
        <v>-6.7994678364675654E-2</v>
      </c>
    </row>
    <row r="541" spans="1:10" x14ac:dyDescent="0.25">
      <c r="A541" s="11" t="s">
        <v>66</v>
      </c>
      <c r="B541">
        <v>2014</v>
      </c>
      <c r="C541">
        <f>1.99</f>
        <v>1.99</v>
      </c>
      <c r="D541">
        <f t="shared" si="127"/>
        <v>7.0000000000000062E-2</v>
      </c>
      <c r="E541" s="6">
        <f t="shared" si="128"/>
        <v>3.6458333333333259E-2</v>
      </c>
      <c r="F541">
        <v>1.4542797494780795</v>
      </c>
      <c r="G541">
        <f t="shared" si="129"/>
        <v>1.368374964111398</v>
      </c>
      <c r="H541">
        <f t="shared" si="130"/>
        <v>2.5776423965412576E-2</v>
      </c>
      <c r="I541" s="6">
        <f t="shared" si="131"/>
        <v>1.9198906593932197E-2</v>
      </c>
    </row>
    <row r="542" spans="1:10" x14ac:dyDescent="0.25">
      <c r="A542" s="12" t="s">
        <v>66</v>
      </c>
      <c r="B542" s="7">
        <v>2015</v>
      </c>
      <c r="C542" s="7">
        <f>1.47</f>
        <v>1.47</v>
      </c>
      <c r="D542" s="7">
        <f>C542-C541</f>
        <v>-0.52</v>
      </c>
      <c r="E542" s="8">
        <f t="shared" si="128"/>
        <v>-0.2613065326633166</v>
      </c>
      <c r="F542" s="7">
        <v>1.4567849686847598</v>
      </c>
      <c r="G542" s="7">
        <f>C542/F542</f>
        <v>1.0090713671539124</v>
      </c>
      <c r="H542" s="7">
        <f t="shared" si="130"/>
        <v>-0.35930359695748559</v>
      </c>
      <c r="I542" s="8">
        <f t="shared" si="131"/>
        <v>-0.2625768567687965</v>
      </c>
    </row>
    <row r="543" spans="1:10" x14ac:dyDescent="0.25">
      <c r="A543" s="11" t="s">
        <v>68</v>
      </c>
      <c r="B543">
        <v>1998</v>
      </c>
      <c r="C543">
        <f>2.6138*2.20462</f>
        <v>5.7624357559999995</v>
      </c>
      <c r="D543" t="s">
        <v>2</v>
      </c>
      <c r="E543" s="6" t="s">
        <v>2</v>
      </c>
      <c r="F543">
        <v>1</v>
      </c>
      <c r="G543">
        <f>C543</f>
        <v>5.7624357559999995</v>
      </c>
      <c r="H543" t="s">
        <v>2</v>
      </c>
      <c r="I543" s="6" t="s">
        <v>2</v>
      </c>
      <c r="J543" t="s">
        <v>69</v>
      </c>
    </row>
    <row r="544" spans="1:10" x14ac:dyDescent="0.25">
      <c r="A544" s="11" t="s">
        <v>68</v>
      </c>
      <c r="B544">
        <v>1999</v>
      </c>
      <c r="C544">
        <f>2.5454*2.20462</f>
        <v>5.6116397479999991</v>
      </c>
      <c r="D544">
        <f t="shared" ref="D544:D559" si="132">C544-C543</f>
        <v>-0.15079600800000037</v>
      </c>
      <c r="E544" s="6">
        <f>C544/C543-1</f>
        <v>-2.6168796388400084E-2</v>
      </c>
      <c r="F544">
        <v>1.021294363256785</v>
      </c>
      <c r="G544">
        <f>C544/F544</f>
        <v>5.4946349944644304</v>
      </c>
      <c r="H544">
        <f>G544-G543</f>
        <v>-0.26780076153556909</v>
      </c>
      <c r="I544" s="6">
        <f>G544/G543-1</f>
        <v>-4.6473535302624103E-2</v>
      </c>
    </row>
    <row r="545" spans="1:10" x14ac:dyDescent="0.25">
      <c r="A545" s="11" t="s">
        <v>68</v>
      </c>
      <c r="B545">
        <v>2000</v>
      </c>
      <c r="C545">
        <f>2.5492*2.20462</f>
        <v>5.6200173039999992</v>
      </c>
      <c r="D545">
        <f t="shared" si="132"/>
        <v>8.3775560000001192E-3</v>
      </c>
      <c r="E545" s="6">
        <f t="shared" ref="E545:E560" si="133">C545/C544-1</f>
        <v>1.4928891333385597E-3</v>
      </c>
      <c r="F545">
        <v>1.0559498956158664</v>
      </c>
      <c r="G545">
        <f t="shared" ref="G545:G559" si="134">C545/F545</f>
        <v>5.3222386093633842</v>
      </c>
      <c r="H545">
        <f t="shared" ref="H545:H560" si="135">G545-G544</f>
        <v>-0.17239638510104616</v>
      </c>
      <c r="I545" s="6">
        <f t="shared" ref="I545:I560" si="136">G545/G544-1</f>
        <v>-3.1375402601760971E-2</v>
      </c>
      <c r="J545" t="s">
        <v>13</v>
      </c>
    </row>
    <row r="546" spans="1:10" x14ac:dyDescent="0.25">
      <c r="A546" s="11" t="s">
        <v>68</v>
      </c>
      <c r="B546">
        <v>2001</v>
      </c>
      <c r="C546">
        <f>2.1148*2.20462</f>
        <v>4.662330375999999</v>
      </c>
      <c r="D546">
        <f t="shared" si="132"/>
        <v>-0.95768692800000021</v>
      </c>
      <c r="E546" s="6">
        <f t="shared" si="133"/>
        <v>-0.17040640200847335</v>
      </c>
      <c r="F546">
        <v>1.0860125260960336</v>
      </c>
      <c r="G546">
        <f t="shared" si="134"/>
        <v>4.2930723762091487</v>
      </c>
      <c r="H546">
        <f t="shared" si="135"/>
        <v>-1.0291662331542355</v>
      </c>
      <c r="I546" s="6">
        <f t="shared" si="136"/>
        <v>-0.19337093067259881</v>
      </c>
    </row>
    <row r="547" spans="1:10" x14ac:dyDescent="0.25">
      <c r="A547" s="11" t="s">
        <v>68</v>
      </c>
      <c r="B547">
        <v>2002</v>
      </c>
      <c r="C547">
        <f>1.9475*2.20462</f>
        <v>4.2934974499999994</v>
      </c>
      <c r="D547">
        <f t="shared" si="132"/>
        <v>-0.36883292599999962</v>
      </c>
      <c r="E547" s="6">
        <f t="shared" si="133"/>
        <v>-7.9109135615661019E-2</v>
      </c>
      <c r="F547">
        <v>1.1031315240083506</v>
      </c>
      <c r="G547">
        <f t="shared" si="134"/>
        <v>3.8920993159538231</v>
      </c>
      <c r="H547">
        <f t="shared" si="135"/>
        <v>-0.40097306025532564</v>
      </c>
      <c r="I547" s="6">
        <f t="shared" si="136"/>
        <v>-9.3400023367272267E-2</v>
      </c>
      <c r="J547" t="s">
        <v>43</v>
      </c>
    </row>
    <row r="548" spans="1:10" x14ac:dyDescent="0.25">
      <c r="A548" s="11" t="s">
        <v>68</v>
      </c>
      <c r="B548">
        <v>2003</v>
      </c>
      <c r="C548">
        <f>2.3236*2.20462</f>
        <v>5.1226550319999991</v>
      </c>
      <c r="D548">
        <f t="shared" si="132"/>
        <v>0.82915758199999967</v>
      </c>
      <c r="E548" s="6">
        <f t="shared" si="133"/>
        <v>0.19311938382541705</v>
      </c>
      <c r="F548">
        <v>1.1281837160751564</v>
      </c>
      <c r="G548">
        <f t="shared" si="134"/>
        <v>4.540621318149519</v>
      </c>
      <c r="H548">
        <f t="shared" si="135"/>
        <v>0.64852200219569589</v>
      </c>
      <c r="I548" s="6">
        <f t="shared" si="136"/>
        <v>0.16662524502840559</v>
      </c>
    </row>
    <row r="549" spans="1:10" x14ac:dyDescent="0.25">
      <c r="A549" s="11" t="s">
        <v>68</v>
      </c>
      <c r="B549">
        <v>2004</v>
      </c>
      <c r="C549">
        <f>4.0937*2.20462</f>
        <v>9.0250528939999999</v>
      </c>
      <c r="D549">
        <f t="shared" si="132"/>
        <v>3.9023978620000008</v>
      </c>
      <c r="E549" s="6">
        <f t="shared" si="133"/>
        <v>0.76179204682389434</v>
      </c>
      <c r="F549">
        <v>1.1586638830897704</v>
      </c>
      <c r="G549">
        <f t="shared" si="134"/>
        <v>7.7891897950018016</v>
      </c>
      <c r="H549">
        <f t="shared" si="135"/>
        <v>3.2485684768522827</v>
      </c>
      <c r="I549" s="6">
        <f t="shared" si="136"/>
        <v>0.71544580559213022</v>
      </c>
    </row>
    <row r="550" spans="1:10" x14ac:dyDescent="0.25">
      <c r="A550" s="11" t="s">
        <v>68</v>
      </c>
      <c r="B550">
        <v>2005</v>
      </c>
      <c r="C550">
        <f>3.6093*2.20462</f>
        <v>7.9571349659999999</v>
      </c>
      <c r="D550">
        <f t="shared" si="132"/>
        <v>-1.067917928</v>
      </c>
      <c r="E550" s="6">
        <f t="shared" si="133"/>
        <v>-0.11832816278672109</v>
      </c>
      <c r="F550">
        <v>1.1979123173277662</v>
      </c>
      <c r="G550">
        <f t="shared" si="134"/>
        <v>6.6425020019414429</v>
      </c>
      <c r="H550">
        <f t="shared" si="135"/>
        <v>-1.1466877930603587</v>
      </c>
      <c r="I550" s="6">
        <f t="shared" si="136"/>
        <v>-0.14721528467520073</v>
      </c>
    </row>
    <row r="551" spans="1:10" x14ac:dyDescent="0.25">
      <c r="A551" s="11" t="s">
        <v>68</v>
      </c>
      <c r="B551">
        <v>2006</v>
      </c>
      <c r="C551">
        <f>4.1949*2.20462</f>
        <v>9.2481604379999975</v>
      </c>
      <c r="D551">
        <f t="shared" si="132"/>
        <v>1.2910254719999976</v>
      </c>
      <c r="E551" s="6">
        <f t="shared" si="133"/>
        <v>0.16224752722134461</v>
      </c>
      <c r="F551">
        <v>1.2367432150313151</v>
      </c>
      <c r="G551">
        <f t="shared" si="134"/>
        <v>7.4778339800844007</v>
      </c>
      <c r="H551">
        <f t="shared" si="135"/>
        <v>0.83533197814295779</v>
      </c>
      <c r="I551" s="6">
        <f t="shared" si="136"/>
        <v>0.12575562309184263</v>
      </c>
    </row>
    <row r="552" spans="1:10" x14ac:dyDescent="0.25">
      <c r="A552" s="11" t="s">
        <v>68</v>
      </c>
      <c r="B552">
        <v>2007</v>
      </c>
      <c r="C552">
        <f>6.795*2.20462</f>
        <v>14.980392899999998</v>
      </c>
      <c r="D552">
        <f t="shared" si="132"/>
        <v>5.7322324620000007</v>
      </c>
      <c r="E552" s="6">
        <f t="shared" si="133"/>
        <v>0.61982407208753521</v>
      </c>
      <c r="F552">
        <v>1.2718162839248435</v>
      </c>
      <c r="G552">
        <f t="shared" si="134"/>
        <v>11.778739657091265</v>
      </c>
      <c r="H552">
        <f t="shared" si="135"/>
        <v>4.3009056770068641</v>
      </c>
      <c r="I552" s="6">
        <f t="shared" si="136"/>
        <v>0.57515394009300014</v>
      </c>
    </row>
    <row r="553" spans="1:10" x14ac:dyDescent="0.25">
      <c r="A553" s="11" t="s">
        <v>68</v>
      </c>
      <c r="B553">
        <v>2008</v>
      </c>
      <c r="C553">
        <f>8.6453*2.20462</f>
        <v>19.059601285999999</v>
      </c>
      <c r="D553">
        <f t="shared" si="132"/>
        <v>4.0792083860000012</v>
      </c>
      <c r="E553" s="6">
        <f t="shared" si="133"/>
        <v>0.27230316409124367</v>
      </c>
      <c r="F553">
        <v>1.3206680584551149</v>
      </c>
      <c r="G553">
        <f t="shared" si="134"/>
        <v>14.431787884909895</v>
      </c>
      <c r="H553">
        <f t="shared" si="135"/>
        <v>2.6530482278186298</v>
      </c>
      <c r="I553" s="6">
        <f t="shared" si="136"/>
        <v>0.22524041663671457</v>
      </c>
    </row>
    <row r="554" spans="1:10" x14ac:dyDescent="0.25">
      <c r="A554" s="11" t="s">
        <v>68</v>
      </c>
      <c r="B554">
        <v>2009</v>
      </c>
      <c r="C554">
        <f>6.4162*2.20462</f>
        <v>14.145282843999999</v>
      </c>
      <c r="D554">
        <f t="shared" si="132"/>
        <v>-4.9143184420000008</v>
      </c>
      <c r="E554" s="6">
        <f t="shared" si="133"/>
        <v>-0.25783951973904906</v>
      </c>
      <c r="F554">
        <v>1.3160751565762003</v>
      </c>
      <c r="G554">
        <f t="shared" si="134"/>
        <v>10.748081348788071</v>
      </c>
      <c r="H554">
        <f t="shared" si="135"/>
        <v>-3.6837065361218233</v>
      </c>
      <c r="I554" s="6">
        <f t="shared" si="136"/>
        <v>-0.25524949268230068</v>
      </c>
    </row>
    <row r="555" spans="1:10" x14ac:dyDescent="0.25">
      <c r="A555" s="11" t="s">
        <v>68</v>
      </c>
      <c r="B555">
        <v>2010</v>
      </c>
      <c r="C555">
        <f>9.5413*2.20462</f>
        <v>21.034940805999998</v>
      </c>
      <c r="D555">
        <f t="shared" si="132"/>
        <v>6.8896579619999994</v>
      </c>
      <c r="E555" s="6">
        <f t="shared" si="133"/>
        <v>0.48706399426451785</v>
      </c>
      <c r="F555">
        <v>1.3377870563674321</v>
      </c>
      <c r="G555">
        <f t="shared" si="134"/>
        <v>15.723683904609862</v>
      </c>
      <c r="H555">
        <f t="shared" si="135"/>
        <v>4.9756025558217907</v>
      </c>
      <c r="I555" s="6">
        <f t="shared" si="136"/>
        <v>0.46292937263475653</v>
      </c>
    </row>
    <row r="556" spans="1:10" x14ac:dyDescent="0.25">
      <c r="A556" s="11" t="s">
        <v>68</v>
      </c>
      <c r="B556">
        <v>2011</v>
      </c>
      <c r="C556">
        <f>12.159*2.20462</f>
        <v>26.805974580000001</v>
      </c>
      <c r="D556">
        <f t="shared" si="132"/>
        <v>5.7710337740000028</v>
      </c>
      <c r="E556" s="6">
        <f t="shared" si="133"/>
        <v>0.27435464768951845</v>
      </c>
      <c r="F556">
        <v>1.3799582463465554</v>
      </c>
      <c r="G556">
        <f t="shared" si="134"/>
        <v>19.425206995189107</v>
      </c>
      <c r="H556">
        <f t="shared" si="135"/>
        <v>3.7015230905792453</v>
      </c>
      <c r="I556" s="6">
        <f t="shared" si="136"/>
        <v>0.23541067812321215</v>
      </c>
    </row>
    <row r="557" spans="1:10" x14ac:dyDescent="0.25">
      <c r="A557" s="11" t="s">
        <v>68</v>
      </c>
      <c r="B557">
        <v>2012</v>
      </c>
      <c r="C557">
        <f>9.896*2.20462</f>
        <v>21.816919519999999</v>
      </c>
      <c r="D557">
        <f t="shared" si="132"/>
        <v>-4.9890550600000019</v>
      </c>
      <c r="E557" s="6">
        <f t="shared" si="133"/>
        <v>-0.18611727938152811</v>
      </c>
      <c r="F557">
        <v>1.4091858037578289</v>
      </c>
      <c r="G557">
        <f t="shared" si="134"/>
        <v>15.481932518637036</v>
      </c>
      <c r="H557">
        <f t="shared" si="135"/>
        <v>-3.9432744765520713</v>
      </c>
      <c r="I557" s="6">
        <f t="shared" si="136"/>
        <v>-0.20299780988324456</v>
      </c>
    </row>
    <row r="558" spans="1:10" x14ac:dyDescent="0.25">
      <c r="A558" s="11" t="s">
        <v>68</v>
      </c>
      <c r="B558">
        <v>2013</v>
      </c>
      <c r="C558">
        <f>10.4143*2.20462</f>
        <v>22.959574065999998</v>
      </c>
      <c r="D558">
        <f t="shared" si="132"/>
        <v>1.1426545459999993</v>
      </c>
      <c r="E558" s="6">
        <f t="shared" si="133"/>
        <v>5.2374696847210966E-2</v>
      </c>
      <c r="F558">
        <v>1.4300626304801669</v>
      </c>
      <c r="G558">
        <f t="shared" si="134"/>
        <v>16.054943033013139</v>
      </c>
      <c r="H558">
        <f t="shared" si="135"/>
        <v>0.57301051437610262</v>
      </c>
      <c r="I558" s="6">
        <f t="shared" si="136"/>
        <v>3.7011562586667823E-2</v>
      </c>
    </row>
    <row r="559" spans="1:10" x14ac:dyDescent="0.25">
      <c r="A559" s="11" t="s">
        <v>68</v>
      </c>
      <c r="B559">
        <v>2014</v>
      </c>
      <c r="C559">
        <f>10.2305*2.20462</f>
        <v>22.554364909999997</v>
      </c>
      <c r="D559">
        <f t="shared" si="132"/>
        <v>-0.40520915600000151</v>
      </c>
      <c r="E559" s="6">
        <f t="shared" si="133"/>
        <v>-1.7648809809588828E-2</v>
      </c>
      <c r="F559">
        <v>1.4542797494780795</v>
      </c>
      <c r="G559">
        <f t="shared" si="134"/>
        <v>15.508958931797297</v>
      </c>
      <c r="H559">
        <f t="shared" si="135"/>
        <v>-0.54598410121584173</v>
      </c>
      <c r="I559" s="6">
        <f t="shared" si="136"/>
        <v>-3.4007227561826725E-2</v>
      </c>
    </row>
    <row r="560" spans="1:10" x14ac:dyDescent="0.25">
      <c r="A560" s="12" t="s">
        <v>68</v>
      </c>
      <c r="B560" s="7">
        <v>2015</v>
      </c>
      <c r="C560" s="7">
        <f>7.5643*2.20462</f>
        <v>16.676407065999999</v>
      </c>
      <c r="D560" s="7">
        <f>C560-C559</f>
        <v>-5.8779578439999973</v>
      </c>
      <c r="E560" s="8">
        <f t="shared" si="133"/>
        <v>-0.26061287327110105</v>
      </c>
      <c r="F560" s="7">
        <v>1.4567849686847598</v>
      </c>
      <c r="G560" s="7">
        <f>C560/F560</f>
        <v>11.447404678437948</v>
      </c>
      <c r="H560" s="7">
        <f t="shared" si="135"/>
        <v>-4.0615542533593487</v>
      </c>
      <c r="I560" s="8">
        <f t="shared" si="136"/>
        <v>-0.26188439025601729</v>
      </c>
    </row>
    <row r="561" spans="1:10" x14ac:dyDescent="0.25">
      <c r="A561" s="11" t="s">
        <v>70</v>
      </c>
      <c r="B561">
        <v>1998</v>
      </c>
      <c r="C561">
        <f>0.718*2.20462</f>
        <v>1.5829171599999998</v>
      </c>
      <c r="D561" t="s">
        <v>2</v>
      </c>
      <c r="E561" s="6" t="s">
        <v>2</v>
      </c>
      <c r="F561">
        <v>1</v>
      </c>
      <c r="G561">
        <f>C561</f>
        <v>1.5829171599999998</v>
      </c>
      <c r="H561" t="s">
        <v>2</v>
      </c>
      <c r="I561" s="6" t="s">
        <v>2</v>
      </c>
      <c r="J561" t="s">
        <v>71</v>
      </c>
    </row>
    <row r="562" spans="1:10" x14ac:dyDescent="0.25">
      <c r="A562" s="11" t="s">
        <v>70</v>
      </c>
      <c r="B562">
        <v>1999</v>
      </c>
      <c r="C562">
        <f>0.627*2.20462</f>
        <v>1.3822967399999999</v>
      </c>
      <c r="D562">
        <f t="shared" ref="D562:D577" si="137">C562-C561</f>
        <v>-0.20062041999999991</v>
      </c>
      <c r="E562" s="6">
        <f>C562/C561-1</f>
        <v>-0.12674094707520889</v>
      </c>
      <c r="F562">
        <v>1.021294363256785</v>
      </c>
      <c r="G562">
        <f>C562/F562</f>
        <v>1.3534753443581355</v>
      </c>
      <c r="H562">
        <f>G562-G561</f>
        <v>-0.22944181564186428</v>
      </c>
      <c r="I562" s="6">
        <f>G562/G561-1</f>
        <v>-0.14494871964232436</v>
      </c>
    </row>
    <row r="563" spans="1:10" x14ac:dyDescent="0.25">
      <c r="A563" s="11" t="s">
        <v>70</v>
      </c>
      <c r="B563">
        <v>2000</v>
      </c>
      <c r="C563">
        <f>0.655*2.20462</f>
        <v>1.4440260999999999</v>
      </c>
      <c r="D563">
        <f t="shared" si="137"/>
        <v>6.1729359999999955E-2</v>
      </c>
      <c r="E563" s="6">
        <f t="shared" ref="E563:E578" si="138">C563/C562-1</f>
        <v>4.4657097288676173E-2</v>
      </c>
      <c r="F563">
        <v>1.0559498956158664</v>
      </c>
      <c r="G563">
        <f t="shared" ref="G563:G577" si="139">C563/F563</f>
        <v>1.3675138432186633</v>
      </c>
      <c r="H563">
        <f t="shared" ref="H563:H578" si="140">G563-G562</f>
        <v>1.4038498860527771E-2</v>
      </c>
      <c r="I563" s="6">
        <f t="shared" ref="I563:I578" si="141">G563/G562-1</f>
        <v>1.0372186622420676E-2</v>
      </c>
      <c r="J563" t="s">
        <v>13</v>
      </c>
    </row>
    <row r="564" spans="1:10" x14ac:dyDescent="0.25">
      <c r="A564" s="11" t="s">
        <v>70</v>
      </c>
      <c r="B564">
        <v>2001</v>
      </c>
      <c r="C564">
        <f>0.647*2.20462</f>
        <v>1.4263891399999999</v>
      </c>
      <c r="D564">
        <f t="shared" si="137"/>
        <v>-1.7636959999999924E-2</v>
      </c>
      <c r="E564" s="6">
        <f t="shared" si="138"/>
        <v>-1.2213740458015265E-2</v>
      </c>
      <c r="F564">
        <v>1.0860125260960336</v>
      </c>
      <c r="G564">
        <f t="shared" si="139"/>
        <v>1.3134186813917721</v>
      </c>
      <c r="H564">
        <f t="shared" si="140"/>
        <v>-5.4095161826891225E-2</v>
      </c>
      <c r="I564" s="6">
        <f t="shared" si="141"/>
        <v>-3.955730473599417E-2</v>
      </c>
    </row>
    <row r="565" spans="1:10" x14ac:dyDescent="0.25">
      <c r="A565" s="11" t="s">
        <v>70</v>
      </c>
      <c r="B565">
        <v>2002</v>
      </c>
      <c r="C565">
        <f>0.884*2.20462</f>
        <v>1.9488840799999998</v>
      </c>
      <c r="D565">
        <f t="shared" si="137"/>
        <v>0.52249493999999985</v>
      </c>
      <c r="E565" s="6">
        <f t="shared" si="138"/>
        <v>0.36630602782071087</v>
      </c>
      <c r="F565">
        <v>1.1031315240083506</v>
      </c>
      <c r="G565">
        <f t="shared" si="139"/>
        <v>1.7666833352006057</v>
      </c>
      <c r="H565">
        <f t="shared" si="140"/>
        <v>0.45326465380883363</v>
      </c>
      <c r="I565" s="6">
        <f t="shared" si="141"/>
        <v>0.34510294411872455</v>
      </c>
      <c r="J565" t="s">
        <v>43</v>
      </c>
    </row>
    <row r="566" spans="1:10" x14ac:dyDescent="0.25">
      <c r="A566" s="11" t="s">
        <v>70</v>
      </c>
      <c r="B566">
        <v>2003</v>
      </c>
      <c r="C566">
        <f>1.075*2.20462</f>
        <v>2.3699664999999999</v>
      </c>
      <c r="D566">
        <f t="shared" si="137"/>
        <v>0.42108242000000007</v>
      </c>
      <c r="E566" s="6">
        <f t="shared" si="138"/>
        <v>0.21606334841628971</v>
      </c>
      <c r="F566">
        <v>1.1281837160751564</v>
      </c>
      <c r="G566">
        <f t="shared" si="139"/>
        <v>2.1006919938934123</v>
      </c>
      <c r="H566">
        <f t="shared" si="140"/>
        <v>0.3340086586928066</v>
      </c>
      <c r="I566" s="6">
        <f t="shared" si="141"/>
        <v>0.18905972113835556</v>
      </c>
    </row>
    <row r="567" spans="1:10" x14ac:dyDescent="0.25">
      <c r="A567" s="11" t="s">
        <v>70</v>
      </c>
      <c r="B567">
        <v>2004</v>
      </c>
      <c r="C567">
        <f>1.303*2.20462</f>
        <v>2.8726198599999995</v>
      </c>
      <c r="D567">
        <f t="shared" si="137"/>
        <v>0.5026533599999996</v>
      </c>
      <c r="E567" s="6">
        <f t="shared" si="138"/>
        <v>0.21209302325581381</v>
      </c>
      <c r="F567">
        <v>1.1586638830897704</v>
      </c>
      <c r="G567">
        <f t="shared" si="139"/>
        <v>2.4792520953873867</v>
      </c>
      <c r="H567">
        <f t="shared" si="140"/>
        <v>0.37856010149397434</v>
      </c>
      <c r="I567" s="6">
        <f t="shared" si="141"/>
        <v>0.18020733291430924</v>
      </c>
    </row>
    <row r="568" spans="1:10" x14ac:dyDescent="0.25">
      <c r="A568" s="11" t="s">
        <v>70</v>
      </c>
      <c r="B568">
        <v>2005</v>
      </c>
      <c r="C568">
        <f>1.605*2.20462</f>
        <v>3.5384150999999995</v>
      </c>
      <c r="D568">
        <f t="shared" si="137"/>
        <v>0.66579524000000001</v>
      </c>
      <c r="E568" s="6">
        <f t="shared" si="138"/>
        <v>0.23177283192632392</v>
      </c>
      <c r="F568">
        <v>1.1979123173277662</v>
      </c>
      <c r="G568">
        <f t="shared" si="139"/>
        <v>2.9538181124085043</v>
      </c>
      <c r="H568">
        <f t="shared" si="140"/>
        <v>0.47456601702111767</v>
      </c>
      <c r="I568" s="6">
        <f t="shared" si="141"/>
        <v>0.19141499079663626</v>
      </c>
    </row>
    <row r="569" spans="1:10" x14ac:dyDescent="0.25">
      <c r="A569" s="11" t="s">
        <v>70</v>
      </c>
      <c r="B569">
        <v>2006</v>
      </c>
      <c r="C569">
        <f>2.38*2.20462</f>
        <v>5.2469955999999991</v>
      </c>
      <c r="D569">
        <f t="shared" si="137"/>
        <v>1.7085804999999996</v>
      </c>
      <c r="E569" s="6">
        <f t="shared" si="138"/>
        <v>0.48286604361370711</v>
      </c>
      <c r="F569">
        <v>1.2367432150313151</v>
      </c>
      <c r="G569">
        <f t="shared" si="139"/>
        <v>4.2425909729912217</v>
      </c>
      <c r="H569">
        <f t="shared" si="140"/>
        <v>1.2887728605827173</v>
      </c>
      <c r="I569" s="6">
        <f t="shared" si="141"/>
        <v>0.43630745412819927</v>
      </c>
    </row>
    <row r="570" spans="1:10" x14ac:dyDescent="0.25">
      <c r="A570" s="11" t="s">
        <v>70</v>
      </c>
      <c r="B570">
        <v>2007</v>
      </c>
      <c r="C570">
        <f>2.573*2.20462</f>
        <v>5.6724872599999996</v>
      </c>
      <c r="D570">
        <f t="shared" si="137"/>
        <v>0.42549166000000049</v>
      </c>
      <c r="E570" s="6">
        <f t="shared" si="138"/>
        <v>8.1092436974790072E-2</v>
      </c>
      <c r="F570">
        <v>1.2718162839248435</v>
      </c>
      <c r="G570">
        <f t="shared" si="139"/>
        <v>4.4601467457977675</v>
      </c>
      <c r="H570">
        <f t="shared" si="140"/>
        <v>0.21755577280654581</v>
      </c>
      <c r="I570" s="6">
        <f t="shared" si="141"/>
        <v>5.1278988286056482E-2</v>
      </c>
    </row>
    <row r="571" spans="1:10" x14ac:dyDescent="0.25">
      <c r="A571" s="11" t="s">
        <v>70</v>
      </c>
      <c r="B571">
        <v>2008</v>
      </c>
      <c r="C571">
        <f>2.795*2.20462</f>
        <v>6.161912899999999</v>
      </c>
      <c r="D571">
        <f t="shared" si="137"/>
        <v>0.48942563999999944</v>
      </c>
      <c r="E571" s="6">
        <f t="shared" si="138"/>
        <v>8.6280606296152307E-2</v>
      </c>
      <c r="F571">
        <v>1.3206680584551149</v>
      </c>
      <c r="G571">
        <f t="shared" si="139"/>
        <v>4.6657544721783104</v>
      </c>
      <c r="H571">
        <f t="shared" si="140"/>
        <v>0.20560772638054292</v>
      </c>
      <c r="I571" s="6">
        <f t="shared" si="141"/>
        <v>4.6098870306063633E-2</v>
      </c>
    </row>
    <row r="572" spans="1:10" x14ac:dyDescent="0.25">
      <c r="A572" s="11" t="s">
        <v>70</v>
      </c>
      <c r="B572">
        <v>2009</v>
      </c>
      <c r="C572">
        <f>2.356*2.20462</f>
        <v>5.1940847199999993</v>
      </c>
      <c r="D572">
        <f t="shared" si="137"/>
        <v>-0.9678281799999997</v>
      </c>
      <c r="E572" s="6">
        <f t="shared" si="138"/>
        <v>-0.15706618962432917</v>
      </c>
      <c r="F572">
        <v>1.3160751565762003</v>
      </c>
      <c r="G572">
        <f t="shared" si="139"/>
        <v>3.9466474950507613</v>
      </c>
      <c r="H572">
        <f t="shared" si="140"/>
        <v>-0.71910697712754912</v>
      </c>
      <c r="I572" s="6">
        <f t="shared" si="141"/>
        <v>-0.1541244789916727</v>
      </c>
    </row>
    <row r="573" spans="1:10" x14ac:dyDescent="0.25">
      <c r="A573" s="11" t="s">
        <v>70</v>
      </c>
      <c r="B573">
        <v>2010</v>
      </c>
      <c r="C573">
        <f>4.012*2.20462</f>
        <v>8.8449354399999986</v>
      </c>
      <c r="D573">
        <f t="shared" si="137"/>
        <v>3.6508507199999993</v>
      </c>
      <c r="E573" s="6">
        <f t="shared" si="138"/>
        <v>0.70288624787775889</v>
      </c>
      <c r="F573">
        <v>1.3377870563674321</v>
      </c>
      <c r="G573">
        <f t="shared" si="139"/>
        <v>6.6116168473158545</v>
      </c>
      <c r="H573">
        <f t="shared" si="140"/>
        <v>2.6649693522650932</v>
      </c>
      <c r="I573" s="6">
        <f t="shared" si="141"/>
        <v>0.67524889304328828</v>
      </c>
    </row>
    <row r="574" spans="1:10" x14ac:dyDescent="0.25">
      <c r="A574" s="11" t="s">
        <v>70</v>
      </c>
      <c r="B574">
        <v>2011</v>
      </c>
      <c r="C574">
        <f>6.503*2.20462</f>
        <v>14.336643859999999</v>
      </c>
      <c r="D574">
        <f t="shared" si="137"/>
        <v>5.4917084200000001</v>
      </c>
      <c r="E574" s="6">
        <f t="shared" si="138"/>
        <v>0.62088733798604201</v>
      </c>
      <c r="F574">
        <v>1.3799582463465554</v>
      </c>
      <c r="G574">
        <f t="shared" si="139"/>
        <v>10.389186700363085</v>
      </c>
      <c r="H574">
        <f t="shared" si="140"/>
        <v>3.7775698530472308</v>
      </c>
      <c r="I574" s="6">
        <f t="shared" si="141"/>
        <v>0.5713534132851068</v>
      </c>
    </row>
    <row r="575" spans="1:10" x14ac:dyDescent="0.25">
      <c r="A575" s="11" t="s">
        <v>70</v>
      </c>
      <c r="B575">
        <v>2012</v>
      </c>
      <c r="C575">
        <f>5.645*2.20462</f>
        <v>12.445079899999998</v>
      </c>
      <c r="D575">
        <f t="shared" si="137"/>
        <v>-1.8915639600000009</v>
      </c>
      <c r="E575" s="6">
        <f t="shared" si="138"/>
        <v>-0.13193910502844852</v>
      </c>
      <c r="F575">
        <v>1.4091858037578289</v>
      </c>
      <c r="G575">
        <f t="shared" si="139"/>
        <v>8.8313974401481463</v>
      </c>
      <c r="H575">
        <f t="shared" si="140"/>
        <v>-1.557789260214939</v>
      </c>
      <c r="I575" s="6">
        <f t="shared" si="141"/>
        <v>-0.14994333099822887</v>
      </c>
    </row>
    <row r="576" spans="1:10" x14ac:dyDescent="0.25">
      <c r="A576" s="11" t="s">
        <v>70</v>
      </c>
      <c r="B576">
        <v>2013</v>
      </c>
      <c r="C576">
        <f>4.626*2.20462</f>
        <v>10.19857212</v>
      </c>
      <c r="D576">
        <f t="shared" si="137"/>
        <v>-2.2465077799999982</v>
      </c>
      <c r="E576" s="6">
        <f t="shared" si="138"/>
        <v>-0.18051372896368456</v>
      </c>
      <c r="F576">
        <v>1.4300626304801669</v>
      </c>
      <c r="G576">
        <f t="shared" si="139"/>
        <v>7.1315562707737232</v>
      </c>
      <c r="H576">
        <f t="shared" si="140"/>
        <v>-1.6998411693744231</v>
      </c>
      <c r="I576" s="6">
        <f t="shared" si="141"/>
        <v>-0.19247703219049195</v>
      </c>
    </row>
    <row r="577" spans="1:10" x14ac:dyDescent="0.25">
      <c r="A577" s="11" t="s">
        <v>70</v>
      </c>
      <c r="B577">
        <v>2014</v>
      </c>
      <c r="C577">
        <f>4.248*2.20462</f>
        <v>9.3652257599999995</v>
      </c>
      <c r="D577">
        <f t="shared" si="137"/>
        <v>-0.83334636000000017</v>
      </c>
      <c r="E577" s="6">
        <f t="shared" si="138"/>
        <v>-8.1712062256809381E-2</v>
      </c>
      <c r="F577">
        <v>1.4542797494780795</v>
      </c>
      <c r="G577">
        <f t="shared" si="139"/>
        <v>6.4397690770025831</v>
      </c>
      <c r="H577">
        <f t="shared" si="140"/>
        <v>-0.69178719377114017</v>
      </c>
      <c r="I577" s="6">
        <f t="shared" si="141"/>
        <v>-9.7003678791149239E-2</v>
      </c>
    </row>
    <row r="578" spans="1:10" x14ac:dyDescent="0.25">
      <c r="A578" s="12" t="s">
        <v>70</v>
      </c>
      <c r="B578" s="7">
        <v>2015</v>
      </c>
      <c r="C578" s="7">
        <f>3.265*2.20462</f>
        <v>7.1980842999999997</v>
      </c>
      <c r="D578" s="7">
        <f>C578-C577</f>
        <v>-2.1671414599999999</v>
      </c>
      <c r="E578" s="8">
        <f t="shared" si="138"/>
        <v>-0.2314030131826742</v>
      </c>
      <c r="F578" s="7">
        <v>1.4567849686847598</v>
      </c>
      <c r="G578" s="7">
        <f>C578/F578</f>
        <v>4.9410753506735459</v>
      </c>
      <c r="H578" s="7">
        <f t="shared" si="140"/>
        <v>-1.4986937263290372</v>
      </c>
      <c r="I578" s="8">
        <f t="shared" si="141"/>
        <v>-0.23272476208519732</v>
      </c>
    </row>
    <row r="579" spans="1:10" x14ac:dyDescent="0.25">
      <c r="A579" s="11" t="s">
        <v>73</v>
      </c>
      <c r="B579">
        <v>1998</v>
      </c>
      <c r="C579">
        <f>18.5*2.20462</f>
        <v>40.785469999999997</v>
      </c>
      <c r="D579" t="s">
        <v>2</v>
      </c>
      <c r="E579" s="6" t="s">
        <v>2</v>
      </c>
      <c r="F579">
        <v>1</v>
      </c>
      <c r="G579">
        <f>C579</f>
        <v>40.785469999999997</v>
      </c>
      <c r="H579" t="s">
        <v>2</v>
      </c>
      <c r="I579" s="6" t="s">
        <v>2</v>
      </c>
      <c r="J579" t="s">
        <v>72</v>
      </c>
    </row>
    <row r="580" spans="1:10" x14ac:dyDescent="0.25">
      <c r="A580" s="11" t="s">
        <v>73</v>
      </c>
      <c r="B580">
        <v>1999</v>
      </c>
      <c r="C580">
        <f>16.5*2.20462</f>
        <v>36.37623</v>
      </c>
      <c r="D580">
        <f t="shared" ref="D580:D595" si="142">C580-C579</f>
        <v>-4.4092399999999969</v>
      </c>
      <c r="E580" s="6">
        <f>C580/C579-1</f>
        <v>-0.108108108108108</v>
      </c>
      <c r="F580">
        <v>1.021294363256785</v>
      </c>
      <c r="G580">
        <f>C580/F580</f>
        <v>35.617772219950936</v>
      </c>
      <c r="H580">
        <f>G580-G579</f>
        <v>-5.1676977800490604</v>
      </c>
      <c r="I580" s="6">
        <f>G580/G579-1</f>
        <v>-0.12670438222359726</v>
      </c>
    </row>
    <row r="581" spans="1:10" x14ac:dyDescent="0.25">
      <c r="A581" s="11" t="s">
        <v>73</v>
      </c>
      <c r="B581">
        <v>2000</v>
      </c>
      <c r="C581">
        <f>14.5*2.20462</f>
        <v>31.966989999999996</v>
      </c>
      <c r="D581">
        <f t="shared" si="142"/>
        <v>-4.409240000000004</v>
      </c>
      <c r="E581" s="6">
        <f t="shared" ref="E581:E596" si="143">C581/C580-1</f>
        <v>-0.12121212121212133</v>
      </c>
      <c r="F581">
        <v>1.0559498956158664</v>
      </c>
      <c r="G581">
        <f t="shared" ref="G581:G595" si="144">C581/F581</f>
        <v>30.27320721629102</v>
      </c>
      <c r="H581">
        <f t="shared" ref="H581:H596" si="145">G581-G580</f>
        <v>-5.3445650036599162</v>
      </c>
      <c r="I581" s="6">
        <f t="shared" ref="I581:I596" si="146">G581/G580-1</f>
        <v>-0.15005332087182621</v>
      </c>
      <c r="J581" t="s">
        <v>13</v>
      </c>
    </row>
    <row r="582" spans="1:10" x14ac:dyDescent="0.25">
      <c r="A582" s="11" t="s">
        <v>73</v>
      </c>
      <c r="B582">
        <v>2001</v>
      </c>
      <c r="C582">
        <f>15*2.20462</f>
        <v>33.069299999999998</v>
      </c>
      <c r="D582">
        <f t="shared" si="142"/>
        <v>1.1023100000000028</v>
      </c>
      <c r="E582" s="6">
        <f t="shared" si="143"/>
        <v>3.4482758620689724E-2</v>
      </c>
      <c r="F582">
        <v>1.0860125260960336</v>
      </c>
      <c r="G582">
        <f t="shared" si="144"/>
        <v>30.450201268742784</v>
      </c>
      <c r="H582">
        <f t="shared" si="145"/>
        <v>0.17699405245176436</v>
      </c>
      <c r="I582" s="6">
        <f t="shared" si="146"/>
        <v>5.8465576900130767E-3</v>
      </c>
    </row>
    <row r="583" spans="1:10" x14ac:dyDescent="0.25">
      <c r="A583" s="11" t="s">
        <v>73</v>
      </c>
      <c r="B583">
        <v>2002</v>
      </c>
      <c r="C583">
        <f>7*2.20462</f>
        <v>15.432339999999998</v>
      </c>
      <c r="D583">
        <f t="shared" si="142"/>
        <v>-17.636960000000002</v>
      </c>
      <c r="E583" s="6">
        <f t="shared" si="143"/>
        <v>-0.53333333333333344</v>
      </c>
      <c r="F583">
        <v>1.1031315240083506</v>
      </c>
      <c r="G583">
        <f t="shared" si="144"/>
        <v>13.989573921271765</v>
      </c>
      <c r="H583">
        <f t="shared" si="145"/>
        <v>-16.460627347471018</v>
      </c>
      <c r="I583" s="6">
        <f t="shared" si="146"/>
        <v>-0.54057532172596501</v>
      </c>
      <c r="J583" t="s">
        <v>43</v>
      </c>
    </row>
    <row r="584" spans="1:10" x14ac:dyDescent="0.25">
      <c r="A584" s="11" t="s">
        <v>73</v>
      </c>
      <c r="B584">
        <v>2003</v>
      </c>
      <c r="C584">
        <f>9*2.20462</f>
        <v>19.841579999999997</v>
      </c>
      <c r="D584">
        <f t="shared" si="142"/>
        <v>4.4092399999999987</v>
      </c>
      <c r="E584" s="6">
        <f t="shared" si="143"/>
        <v>0.28571428571428559</v>
      </c>
      <c r="F584">
        <v>1.1281837160751564</v>
      </c>
      <c r="G584">
        <f t="shared" si="144"/>
        <v>17.587188786084383</v>
      </c>
      <c r="H584">
        <f t="shared" si="145"/>
        <v>3.5976148648126181</v>
      </c>
      <c r="I584" s="6">
        <f t="shared" si="146"/>
        <v>0.25716400549857243</v>
      </c>
    </row>
    <row r="585" spans="1:10" x14ac:dyDescent="0.25">
      <c r="A585" s="11" t="s">
        <v>73</v>
      </c>
      <c r="B585">
        <v>2004</v>
      </c>
      <c r="C585">
        <f>16.25*2.20462</f>
        <v>35.825074999999998</v>
      </c>
      <c r="D585">
        <f t="shared" si="142"/>
        <v>15.983495000000001</v>
      </c>
      <c r="E585" s="6">
        <f t="shared" si="143"/>
        <v>0.8055555555555558</v>
      </c>
      <c r="F585">
        <v>1.1586638830897704</v>
      </c>
      <c r="G585">
        <f t="shared" si="144"/>
        <v>30.919298963963961</v>
      </c>
      <c r="H585">
        <f t="shared" si="145"/>
        <v>13.332110177879578</v>
      </c>
      <c r="I585" s="6">
        <f t="shared" si="146"/>
        <v>0.75805805805805782</v>
      </c>
    </row>
    <row r="586" spans="1:10" x14ac:dyDescent="0.25">
      <c r="A586" s="11" t="s">
        <v>73</v>
      </c>
      <c r="B586">
        <v>2005</v>
      </c>
      <c r="C586">
        <f>100*2.20462</f>
        <v>220.46199999999999</v>
      </c>
      <c r="D586">
        <f t="shared" si="142"/>
        <v>184.63692499999999</v>
      </c>
      <c r="E586" s="6">
        <f t="shared" si="143"/>
        <v>5.1538461538461542</v>
      </c>
      <c r="F586">
        <v>1.1979123173277662</v>
      </c>
      <c r="G586">
        <f t="shared" si="144"/>
        <v>184.03851167654236</v>
      </c>
      <c r="H586">
        <f t="shared" si="145"/>
        <v>153.11921271257839</v>
      </c>
      <c r="I586" s="6">
        <f t="shared" si="146"/>
        <v>4.9522213582861898</v>
      </c>
    </row>
    <row r="587" spans="1:10" x14ac:dyDescent="0.25">
      <c r="A587" s="11" t="s">
        <v>73</v>
      </c>
      <c r="B587">
        <v>2006</v>
      </c>
      <c r="C587">
        <f>102.5*2.20462</f>
        <v>225.97354999999999</v>
      </c>
      <c r="D587">
        <f t="shared" si="142"/>
        <v>5.5115499999999997</v>
      </c>
      <c r="E587" s="6">
        <f t="shared" si="143"/>
        <v>2.4999999999999911E-2</v>
      </c>
      <c r="F587">
        <v>1.2367432150313151</v>
      </c>
      <c r="G587">
        <f t="shared" si="144"/>
        <v>182.71662803848753</v>
      </c>
      <c r="H587">
        <f t="shared" si="145"/>
        <v>-1.3218836380548282</v>
      </c>
      <c r="I587" s="6">
        <f t="shared" si="146"/>
        <v>-7.1826468602295135E-3</v>
      </c>
    </row>
    <row r="588" spans="1:10" x14ac:dyDescent="0.25">
      <c r="A588" s="11" t="s">
        <v>73</v>
      </c>
      <c r="B588">
        <v>2007</v>
      </c>
      <c r="C588">
        <f>85*2.20462</f>
        <v>187.39269999999999</v>
      </c>
      <c r="D588">
        <f t="shared" si="142"/>
        <v>-38.580849999999998</v>
      </c>
      <c r="E588" s="6">
        <f t="shared" si="143"/>
        <v>-0.17073170731707321</v>
      </c>
      <c r="F588">
        <v>1.2718162839248435</v>
      </c>
      <c r="G588">
        <f t="shared" si="144"/>
        <v>147.34258585029545</v>
      </c>
      <c r="H588">
        <f t="shared" si="145"/>
        <v>-35.374042188192078</v>
      </c>
      <c r="I588" s="6">
        <f t="shared" si="146"/>
        <v>-0.1936005637141075</v>
      </c>
    </row>
    <row r="589" spans="1:10" x14ac:dyDescent="0.25">
      <c r="A589" s="11" t="s">
        <v>73</v>
      </c>
      <c r="B589">
        <v>2008</v>
      </c>
      <c r="C589">
        <f>162*2.20462</f>
        <v>357.14843999999999</v>
      </c>
      <c r="D589">
        <f t="shared" si="142"/>
        <v>169.75574</v>
      </c>
      <c r="E589" s="6">
        <f t="shared" si="143"/>
        <v>0.90588235294117658</v>
      </c>
      <c r="F589">
        <v>1.3206680584551149</v>
      </c>
      <c r="G589">
        <f t="shared" si="144"/>
        <v>270.43013398672144</v>
      </c>
      <c r="H589">
        <f t="shared" si="145"/>
        <v>123.08754813642599</v>
      </c>
      <c r="I589" s="6">
        <f t="shared" si="146"/>
        <v>0.83538338509605548</v>
      </c>
    </row>
    <row r="590" spans="1:10" x14ac:dyDescent="0.25">
      <c r="A590" s="11" t="s">
        <v>73</v>
      </c>
      <c r="B590">
        <v>2009</v>
      </c>
      <c r="C590">
        <f>150*2.20462</f>
        <v>330.69299999999998</v>
      </c>
      <c r="D590">
        <f t="shared" si="142"/>
        <v>-26.45544000000001</v>
      </c>
      <c r="E590" s="6">
        <f t="shared" si="143"/>
        <v>-7.407407407407407E-2</v>
      </c>
      <c r="F590">
        <v>1.3160751565762003</v>
      </c>
      <c r="G590">
        <f t="shared" si="144"/>
        <v>251.27212404822336</v>
      </c>
      <c r="H590">
        <f t="shared" si="145"/>
        <v>-19.158009938498083</v>
      </c>
      <c r="I590" s="6">
        <f t="shared" si="146"/>
        <v>-7.0842733596540586E-2</v>
      </c>
    </row>
    <row r="591" spans="1:10" x14ac:dyDescent="0.25">
      <c r="A591" s="11" t="s">
        <v>73</v>
      </c>
      <c r="B591">
        <v>2010</v>
      </c>
      <c r="C591">
        <f>221.25</f>
        <v>221.25</v>
      </c>
      <c r="D591">
        <f t="shared" si="142"/>
        <v>-109.44299999999998</v>
      </c>
      <c r="E591" s="6">
        <f t="shared" si="143"/>
        <v>-0.33095045858243144</v>
      </c>
      <c r="F591">
        <v>1.3377870563674321</v>
      </c>
      <c r="G591">
        <f t="shared" si="144"/>
        <v>165.38506554307116</v>
      </c>
      <c r="H591">
        <f t="shared" si="145"/>
        <v>-85.887058505152197</v>
      </c>
      <c r="I591" s="6">
        <f t="shared" si="146"/>
        <v>-0.3418089405280349</v>
      </c>
    </row>
    <row r="592" spans="1:10" x14ac:dyDescent="0.25">
      <c r="A592" s="11" t="s">
        <v>73</v>
      </c>
      <c r="B592">
        <v>2011</v>
      </c>
      <c r="C592">
        <f>349.35</f>
        <v>349.35</v>
      </c>
      <c r="D592">
        <f t="shared" si="142"/>
        <v>128.10000000000002</v>
      </c>
      <c r="E592" s="6">
        <f t="shared" si="143"/>
        <v>0.57898305084745783</v>
      </c>
      <c r="F592">
        <v>1.3799582463465554</v>
      </c>
      <c r="G592">
        <f t="shared" si="144"/>
        <v>253.15983358547655</v>
      </c>
      <c r="H592">
        <f t="shared" si="145"/>
        <v>87.774768042405384</v>
      </c>
      <c r="I592" s="6">
        <f t="shared" si="146"/>
        <v>0.53072971101823119</v>
      </c>
    </row>
    <row r="593" spans="1:10" x14ac:dyDescent="0.25">
      <c r="A593" s="11" t="s">
        <v>73</v>
      </c>
      <c r="B593">
        <v>2012</v>
      </c>
      <c r="C593">
        <f>150</f>
        <v>150</v>
      </c>
      <c r="D593">
        <f t="shared" si="142"/>
        <v>-199.35000000000002</v>
      </c>
      <c r="E593" s="6">
        <f t="shared" si="143"/>
        <v>-0.57063117217689996</v>
      </c>
      <c r="F593">
        <v>1.4091858037578289</v>
      </c>
      <c r="G593">
        <f t="shared" si="144"/>
        <v>106.44444444444444</v>
      </c>
      <c r="H593">
        <f t="shared" si="145"/>
        <v>-146.71538914103212</v>
      </c>
      <c r="I593" s="6">
        <f t="shared" si="146"/>
        <v>-0.57953659971693461</v>
      </c>
    </row>
    <row r="594" spans="1:10" x14ac:dyDescent="0.25">
      <c r="A594" s="11" t="s">
        <v>73</v>
      </c>
      <c r="B594">
        <v>2013</v>
      </c>
      <c r="C594">
        <f>112</f>
        <v>112</v>
      </c>
      <c r="D594">
        <f t="shared" si="142"/>
        <v>-38</v>
      </c>
      <c r="E594" s="6">
        <f t="shared" si="143"/>
        <v>-0.2533333333333333</v>
      </c>
      <c r="F594">
        <v>1.4300626304801669</v>
      </c>
      <c r="G594">
        <f t="shared" si="144"/>
        <v>78.318248175182489</v>
      </c>
      <c r="H594">
        <f t="shared" si="145"/>
        <v>-28.126196269261953</v>
      </c>
      <c r="I594" s="6">
        <f t="shared" si="146"/>
        <v>-0.26423357664233571</v>
      </c>
      <c r="J594" s="11"/>
    </row>
    <row r="595" spans="1:10" x14ac:dyDescent="0.25">
      <c r="A595" s="11" t="s">
        <v>73</v>
      </c>
      <c r="B595">
        <v>2014</v>
      </c>
      <c r="C595">
        <f>119</f>
        <v>119</v>
      </c>
      <c r="D595">
        <f t="shared" si="142"/>
        <v>7</v>
      </c>
      <c r="E595" s="6">
        <f t="shared" si="143"/>
        <v>6.25E-2</v>
      </c>
      <c r="F595">
        <v>1.4542797494780795</v>
      </c>
      <c r="G595">
        <f t="shared" si="144"/>
        <v>81.827447602641399</v>
      </c>
      <c r="H595">
        <f t="shared" si="145"/>
        <v>3.5091994274589098</v>
      </c>
      <c r="I595" s="6">
        <f t="shared" si="146"/>
        <v>4.4806919322422978E-2</v>
      </c>
    </row>
    <row r="596" spans="1:10" x14ac:dyDescent="0.25">
      <c r="A596" s="12" t="s">
        <v>73</v>
      </c>
      <c r="B596" s="7">
        <v>2015</v>
      </c>
      <c r="C596" s="7">
        <f>77</f>
        <v>77</v>
      </c>
      <c r="D596" s="7">
        <f>C596-C595</f>
        <v>-42</v>
      </c>
      <c r="E596" s="8">
        <f t="shared" si="143"/>
        <v>-0.3529411764705882</v>
      </c>
      <c r="F596" s="7">
        <v>1.4567849686847598</v>
      </c>
      <c r="G596" s="7">
        <f>C596/F596</f>
        <v>52.856119231871602</v>
      </c>
      <c r="H596" s="7">
        <f t="shared" si="145"/>
        <v>-28.971328370769797</v>
      </c>
      <c r="I596" s="8">
        <f t="shared" si="146"/>
        <v>-0.35405391735369973</v>
      </c>
    </row>
    <row r="597" spans="1:10" x14ac:dyDescent="0.25">
      <c r="A597" s="11" t="s">
        <v>74</v>
      </c>
      <c r="B597">
        <v>1998</v>
      </c>
      <c r="C597">
        <v>16.54</v>
      </c>
      <c r="D597" t="s">
        <v>2</v>
      </c>
      <c r="E597" s="6" t="s">
        <v>2</v>
      </c>
      <c r="F597">
        <v>1</v>
      </c>
      <c r="G597">
        <f>C597</f>
        <v>16.54</v>
      </c>
      <c r="H597" t="s">
        <v>2</v>
      </c>
      <c r="I597" s="6" t="s">
        <v>2</v>
      </c>
      <c r="J597" t="s">
        <v>75</v>
      </c>
    </row>
    <row r="598" spans="1:10" x14ac:dyDescent="0.25">
      <c r="A598" s="11" t="s">
        <v>74</v>
      </c>
      <c r="B598">
        <v>1999</v>
      </c>
      <c r="C598">
        <v>16.149999999999999</v>
      </c>
      <c r="D598">
        <f t="shared" ref="D598:D613" si="147">C598-C597</f>
        <v>-0.39000000000000057</v>
      </c>
      <c r="E598" s="6">
        <f>C598/C597-1</f>
        <v>-2.3579201934703753E-2</v>
      </c>
      <c r="F598">
        <v>1.021294363256785</v>
      </c>
      <c r="G598">
        <f>C598/F598</f>
        <v>15.813266557645132</v>
      </c>
      <c r="H598">
        <f>G598-G597</f>
        <v>-0.72673344235486681</v>
      </c>
      <c r="I598" s="6">
        <f>G598/G597-1</f>
        <v>-4.3937934846122517E-2</v>
      </c>
    </row>
    <row r="599" spans="1:10" x14ac:dyDescent="0.25">
      <c r="A599" s="11" t="s">
        <v>74</v>
      </c>
      <c r="B599">
        <v>2000</v>
      </c>
      <c r="C599">
        <v>14.59</v>
      </c>
      <c r="D599">
        <f t="shared" si="147"/>
        <v>-1.5599999999999987</v>
      </c>
      <c r="E599" s="6">
        <f t="shared" ref="E599:E614" si="148">C599/C598-1</f>
        <v>-9.6594427244582004E-2</v>
      </c>
      <c r="F599">
        <v>1.0559498956158664</v>
      </c>
      <c r="G599">
        <f t="shared" ref="G599:G613" si="149">C599/F599</f>
        <v>13.816943455911428</v>
      </c>
      <c r="H599">
        <f t="shared" ref="H599:H614" si="150">G599-G598</f>
        <v>-1.9963231017337044</v>
      </c>
      <c r="I599" s="6">
        <f t="shared" ref="I599:I614" si="151">G599/G598-1</f>
        <v>-0.12624356229349432</v>
      </c>
      <c r="J599" t="s">
        <v>13</v>
      </c>
    </row>
    <row r="600" spans="1:10" x14ac:dyDescent="0.25">
      <c r="A600" s="11" t="s">
        <v>74</v>
      </c>
      <c r="B600">
        <v>2001</v>
      </c>
      <c r="C600">
        <v>13.94</v>
      </c>
      <c r="D600">
        <f t="shared" si="147"/>
        <v>-0.65000000000000036</v>
      </c>
      <c r="E600" s="6">
        <f t="shared" si="148"/>
        <v>-4.4551062371487316E-2</v>
      </c>
      <c r="F600">
        <v>1.0860125260960336</v>
      </c>
      <c r="G600">
        <f t="shared" si="149"/>
        <v>12.835947712418298</v>
      </c>
      <c r="H600">
        <f t="shared" si="150"/>
        <v>-0.98099574349313023</v>
      </c>
      <c r="I600" s="6">
        <f t="shared" si="151"/>
        <v>-7.0999475869854667E-2</v>
      </c>
    </row>
    <row r="601" spans="1:10" x14ac:dyDescent="0.25">
      <c r="A601" s="11" t="s">
        <v>74</v>
      </c>
      <c r="B601">
        <v>2002</v>
      </c>
      <c r="C601">
        <v>12.7</v>
      </c>
      <c r="D601">
        <f t="shared" si="147"/>
        <v>-1.2400000000000002</v>
      </c>
      <c r="E601" s="6">
        <f t="shared" si="148"/>
        <v>-8.895265423242471E-2</v>
      </c>
      <c r="F601">
        <v>1.1031315240083506</v>
      </c>
      <c r="G601">
        <f t="shared" si="149"/>
        <v>11.512679788039366</v>
      </c>
      <c r="H601">
        <f t="shared" si="150"/>
        <v>-1.323267924378932</v>
      </c>
      <c r="I601" s="6">
        <f t="shared" si="151"/>
        <v>-0.10309078488211043</v>
      </c>
      <c r="J601" t="s">
        <v>43</v>
      </c>
    </row>
    <row r="602" spans="1:10" x14ac:dyDescent="0.25">
      <c r="A602" s="11" t="s">
        <v>74</v>
      </c>
      <c r="B602">
        <v>2003</v>
      </c>
      <c r="C602">
        <v>12.7</v>
      </c>
      <c r="D602">
        <f t="shared" si="147"/>
        <v>0</v>
      </c>
      <c r="E602" s="6">
        <f t="shared" si="148"/>
        <v>0</v>
      </c>
      <c r="F602">
        <v>1.1281837160751564</v>
      </c>
      <c r="G602">
        <f t="shared" si="149"/>
        <v>11.257031828275352</v>
      </c>
      <c r="H602">
        <f t="shared" si="150"/>
        <v>-0.25564795976401378</v>
      </c>
      <c r="I602" s="6">
        <f t="shared" si="151"/>
        <v>-2.2205773501110415E-2</v>
      </c>
    </row>
    <row r="603" spans="1:10" x14ac:dyDescent="0.25">
      <c r="A603" s="11" t="s">
        <v>74</v>
      </c>
      <c r="B603">
        <v>2004</v>
      </c>
      <c r="C603">
        <v>13.38</v>
      </c>
      <c r="D603">
        <f t="shared" si="147"/>
        <v>0.68000000000000149</v>
      </c>
      <c r="E603" s="6">
        <f t="shared" si="148"/>
        <v>5.3543307086614256E-2</v>
      </c>
      <c r="F603">
        <v>1.1586638830897704</v>
      </c>
      <c r="G603">
        <f t="shared" si="149"/>
        <v>11.547783783783784</v>
      </c>
      <c r="H603">
        <f t="shared" si="150"/>
        <v>0.29075195550843169</v>
      </c>
      <c r="I603" s="6">
        <f t="shared" si="151"/>
        <v>2.5828474143434699E-2</v>
      </c>
    </row>
    <row r="604" spans="1:10" x14ac:dyDescent="0.25">
      <c r="A604" s="11" t="s">
        <v>74</v>
      </c>
      <c r="B604">
        <v>2005</v>
      </c>
      <c r="C604">
        <v>16.75</v>
      </c>
      <c r="D604">
        <f t="shared" si="147"/>
        <v>3.3699999999999992</v>
      </c>
      <c r="E604" s="6">
        <f t="shared" si="148"/>
        <v>0.25186846038863964</v>
      </c>
      <c r="F604">
        <v>1.1979123173277662</v>
      </c>
      <c r="G604">
        <f t="shared" si="149"/>
        <v>13.982659463227606</v>
      </c>
      <c r="H604">
        <f t="shared" si="150"/>
        <v>2.434875679443822</v>
      </c>
      <c r="I604" s="6">
        <f t="shared" si="151"/>
        <v>0.2108522054996429</v>
      </c>
    </row>
    <row r="605" spans="1:10" x14ac:dyDescent="0.25">
      <c r="A605" s="11" t="s">
        <v>74</v>
      </c>
      <c r="B605">
        <v>2006</v>
      </c>
      <c r="C605">
        <v>19.34</v>
      </c>
      <c r="D605">
        <f t="shared" si="147"/>
        <v>2.59</v>
      </c>
      <c r="E605" s="6">
        <f t="shared" si="148"/>
        <v>0.15462686567164186</v>
      </c>
      <c r="F605">
        <v>1.2367432150313151</v>
      </c>
      <c r="G605">
        <f t="shared" si="149"/>
        <v>15.637846049966241</v>
      </c>
      <c r="H605">
        <f t="shared" si="150"/>
        <v>1.6551865867386351</v>
      </c>
      <c r="I605" s="6">
        <f t="shared" si="151"/>
        <v>0.11837423281969639</v>
      </c>
    </row>
    <row r="606" spans="1:10" x14ac:dyDescent="0.25">
      <c r="A606" s="11" t="s">
        <v>74</v>
      </c>
      <c r="B606">
        <v>2007</v>
      </c>
      <c r="C606">
        <v>21.12</v>
      </c>
      <c r="D606">
        <f t="shared" si="147"/>
        <v>1.7800000000000011</v>
      </c>
      <c r="E606" s="6">
        <f t="shared" si="148"/>
        <v>9.2037228541882232E-2</v>
      </c>
      <c r="F606">
        <v>1.2718162839248435</v>
      </c>
      <c r="G606">
        <f t="shared" si="149"/>
        <v>16.606172028890349</v>
      </c>
      <c r="H606">
        <f t="shared" si="150"/>
        <v>0.9683259789241081</v>
      </c>
      <c r="I606" s="6">
        <f t="shared" si="151"/>
        <v>6.192195369043163E-2</v>
      </c>
    </row>
    <row r="607" spans="1:10" x14ac:dyDescent="0.25">
      <c r="A607" s="11" t="s">
        <v>74</v>
      </c>
      <c r="B607">
        <v>2008</v>
      </c>
      <c r="C607">
        <v>21.52</v>
      </c>
      <c r="D607">
        <f t="shared" si="147"/>
        <v>0.39999999999999858</v>
      </c>
      <c r="E607" s="6">
        <f t="shared" si="148"/>
        <v>1.8939393939393812E-2</v>
      </c>
      <c r="F607">
        <v>1.3206680584551149</v>
      </c>
      <c r="G607">
        <f t="shared" si="149"/>
        <v>16.294783433449254</v>
      </c>
      <c r="H607">
        <f t="shared" si="150"/>
        <v>-0.31138859544109465</v>
      </c>
      <c r="I607" s="6">
        <f t="shared" si="151"/>
        <v>-1.8751377192730567E-2</v>
      </c>
    </row>
    <row r="608" spans="1:10" x14ac:dyDescent="0.25">
      <c r="A608" s="11" t="s">
        <v>74</v>
      </c>
      <c r="B608">
        <v>2009</v>
      </c>
      <c r="C608">
        <v>25.55</v>
      </c>
      <c r="D608">
        <f t="shared" si="147"/>
        <v>4.0300000000000011</v>
      </c>
      <c r="E608" s="6">
        <f t="shared" si="148"/>
        <v>0.18726765799256517</v>
      </c>
      <c r="F608">
        <v>1.3160751565762003</v>
      </c>
      <c r="G608">
        <f t="shared" si="149"/>
        <v>19.413784898477161</v>
      </c>
      <c r="H608">
        <f t="shared" si="150"/>
        <v>3.1190014650279068</v>
      </c>
      <c r="I608" s="6">
        <f t="shared" si="151"/>
        <v>0.19141104131677822</v>
      </c>
    </row>
    <row r="609" spans="1:10" x14ac:dyDescent="0.25">
      <c r="A609" s="11" t="s">
        <v>74</v>
      </c>
      <c r="B609">
        <v>2010</v>
      </c>
      <c r="C609">
        <v>24.71</v>
      </c>
      <c r="D609">
        <f t="shared" si="147"/>
        <v>-0.83999999999999986</v>
      </c>
      <c r="E609" s="6">
        <f t="shared" si="148"/>
        <v>-3.2876712328767099E-2</v>
      </c>
      <c r="F609">
        <v>1.3377870563674321</v>
      </c>
      <c r="G609">
        <f t="shared" si="149"/>
        <v>18.470802122347067</v>
      </c>
      <c r="H609">
        <f t="shared" si="150"/>
        <v>-0.94298277613009418</v>
      </c>
      <c r="I609" s="6">
        <f t="shared" si="151"/>
        <v>-4.8572845586852154E-2</v>
      </c>
    </row>
    <row r="610" spans="1:10" x14ac:dyDescent="0.25">
      <c r="A610" s="11" t="s">
        <v>74</v>
      </c>
      <c r="B610">
        <v>2011</v>
      </c>
      <c r="C610">
        <v>38.130000000000003</v>
      </c>
      <c r="D610">
        <f t="shared" si="147"/>
        <v>13.420000000000002</v>
      </c>
      <c r="E610" s="6">
        <f t="shared" si="148"/>
        <v>0.54309995953055457</v>
      </c>
      <c r="F610">
        <v>1.3799582463465554</v>
      </c>
      <c r="G610">
        <f t="shared" si="149"/>
        <v>27.631270801815432</v>
      </c>
      <c r="H610">
        <f t="shared" si="150"/>
        <v>9.1604686794683658</v>
      </c>
      <c r="I610" s="6">
        <f t="shared" si="151"/>
        <v>0.4959431982862017</v>
      </c>
    </row>
    <row r="611" spans="1:10" x14ac:dyDescent="0.25">
      <c r="A611" s="11" t="s">
        <v>74</v>
      </c>
      <c r="B611">
        <v>2012</v>
      </c>
      <c r="C611">
        <v>41.97</v>
      </c>
      <c r="D611">
        <f t="shared" si="147"/>
        <v>3.8399999999999963</v>
      </c>
      <c r="E611" s="6">
        <f t="shared" si="148"/>
        <v>0.10070810385523199</v>
      </c>
      <c r="F611">
        <v>1.4091858037578289</v>
      </c>
      <c r="G611">
        <f t="shared" si="149"/>
        <v>29.783155555555552</v>
      </c>
      <c r="H611">
        <f t="shared" si="150"/>
        <v>2.15188475374012</v>
      </c>
      <c r="I611" s="6">
        <f t="shared" si="151"/>
        <v>7.7878602441938227E-2</v>
      </c>
    </row>
    <row r="612" spans="1:10" x14ac:dyDescent="0.25">
      <c r="A612" s="11" t="s">
        <v>74</v>
      </c>
      <c r="B612">
        <v>2013</v>
      </c>
      <c r="C612">
        <v>42.51</v>
      </c>
      <c r="D612">
        <f t="shared" si="147"/>
        <v>0.53999999999999915</v>
      </c>
      <c r="E612" s="6">
        <f t="shared" si="148"/>
        <v>1.2866333095067795E-2</v>
      </c>
      <c r="F612">
        <v>1.4300626304801669</v>
      </c>
      <c r="G612">
        <f t="shared" si="149"/>
        <v>29.725970802919708</v>
      </c>
      <c r="H612">
        <f t="shared" si="150"/>
        <v>-5.718475263584466E-2</v>
      </c>
      <c r="I612" s="6">
        <f t="shared" si="151"/>
        <v>-1.9200367311373867E-3</v>
      </c>
      <c r="J612" s="11"/>
    </row>
    <row r="613" spans="1:10" x14ac:dyDescent="0.25">
      <c r="A613" s="11" t="s">
        <v>74</v>
      </c>
      <c r="B613">
        <v>2014</v>
      </c>
      <c r="C613">
        <v>37.04</v>
      </c>
      <c r="D613">
        <f t="shared" si="147"/>
        <v>-5.4699999999999989</v>
      </c>
      <c r="E613" s="6">
        <f t="shared" si="148"/>
        <v>-0.12867560573982595</v>
      </c>
      <c r="F613">
        <v>1.4542797494780795</v>
      </c>
      <c r="G613">
        <f t="shared" si="149"/>
        <v>25.469652598334765</v>
      </c>
      <c r="H613">
        <f t="shared" si="150"/>
        <v>-4.256318204584943</v>
      </c>
      <c r="I613" s="6">
        <f t="shared" si="151"/>
        <v>-0.14318517073181292</v>
      </c>
    </row>
    <row r="614" spans="1:10" x14ac:dyDescent="0.25">
      <c r="A614" s="12" t="s">
        <v>74</v>
      </c>
      <c r="B614" s="7">
        <v>2015</v>
      </c>
      <c r="C614" s="7">
        <v>27.74</v>
      </c>
      <c r="D614" s="7">
        <f>C614-C613</f>
        <v>-9.3000000000000007</v>
      </c>
      <c r="E614" s="8">
        <f t="shared" si="148"/>
        <v>-0.25107991360691151</v>
      </c>
      <c r="F614" s="7">
        <v>1.4567849686847598</v>
      </c>
      <c r="G614" s="7">
        <f>C614/F614</f>
        <v>19.041931785611922</v>
      </c>
      <c r="H614" s="7">
        <f t="shared" si="150"/>
        <v>-6.4277208127228427</v>
      </c>
      <c r="I614" s="8">
        <f t="shared" si="151"/>
        <v>-0.25236782433157701</v>
      </c>
    </row>
    <row r="615" spans="1:10" x14ac:dyDescent="0.25">
      <c r="A615" s="11" t="s">
        <v>76</v>
      </c>
      <c r="B615">
        <v>1998</v>
      </c>
      <c r="C615" s="9">
        <v>23.95</v>
      </c>
      <c r="D615" t="s">
        <v>2</v>
      </c>
      <c r="E615" s="6" t="s">
        <v>2</v>
      </c>
      <c r="F615">
        <v>1</v>
      </c>
      <c r="G615">
        <f>C615</f>
        <v>23.95</v>
      </c>
      <c r="H615" t="s">
        <v>2</v>
      </c>
      <c r="I615" s="6" t="s">
        <v>2</v>
      </c>
      <c r="J615" t="s">
        <v>77</v>
      </c>
    </row>
    <row r="616" spans="1:10" x14ac:dyDescent="0.25">
      <c r="A616" s="11" t="s">
        <v>76</v>
      </c>
      <c r="B616">
        <v>1999</v>
      </c>
      <c r="C616" s="9">
        <v>25.58</v>
      </c>
      <c r="D616">
        <f t="shared" ref="D616:D631" si="152">C616-C615</f>
        <v>1.629999999999999</v>
      </c>
      <c r="E616" s="6">
        <f>C616/C615-1</f>
        <v>6.8058455114822447E-2</v>
      </c>
      <c r="F616">
        <v>1.021294363256785</v>
      </c>
      <c r="G616">
        <f>C616/F616</f>
        <v>25.046647587898608</v>
      </c>
      <c r="H616">
        <f>G616-G615</f>
        <v>1.0966475878986088</v>
      </c>
      <c r="I616" s="6">
        <f>G616/G615-1</f>
        <v>4.5789043336058821E-2</v>
      </c>
    </row>
    <row r="617" spans="1:10" x14ac:dyDescent="0.25">
      <c r="A617" s="11" t="s">
        <v>76</v>
      </c>
      <c r="B617">
        <v>2000</v>
      </c>
      <c r="C617" s="9">
        <v>25.1</v>
      </c>
      <c r="D617">
        <f t="shared" si="152"/>
        <v>-0.47999999999999687</v>
      </c>
      <c r="E617" s="6">
        <f t="shared" ref="E617:E632" si="153">C617/C616-1</f>
        <v>-1.8764659890539326E-2</v>
      </c>
      <c r="F617">
        <v>1.0559498956158664</v>
      </c>
      <c r="G617">
        <f t="shared" ref="G617:G631" si="154">C617/F617</f>
        <v>23.770067220245156</v>
      </c>
      <c r="H617">
        <f t="shared" ref="H617:H632" si="155">G617-G616</f>
        <v>-1.2765803676534517</v>
      </c>
      <c r="I617" s="6">
        <f t="shared" ref="I617:I632" si="156">G617/G616-1</f>
        <v>-5.0968113124657766E-2</v>
      </c>
      <c r="J617" t="s">
        <v>13</v>
      </c>
    </row>
    <row r="618" spans="1:10" x14ac:dyDescent="0.25">
      <c r="A618" s="11" t="s">
        <v>76</v>
      </c>
      <c r="B618">
        <v>2001</v>
      </c>
      <c r="C618" s="9">
        <v>27.6</v>
      </c>
      <c r="D618">
        <f t="shared" si="152"/>
        <v>2.5</v>
      </c>
      <c r="E618" s="6">
        <f t="shared" si="153"/>
        <v>9.960159362549792E-2</v>
      </c>
      <c r="F618">
        <v>1.0860125260960336</v>
      </c>
      <c r="G618">
        <f t="shared" si="154"/>
        <v>25.414071510957321</v>
      </c>
      <c r="H618">
        <f t="shared" si="155"/>
        <v>1.6440042907121644</v>
      </c>
      <c r="I618" s="6">
        <f t="shared" si="156"/>
        <v>6.9162795186037629E-2</v>
      </c>
    </row>
    <row r="619" spans="1:10" x14ac:dyDescent="0.25">
      <c r="A619" s="11" t="s">
        <v>76</v>
      </c>
      <c r="B619">
        <v>2002</v>
      </c>
      <c r="C619" s="9">
        <v>28.9</v>
      </c>
      <c r="D619">
        <f t="shared" si="152"/>
        <v>1.2999999999999972</v>
      </c>
      <c r="E619" s="6">
        <f t="shared" si="153"/>
        <v>4.7101449275362306E-2</v>
      </c>
      <c r="F619">
        <v>1.1031315240083506</v>
      </c>
      <c r="G619">
        <f t="shared" si="154"/>
        <v>26.198145344436035</v>
      </c>
      <c r="H619">
        <f t="shared" si="155"/>
        <v>0.78407383347871473</v>
      </c>
      <c r="I619" s="6">
        <f t="shared" si="156"/>
        <v>3.0851956686305027E-2</v>
      </c>
      <c r="J619" t="s">
        <v>58</v>
      </c>
    </row>
    <row r="620" spans="1:10" x14ac:dyDescent="0.25">
      <c r="A620" s="11" t="s">
        <v>76</v>
      </c>
      <c r="B620">
        <v>2003</v>
      </c>
      <c r="C620" s="9">
        <v>29.7</v>
      </c>
      <c r="D620">
        <f t="shared" si="152"/>
        <v>0.80000000000000071</v>
      </c>
      <c r="E620" s="6">
        <f t="shared" si="153"/>
        <v>2.7681660899653959E-2</v>
      </c>
      <c r="F620">
        <v>1.1281837160751564</v>
      </c>
      <c r="G620">
        <f t="shared" si="154"/>
        <v>26.325499629903778</v>
      </c>
      <c r="H620">
        <f t="shared" si="155"/>
        <v>0.1273542854677423</v>
      </c>
      <c r="I620" s="6">
        <f t="shared" si="156"/>
        <v>4.8611947064713945E-3</v>
      </c>
    </row>
    <row r="621" spans="1:10" x14ac:dyDescent="0.25">
      <c r="A621" s="11" t="s">
        <v>76</v>
      </c>
      <c r="B621">
        <v>2004</v>
      </c>
      <c r="C621" s="9">
        <v>35.08</v>
      </c>
      <c r="D621">
        <f t="shared" si="152"/>
        <v>5.379999999999999</v>
      </c>
      <c r="E621" s="6">
        <f t="shared" si="153"/>
        <v>0.18114478114478105</v>
      </c>
      <c r="F621">
        <v>1.1586638830897704</v>
      </c>
      <c r="G621">
        <f t="shared" si="154"/>
        <v>30.276252252252249</v>
      </c>
      <c r="H621">
        <f t="shared" si="155"/>
        <v>3.950752622348471</v>
      </c>
      <c r="I621" s="6">
        <f t="shared" si="156"/>
        <v>0.15007322473989104</v>
      </c>
    </row>
    <row r="622" spans="1:10" x14ac:dyDescent="0.25">
      <c r="A622" s="11" t="s">
        <v>76</v>
      </c>
      <c r="B622">
        <v>2005</v>
      </c>
      <c r="C622" s="9">
        <v>35.92</v>
      </c>
      <c r="D622">
        <f t="shared" si="152"/>
        <v>0.84000000000000341</v>
      </c>
      <c r="E622" s="6">
        <f t="shared" si="153"/>
        <v>2.3945267958951133E-2</v>
      </c>
      <c r="F622">
        <v>1.1979123173277662</v>
      </c>
      <c r="G622">
        <f t="shared" si="154"/>
        <v>29.985500174276755</v>
      </c>
      <c r="H622">
        <f t="shared" si="155"/>
        <v>-0.29075207797549396</v>
      </c>
      <c r="I622" s="6">
        <f t="shared" si="156"/>
        <v>-9.603304780031463E-3</v>
      </c>
    </row>
    <row r="623" spans="1:10" x14ac:dyDescent="0.25">
      <c r="A623" s="11" t="s">
        <v>76</v>
      </c>
      <c r="B623">
        <v>2006</v>
      </c>
      <c r="C623" s="9">
        <v>39.979999999999997</v>
      </c>
      <c r="D623">
        <f t="shared" si="152"/>
        <v>4.0599999999999952</v>
      </c>
      <c r="E623" s="6">
        <f t="shared" si="153"/>
        <v>0.11302895322939843</v>
      </c>
      <c r="F623">
        <v>1.2367432150313151</v>
      </c>
      <c r="G623">
        <f t="shared" si="154"/>
        <v>32.326839972991223</v>
      </c>
      <c r="H623">
        <f t="shared" si="155"/>
        <v>2.3413397987144684</v>
      </c>
      <c r="I623" s="6">
        <f t="shared" si="156"/>
        <v>7.8082399329893581E-2</v>
      </c>
    </row>
    <row r="624" spans="1:10" x14ac:dyDescent="0.25">
      <c r="A624" s="11" t="s">
        <v>76</v>
      </c>
      <c r="B624">
        <v>2007</v>
      </c>
      <c r="C624" s="9">
        <v>45.2</v>
      </c>
      <c r="D624">
        <f t="shared" si="152"/>
        <v>5.220000000000006</v>
      </c>
      <c r="E624" s="6">
        <f t="shared" si="153"/>
        <v>0.13056528264132083</v>
      </c>
      <c r="F624">
        <v>1.2718162839248435</v>
      </c>
      <c r="G624">
        <f t="shared" si="154"/>
        <v>35.539724228496389</v>
      </c>
      <c r="H624">
        <f t="shared" si="155"/>
        <v>3.2128842555051662</v>
      </c>
      <c r="I624" s="6">
        <f t="shared" si="156"/>
        <v>9.9387513848848252E-2</v>
      </c>
    </row>
    <row r="625" spans="1:10" x14ac:dyDescent="0.25">
      <c r="A625" s="11" t="s">
        <v>76</v>
      </c>
      <c r="B625">
        <v>2008</v>
      </c>
      <c r="C625" s="9">
        <v>47.6</v>
      </c>
      <c r="D625">
        <f t="shared" si="152"/>
        <v>2.3999999999999986</v>
      </c>
      <c r="E625" s="6">
        <f t="shared" si="153"/>
        <v>5.3097345132743223E-2</v>
      </c>
      <c r="F625">
        <v>1.3206680584551149</v>
      </c>
      <c r="G625">
        <f t="shared" si="154"/>
        <v>36.042364843503002</v>
      </c>
      <c r="H625">
        <f t="shared" si="155"/>
        <v>0.50264061500661228</v>
      </c>
      <c r="I625" s="6">
        <f t="shared" si="156"/>
        <v>1.4143064582464726E-2</v>
      </c>
    </row>
    <row r="626" spans="1:10" x14ac:dyDescent="0.25">
      <c r="A626" s="11" t="s">
        <v>76</v>
      </c>
      <c r="B626">
        <v>2009</v>
      </c>
      <c r="C626" s="9">
        <v>51.9</v>
      </c>
      <c r="D626">
        <f t="shared" si="152"/>
        <v>4.2999999999999972</v>
      </c>
      <c r="E626" s="6">
        <f t="shared" si="153"/>
        <v>9.0336134453781414E-2</v>
      </c>
      <c r="F626">
        <v>1.3160751565762003</v>
      </c>
      <c r="G626">
        <f t="shared" si="154"/>
        <v>39.435437817258887</v>
      </c>
      <c r="H626">
        <f t="shared" si="155"/>
        <v>3.3930729737558849</v>
      </c>
      <c r="I626" s="6">
        <f t="shared" si="156"/>
        <v>9.4141241521989549E-2</v>
      </c>
    </row>
    <row r="627" spans="1:10" x14ac:dyDescent="0.25">
      <c r="A627" s="11" t="s">
        <v>76</v>
      </c>
      <c r="B627">
        <v>2010</v>
      </c>
      <c r="C627" s="9">
        <v>56</v>
      </c>
      <c r="D627">
        <f t="shared" si="152"/>
        <v>4.1000000000000014</v>
      </c>
      <c r="E627" s="6">
        <f t="shared" si="153"/>
        <v>7.899807321772645E-2</v>
      </c>
      <c r="F627">
        <v>1.3377870563674321</v>
      </c>
      <c r="G627">
        <f t="shared" si="154"/>
        <v>41.860174781523099</v>
      </c>
      <c r="H627">
        <f t="shared" si="155"/>
        <v>2.4247369642642127</v>
      </c>
      <c r="I627" s="6">
        <f t="shared" si="156"/>
        <v>6.1486244314068017E-2</v>
      </c>
    </row>
    <row r="628" spans="1:10" x14ac:dyDescent="0.25">
      <c r="A628" s="11" t="s">
        <v>76</v>
      </c>
      <c r="B628">
        <v>2011</v>
      </c>
      <c r="C628" s="9">
        <v>86</v>
      </c>
      <c r="D628">
        <f t="shared" si="152"/>
        <v>30</v>
      </c>
      <c r="E628" s="6">
        <f t="shared" si="153"/>
        <v>0.53571428571428581</v>
      </c>
      <c r="F628">
        <v>1.3799582463465554</v>
      </c>
      <c r="G628">
        <f t="shared" si="154"/>
        <v>62.32072617246596</v>
      </c>
      <c r="H628">
        <f t="shared" si="155"/>
        <v>20.460551390942861</v>
      </c>
      <c r="I628" s="6">
        <f t="shared" si="156"/>
        <v>0.48878322887400039</v>
      </c>
    </row>
    <row r="629" spans="1:10" x14ac:dyDescent="0.25">
      <c r="A629" s="11" t="s">
        <v>76</v>
      </c>
      <c r="B629">
        <v>2012</v>
      </c>
      <c r="C629" s="9">
        <v>112</v>
      </c>
      <c r="D629">
        <f t="shared" si="152"/>
        <v>26</v>
      </c>
      <c r="E629" s="6">
        <f t="shared" si="153"/>
        <v>0.30232558139534893</v>
      </c>
      <c r="F629">
        <v>1.4091858037578289</v>
      </c>
      <c r="G629">
        <f t="shared" si="154"/>
        <v>79.478518518518513</v>
      </c>
      <c r="H629">
        <f t="shared" si="155"/>
        <v>17.157792346052553</v>
      </c>
      <c r="I629" s="6">
        <f t="shared" si="156"/>
        <v>0.27531438415159326</v>
      </c>
    </row>
    <row r="630" spans="1:10" x14ac:dyDescent="0.25">
      <c r="A630" s="11" t="s">
        <v>76</v>
      </c>
      <c r="B630">
        <v>2013</v>
      </c>
      <c r="C630" s="9">
        <v>113</v>
      </c>
      <c r="D630">
        <f t="shared" si="152"/>
        <v>1</v>
      </c>
      <c r="E630" s="6">
        <f t="shared" si="153"/>
        <v>8.9285714285713969E-3</v>
      </c>
      <c r="F630">
        <v>1.4300626304801669</v>
      </c>
      <c r="G630">
        <f t="shared" si="154"/>
        <v>79.017518248175193</v>
      </c>
      <c r="H630">
        <f t="shared" si="155"/>
        <v>-0.46100027034331958</v>
      </c>
      <c r="I630" s="6">
        <f t="shared" si="156"/>
        <v>-5.8003128258600212E-3</v>
      </c>
      <c r="J630" s="11"/>
    </row>
    <row r="631" spans="1:10" x14ac:dyDescent="0.25">
      <c r="A631" s="11" t="s">
        <v>76</v>
      </c>
      <c r="B631">
        <v>2014</v>
      </c>
      <c r="C631" s="9">
        <v>134</v>
      </c>
      <c r="D631">
        <f t="shared" si="152"/>
        <v>21</v>
      </c>
      <c r="E631" s="6">
        <f t="shared" si="153"/>
        <v>0.18584070796460184</v>
      </c>
      <c r="F631">
        <v>1.4542797494780795</v>
      </c>
      <c r="G631">
        <f t="shared" si="154"/>
        <v>92.141831754234843</v>
      </c>
      <c r="H631">
        <f t="shared" si="155"/>
        <v>13.12431350605965</v>
      </c>
      <c r="I631" s="6">
        <f t="shared" si="156"/>
        <v>0.16609371943116846</v>
      </c>
    </row>
    <row r="632" spans="1:10" x14ac:dyDescent="0.25">
      <c r="A632" s="12" t="s">
        <v>76</v>
      </c>
      <c r="B632" s="7">
        <v>2015</v>
      </c>
      <c r="C632" s="7">
        <v>132</v>
      </c>
      <c r="D632" s="7">
        <f>C632-C631</f>
        <v>-2</v>
      </c>
      <c r="E632" s="8">
        <f t="shared" si="153"/>
        <v>-1.4925373134328401E-2</v>
      </c>
      <c r="F632" s="7">
        <v>1.4567849686847598</v>
      </c>
      <c r="G632" s="7">
        <f>C632/F632</f>
        <v>90.610490111779882</v>
      </c>
      <c r="H632" s="7">
        <f t="shared" si="155"/>
        <v>-1.5313416424549615</v>
      </c>
      <c r="I632" s="8">
        <f t="shared" si="156"/>
        <v>-1.6619396568319011E-2</v>
      </c>
    </row>
    <row r="633" spans="1:10" x14ac:dyDescent="0.25">
      <c r="A633" s="11" t="s">
        <v>78</v>
      </c>
      <c r="B633">
        <v>1998</v>
      </c>
      <c r="C633" s="9">
        <f>33.5*2.20462</f>
        <v>73.854769999999988</v>
      </c>
      <c r="D633" t="s">
        <v>2</v>
      </c>
      <c r="E633" s="6" t="s">
        <v>2</v>
      </c>
      <c r="F633">
        <v>1</v>
      </c>
      <c r="G633">
        <f>C633</f>
        <v>73.854769999999988</v>
      </c>
      <c r="H633" t="s">
        <v>2</v>
      </c>
      <c r="I633" s="6" t="s">
        <v>2</v>
      </c>
      <c r="J633" t="s">
        <v>79</v>
      </c>
    </row>
    <row r="634" spans="1:10" x14ac:dyDescent="0.25">
      <c r="A634" s="11" t="s">
        <v>78</v>
      </c>
      <c r="B634">
        <v>1999</v>
      </c>
      <c r="C634" s="9">
        <f>33.5*2.20462</f>
        <v>73.854769999999988</v>
      </c>
      <c r="D634">
        <f t="shared" ref="D634:D649" si="157">C634-C633</f>
        <v>0</v>
      </c>
      <c r="E634" s="6">
        <f>C634/C633-1</f>
        <v>0</v>
      </c>
      <c r="F634">
        <v>1.021294363256785</v>
      </c>
      <c r="G634">
        <f>C634/F634</f>
        <v>72.314870870809472</v>
      </c>
      <c r="H634">
        <f>G634-G633</f>
        <v>-1.5398991291905162</v>
      </c>
      <c r="I634" s="6">
        <f>G634/G633-1</f>
        <v>-2.0850367947669701E-2</v>
      </c>
    </row>
    <row r="635" spans="1:10" x14ac:dyDescent="0.25">
      <c r="A635" s="11" t="s">
        <v>78</v>
      </c>
      <c r="B635">
        <v>2000</v>
      </c>
      <c r="C635" s="9">
        <f>160*2.20462</f>
        <v>352.73919999999998</v>
      </c>
      <c r="D635">
        <f t="shared" si="157"/>
        <v>278.88443000000001</v>
      </c>
      <c r="E635" s="6">
        <f t="shared" ref="E635:E650" si="158">C635/C634-1</f>
        <v>3.7761194029850751</v>
      </c>
      <c r="F635">
        <v>1.0559498956158664</v>
      </c>
      <c r="G635">
        <f t="shared" ref="G635:G649" si="159">C635/F635</f>
        <v>334.0491830763147</v>
      </c>
      <c r="H635">
        <f t="shared" ref="H635:H650" si="160">G635-G634</f>
        <v>261.73431220550526</v>
      </c>
      <c r="I635" s="6">
        <f t="shared" ref="I635:I650" si="161">G635/G634-1</f>
        <v>3.6193705257815312</v>
      </c>
      <c r="J635" t="s">
        <v>13</v>
      </c>
    </row>
    <row r="636" spans="1:10" x14ac:dyDescent="0.25">
      <c r="A636" s="11" t="s">
        <v>78</v>
      </c>
      <c r="B636">
        <v>2001</v>
      </c>
      <c r="C636" s="9">
        <f>45*2.20462</f>
        <v>99.207899999999995</v>
      </c>
      <c r="D636">
        <f t="shared" si="157"/>
        <v>-253.53129999999999</v>
      </c>
      <c r="E636" s="6">
        <f t="shared" si="158"/>
        <v>-0.71875</v>
      </c>
      <c r="F636">
        <v>1.0860125260960336</v>
      </c>
      <c r="G636">
        <f t="shared" si="159"/>
        <v>91.350603806228349</v>
      </c>
      <c r="H636">
        <f t="shared" si="160"/>
        <v>-242.69857927008636</v>
      </c>
      <c r="I636" s="6">
        <f t="shared" si="161"/>
        <v>-0.72653546712802775</v>
      </c>
    </row>
    <row r="637" spans="1:10" x14ac:dyDescent="0.25">
      <c r="A637" s="11" t="s">
        <v>78</v>
      </c>
      <c r="B637">
        <v>2002</v>
      </c>
      <c r="C637" s="9">
        <f>45*2.20462</f>
        <v>99.207899999999995</v>
      </c>
      <c r="D637">
        <f t="shared" si="157"/>
        <v>0</v>
      </c>
      <c r="E637" s="6">
        <f t="shared" si="158"/>
        <v>0</v>
      </c>
      <c r="F637">
        <v>1.1031315240083506</v>
      </c>
      <c r="G637">
        <f t="shared" si="159"/>
        <v>89.932975208175634</v>
      </c>
      <c r="H637">
        <f t="shared" si="160"/>
        <v>-1.4176285980527155</v>
      </c>
      <c r="I637" s="6">
        <f t="shared" si="161"/>
        <v>-1.5518546555639334E-2</v>
      </c>
      <c r="J637" t="s">
        <v>43</v>
      </c>
    </row>
    <row r="638" spans="1:10" x14ac:dyDescent="0.25">
      <c r="A638" s="11" t="s">
        <v>78</v>
      </c>
      <c r="B638">
        <v>2003</v>
      </c>
      <c r="C638" s="9">
        <f>35*2.20462</f>
        <v>77.161699999999996</v>
      </c>
      <c r="D638">
        <f t="shared" si="157"/>
        <v>-22.046199999999999</v>
      </c>
      <c r="E638" s="6">
        <f t="shared" si="158"/>
        <v>-0.22222222222222221</v>
      </c>
      <c r="F638">
        <v>1.1281837160751564</v>
      </c>
      <c r="G638">
        <f t="shared" si="159"/>
        <v>68.394623056994817</v>
      </c>
      <c r="H638">
        <f t="shared" si="160"/>
        <v>-21.538352151180817</v>
      </c>
      <c r="I638" s="6">
        <f t="shared" si="161"/>
        <v>-0.23949337938975257</v>
      </c>
    </row>
    <row r="639" spans="1:10" x14ac:dyDescent="0.25">
      <c r="A639" s="11" t="s">
        <v>78</v>
      </c>
      <c r="B639">
        <v>2004</v>
      </c>
      <c r="C639" s="9">
        <f>37.5*2.20462</f>
        <v>82.673249999999996</v>
      </c>
      <c r="D639">
        <f t="shared" si="157"/>
        <v>5.5115499999999997</v>
      </c>
      <c r="E639" s="6">
        <f t="shared" si="158"/>
        <v>7.1428571428571397E-2</v>
      </c>
      <c r="F639">
        <v>1.1586638830897704</v>
      </c>
      <c r="G639">
        <f t="shared" si="159"/>
        <v>71.352228378378371</v>
      </c>
      <c r="H639">
        <f t="shared" si="160"/>
        <v>2.9576053213835536</v>
      </c>
      <c r="I639" s="6">
        <f t="shared" si="161"/>
        <v>4.3243243243243246E-2</v>
      </c>
    </row>
    <row r="640" spans="1:10" x14ac:dyDescent="0.25">
      <c r="A640" s="11" t="s">
        <v>78</v>
      </c>
      <c r="B640">
        <v>2005</v>
      </c>
      <c r="C640" s="9">
        <f>37.5*2.20462</f>
        <v>82.673249999999996</v>
      </c>
      <c r="D640">
        <f t="shared" si="157"/>
        <v>0</v>
      </c>
      <c r="E640" s="6">
        <f t="shared" si="158"/>
        <v>0</v>
      </c>
      <c r="F640">
        <v>1.1979123173277662</v>
      </c>
      <c r="G640">
        <f t="shared" si="159"/>
        <v>69.01444187870338</v>
      </c>
      <c r="H640">
        <f t="shared" si="160"/>
        <v>-2.3377864996749906</v>
      </c>
      <c r="I640" s="6">
        <f t="shared" si="161"/>
        <v>-3.27640292784942E-2</v>
      </c>
    </row>
    <row r="641" spans="1:10" x14ac:dyDescent="0.25">
      <c r="A641" s="11" t="s">
        <v>78</v>
      </c>
      <c r="B641">
        <v>2006</v>
      </c>
      <c r="C641" s="9">
        <v>72</v>
      </c>
      <c r="D641">
        <f t="shared" si="157"/>
        <v>-10.673249999999996</v>
      </c>
      <c r="E641" s="6">
        <f t="shared" si="158"/>
        <v>-0.12910161388357178</v>
      </c>
      <c r="F641">
        <v>1.2367432150313151</v>
      </c>
      <c r="G641">
        <f t="shared" si="159"/>
        <v>58.21742066171506</v>
      </c>
      <c r="H641">
        <f t="shared" si="160"/>
        <v>-10.79702121698832</v>
      </c>
      <c r="I641" s="6">
        <f t="shared" si="161"/>
        <v>-0.15644582384603889</v>
      </c>
    </row>
    <row r="642" spans="1:10" x14ac:dyDescent="0.25">
      <c r="A642" s="11" t="s">
        <v>78</v>
      </c>
      <c r="B642">
        <v>2007</v>
      </c>
      <c r="C642" s="9">
        <v>80</v>
      </c>
      <c r="D642">
        <f t="shared" si="157"/>
        <v>8</v>
      </c>
      <c r="E642" s="6">
        <f t="shared" si="158"/>
        <v>0.11111111111111116</v>
      </c>
      <c r="F642">
        <v>1.2718162839248435</v>
      </c>
      <c r="G642">
        <f t="shared" si="159"/>
        <v>62.902166776099797</v>
      </c>
      <c r="H642">
        <f t="shared" si="160"/>
        <v>4.6847461143847369</v>
      </c>
      <c r="I642" s="6">
        <f t="shared" si="161"/>
        <v>8.0469832932078322E-2</v>
      </c>
    </row>
    <row r="643" spans="1:10" x14ac:dyDescent="0.25">
      <c r="A643" s="11" t="s">
        <v>78</v>
      </c>
      <c r="B643">
        <v>2008</v>
      </c>
      <c r="C643" s="9">
        <v>87</v>
      </c>
      <c r="D643">
        <f t="shared" si="157"/>
        <v>7</v>
      </c>
      <c r="E643" s="6">
        <f t="shared" si="158"/>
        <v>8.7499999999999911E-2</v>
      </c>
      <c r="F643">
        <v>1.3206680584551149</v>
      </c>
      <c r="G643">
        <f t="shared" si="159"/>
        <v>65.875750869427748</v>
      </c>
      <c r="H643">
        <f t="shared" si="160"/>
        <v>2.9735840933279505</v>
      </c>
      <c r="I643" s="6">
        <f t="shared" si="161"/>
        <v>4.7273158393929648E-2</v>
      </c>
    </row>
    <row r="644" spans="1:10" x14ac:dyDescent="0.25">
      <c r="A644" s="11" t="s">
        <v>78</v>
      </c>
      <c r="B644">
        <v>2009</v>
      </c>
      <c r="C644" s="9">
        <v>60</v>
      </c>
      <c r="D644">
        <f t="shared" si="157"/>
        <v>-27</v>
      </c>
      <c r="E644" s="6">
        <f t="shared" si="158"/>
        <v>-0.31034482758620685</v>
      </c>
      <c r="F644">
        <v>1.3160751565762003</v>
      </c>
      <c r="G644">
        <f t="shared" si="159"/>
        <v>45.590101522842644</v>
      </c>
      <c r="H644">
        <f t="shared" si="160"/>
        <v>-20.285649346585103</v>
      </c>
      <c r="I644" s="6">
        <f t="shared" si="161"/>
        <v>-0.30793803605811287</v>
      </c>
    </row>
    <row r="645" spans="1:10" x14ac:dyDescent="0.25">
      <c r="A645" s="11" t="s">
        <v>78</v>
      </c>
      <c r="B645">
        <v>2010</v>
      </c>
      <c r="C645" s="9">
        <v>120</v>
      </c>
      <c r="D645">
        <f t="shared" si="157"/>
        <v>60</v>
      </c>
      <c r="E645" s="6">
        <f t="shared" si="158"/>
        <v>1</v>
      </c>
      <c r="F645">
        <v>1.3377870563674321</v>
      </c>
      <c r="G645">
        <f t="shared" si="159"/>
        <v>89.700374531835209</v>
      </c>
      <c r="H645">
        <f t="shared" si="160"/>
        <v>44.110273008992564</v>
      </c>
      <c r="I645" s="6">
        <f t="shared" si="161"/>
        <v>0.96754057428214724</v>
      </c>
    </row>
    <row r="646" spans="1:10" x14ac:dyDescent="0.25">
      <c r="A646" s="11" t="s">
        <v>78</v>
      </c>
      <c r="B646">
        <v>2011</v>
      </c>
      <c r="C646" s="9">
        <v>275</v>
      </c>
      <c r="D646">
        <f t="shared" si="157"/>
        <v>155</v>
      </c>
      <c r="E646" s="6">
        <f t="shared" si="158"/>
        <v>1.2916666666666665</v>
      </c>
      <c r="F646">
        <v>1.3799582463465554</v>
      </c>
      <c r="G646">
        <f t="shared" si="159"/>
        <v>199.28139183055976</v>
      </c>
      <c r="H646">
        <f t="shared" si="160"/>
        <v>109.58101729872455</v>
      </c>
      <c r="I646" s="6">
        <f t="shared" si="161"/>
        <v>1.2216338880484114</v>
      </c>
    </row>
    <row r="647" spans="1:10" x14ac:dyDescent="0.25">
      <c r="A647" s="11" t="s">
        <v>78</v>
      </c>
      <c r="B647">
        <v>2012</v>
      </c>
      <c r="C647" s="9">
        <v>239</v>
      </c>
      <c r="D647">
        <f t="shared" si="157"/>
        <v>-36</v>
      </c>
      <c r="E647" s="6">
        <f t="shared" si="158"/>
        <v>-0.13090909090909086</v>
      </c>
      <c r="F647">
        <v>1.4091858037578289</v>
      </c>
      <c r="G647">
        <f t="shared" si="159"/>
        <v>169.60148148148147</v>
      </c>
      <c r="H647">
        <f t="shared" si="160"/>
        <v>-29.679910349078284</v>
      </c>
      <c r="I647" s="6">
        <f t="shared" si="161"/>
        <v>-0.14893468013468014</v>
      </c>
    </row>
    <row r="648" spans="1:10" x14ac:dyDescent="0.25">
      <c r="A648" s="11" t="s">
        <v>78</v>
      </c>
      <c r="B648">
        <v>2013</v>
      </c>
      <c r="C648" s="9">
        <v>260</v>
      </c>
      <c r="D648">
        <f t="shared" si="157"/>
        <v>21</v>
      </c>
      <c r="E648" s="6">
        <f t="shared" si="158"/>
        <v>8.786610878661083E-2</v>
      </c>
      <c r="F648">
        <v>1.4300626304801669</v>
      </c>
      <c r="G648">
        <f t="shared" si="159"/>
        <v>181.8102189781022</v>
      </c>
      <c r="H648">
        <f t="shared" si="160"/>
        <v>12.208737496620728</v>
      </c>
      <c r="I648" s="6">
        <f t="shared" si="161"/>
        <v>7.1984851724032684E-2</v>
      </c>
      <c r="J648" s="11"/>
    </row>
    <row r="649" spans="1:10" x14ac:dyDescent="0.25">
      <c r="A649" s="11" t="s">
        <v>78</v>
      </c>
      <c r="B649">
        <v>2014</v>
      </c>
      <c r="C649" s="9">
        <v>221</v>
      </c>
      <c r="D649">
        <f t="shared" si="157"/>
        <v>-39</v>
      </c>
      <c r="E649" s="6">
        <f t="shared" si="158"/>
        <v>-0.15000000000000002</v>
      </c>
      <c r="F649">
        <v>1.4542797494780795</v>
      </c>
      <c r="G649">
        <f t="shared" si="159"/>
        <v>151.96525983347686</v>
      </c>
      <c r="H649">
        <f t="shared" si="160"/>
        <v>-29.844959144625335</v>
      </c>
      <c r="I649" s="6">
        <f t="shared" si="161"/>
        <v>-0.16415446454206162</v>
      </c>
    </row>
    <row r="650" spans="1:10" x14ac:dyDescent="0.25">
      <c r="A650" s="12" t="s">
        <v>78</v>
      </c>
      <c r="B650" s="7">
        <v>2015</v>
      </c>
      <c r="C650" s="7">
        <v>193</v>
      </c>
      <c r="D650" s="7">
        <f>C650-C649</f>
        <v>-28</v>
      </c>
      <c r="E650" s="8">
        <f t="shared" si="158"/>
        <v>-0.12669683257918551</v>
      </c>
      <c r="F650" s="7">
        <v>1.4567849686847598</v>
      </c>
      <c r="G650" s="7">
        <f>C650/F650</f>
        <v>132.48351963313272</v>
      </c>
      <c r="H650" s="7">
        <f t="shared" si="160"/>
        <v>-19.481740200344149</v>
      </c>
      <c r="I650" s="8">
        <f t="shared" si="161"/>
        <v>-0.1281986437011472</v>
      </c>
    </row>
    <row r="651" spans="1:10" x14ac:dyDescent="0.25">
      <c r="A651" s="11" t="s">
        <v>80</v>
      </c>
      <c r="B651">
        <v>1998</v>
      </c>
      <c r="C651" s="9">
        <v>6550</v>
      </c>
      <c r="D651" t="s">
        <v>2</v>
      </c>
      <c r="E651" s="6" t="s">
        <v>2</v>
      </c>
      <c r="F651">
        <v>1</v>
      </c>
      <c r="G651">
        <f>C651</f>
        <v>6550</v>
      </c>
      <c r="H651" t="s">
        <v>2</v>
      </c>
      <c r="I651" s="6" t="s">
        <v>2</v>
      </c>
      <c r="J651" t="s">
        <v>81</v>
      </c>
    </row>
    <row r="652" spans="1:10" x14ac:dyDescent="0.25">
      <c r="A652" s="11" t="s">
        <v>80</v>
      </c>
      <c r="B652">
        <v>1999</v>
      </c>
      <c r="C652" s="9">
        <v>5700</v>
      </c>
      <c r="D652">
        <f t="shared" ref="D652:D667" si="162">C652-C651</f>
        <v>-850</v>
      </c>
      <c r="E652" s="6">
        <f>C652/C651-1</f>
        <v>-0.12977099236641221</v>
      </c>
      <c r="F652">
        <v>1.021294363256785</v>
      </c>
      <c r="G652">
        <f>C652/F652</f>
        <v>5581.1529026982826</v>
      </c>
      <c r="H652">
        <f>G652-G651</f>
        <v>-968.84709730171744</v>
      </c>
      <c r="I652" s="6">
        <f>G652/G651-1</f>
        <v>-0.14791558737430799</v>
      </c>
    </row>
    <row r="653" spans="1:10" x14ac:dyDescent="0.25">
      <c r="A653" s="11" t="s">
        <v>80</v>
      </c>
      <c r="B653">
        <v>2000</v>
      </c>
      <c r="C653" s="9">
        <v>6400</v>
      </c>
      <c r="D653">
        <f t="shared" si="162"/>
        <v>700</v>
      </c>
      <c r="E653" s="6">
        <f t="shared" ref="E653:E668" si="163">C653/C652-1</f>
        <v>0.12280701754385959</v>
      </c>
      <c r="F653">
        <v>1.0559498956158664</v>
      </c>
      <c r="G653">
        <f t="shared" ref="G653:G667" si="164">C653/F653</f>
        <v>6060.8936338473704</v>
      </c>
      <c r="H653">
        <f t="shared" ref="H653:H668" si="165">G653-G652</f>
        <v>479.74073114908788</v>
      </c>
      <c r="I653" s="6">
        <f t="shared" ref="I653:I668" si="166">G653/G652-1</f>
        <v>8.5957281499517979E-2</v>
      </c>
      <c r="J653" t="s">
        <v>13</v>
      </c>
    </row>
    <row r="654" spans="1:10" x14ac:dyDescent="0.25">
      <c r="A654" s="11" t="s">
        <v>80</v>
      </c>
      <c r="B654">
        <v>2001</v>
      </c>
      <c r="C654" s="9">
        <v>9700</v>
      </c>
      <c r="D654">
        <f t="shared" si="162"/>
        <v>3300</v>
      </c>
      <c r="E654" s="6">
        <f t="shared" si="163"/>
        <v>0.515625</v>
      </c>
      <c r="F654">
        <v>1.0860125260960336</v>
      </c>
      <c r="G654">
        <f t="shared" si="164"/>
        <v>8931.7570165321013</v>
      </c>
      <c r="H654">
        <f t="shared" si="165"/>
        <v>2870.8633826847308</v>
      </c>
      <c r="I654" s="6">
        <f t="shared" si="166"/>
        <v>0.47366998269896166</v>
      </c>
    </row>
    <row r="655" spans="1:10" x14ac:dyDescent="0.25">
      <c r="A655" s="11" t="s">
        <v>80</v>
      </c>
      <c r="B655">
        <v>2002</v>
      </c>
      <c r="C655" s="9">
        <v>7300</v>
      </c>
      <c r="D655">
        <f t="shared" si="162"/>
        <v>-2400</v>
      </c>
      <c r="E655" s="6">
        <f t="shared" si="163"/>
        <v>-0.24742268041237114</v>
      </c>
      <c r="F655">
        <v>1.1031315240083506</v>
      </c>
      <c r="G655">
        <f t="shared" si="164"/>
        <v>6617.5246025738088</v>
      </c>
      <c r="H655">
        <f t="shared" si="165"/>
        <v>-2314.2324139582925</v>
      </c>
      <c r="I655" s="6">
        <f t="shared" si="166"/>
        <v>-0.25910158658311</v>
      </c>
      <c r="J655" t="s">
        <v>58</v>
      </c>
    </row>
    <row r="656" spans="1:10" x14ac:dyDescent="0.25">
      <c r="A656" s="11" t="s">
        <v>80</v>
      </c>
      <c r="B656">
        <v>2003</v>
      </c>
      <c r="C656" s="9">
        <v>7200</v>
      </c>
      <c r="D656">
        <f t="shared" si="162"/>
        <v>-100</v>
      </c>
      <c r="E656" s="6">
        <f t="shared" si="163"/>
        <v>-1.3698630136986356E-2</v>
      </c>
      <c r="F656">
        <v>1.1281837160751564</v>
      </c>
      <c r="G656">
        <f t="shared" si="164"/>
        <v>6381.9393042190977</v>
      </c>
      <c r="H656">
        <f t="shared" si="165"/>
        <v>-235.58529835471109</v>
      </c>
      <c r="I656" s="6">
        <f t="shared" si="166"/>
        <v>-3.560021495999921E-2</v>
      </c>
    </row>
    <row r="657" spans="1:10" x14ac:dyDescent="0.25">
      <c r="A657" s="11" t="s">
        <v>80</v>
      </c>
      <c r="B657">
        <v>2004</v>
      </c>
      <c r="C657" s="9">
        <v>9100</v>
      </c>
      <c r="D657">
        <f t="shared" si="162"/>
        <v>1900</v>
      </c>
      <c r="E657" s="6">
        <f t="shared" si="163"/>
        <v>0.26388888888888884</v>
      </c>
      <c r="F657">
        <v>1.1586638830897704</v>
      </c>
      <c r="G657">
        <f t="shared" si="164"/>
        <v>7853.8738738738739</v>
      </c>
      <c r="H657">
        <f t="shared" si="165"/>
        <v>1471.9345696547762</v>
      </c>
      <c r="I657" s="6">
        <f t="shared" si="166"/>
        <v>0.23064064064064049</v>
      </c>
    </row>
    <row r="658" spans="1:10" x14ac:dyDescent="0.25">
      <c r="A658" s="11" t="s">
        <v>80</v>
      </c>
      <c r="B658">
        <v>2005</v>
      </c>
      <c r="C658" s="9">
        <v>24000</v>
      </c>
      <c r="D658">
        <f t="shared" si="162"/>
        <v>14900</v>
      </c>
      <c r="E658" s="6">
        <f t="shared" si="163"/>
        <v>1.6373626373626373</v>
      </c>
      <c r="F658">
        <v>1.1979123173277662</v>
      </c>
      <c r="G658">
        <f t="shared" si="164"/>
        <v>20034.855350296271</v>
      </c>
      <c r="H658">
        <f t="shared" si="165"/>
        <v>12180.981476422397</v>
      </c>
      <c r="I658" s="6">
        <f t="shared" si="166"/>
        <v>1.5509520106940813</v>
      </c>
    </row>
    <row r="659" spans="1:10" x14ac:dyDescent="0.25">
      <c r="A659" s="11" t="s">
        <v>80</v>
      </c>
      <c r="B659">
        <v>2006</v>
      </c>
      <c r="C659" s="9">
        <v>27300</v>
      </c>
      <c r="D659">
        <f t="shared" si="162"/>
        <v>3300</v>
      </c>
      <c r="E659" s="6">
        <f t="shared" si="163"/>
        <v>0.13749999999999996</v>
      </c>
      <c r="F659">
        <v>1.2367432150313151</v>
      </c>
      <c r="G659">
        <f t="shared" si="164"/>
        <v>22074.105334233627</v>
      </c>
      <c r="H659">
        <f t="shared" si="165"/>
        <v>2039.2499839373559</v>
      </c>
      <c r="I659" s="6">
        <f t="shared" si="166"/>
        <v>0.10178511141120872</v>
      </c>
    </row>
    <row r="660" spans="1:10" x14ac:dyDescent="0.25">
      <c r="A660" s="11" t="s">
        <v>80</v>
      </c>
      <c r="B660">
        <v>2007</v>
      </c>
      <c r="C660" s="9">
        <v>26200</v>
      </c>
      <c r="D660">
        <f t="shared" si="162"/>
        <v>-1100</v>
      </c>
      <c r="E660" s="6">
        <f t="shared" si="163"/>
        <v>-4.0293040293040261E-2</v>
      </c>
      <c r="F660">
        <v>1.2718162839248435</v>
      </c>
      <c r="G660">
        <f t="shared" si="164"/>
        <v>20600.459619172685</v>
      </c>
      <c r="H660">
        <f t="shared" si="165"/>
        <v>-1473.6457150609422</v>
      </c>
      <c r="I660" s="6">
        <f t="shared" si="166"/>
        <v>-6.6759023423501485E-2</v>
      </c>
    </row>
    <row r="661" spans="1:10" x14ac:dyDescent="0.25">
      <c r="A661" s="11" t="s">
        <v>80</v>
      </c>
      <c r="B661">
        <v>2008</v>
      </c>
      <c r="C661" s="9">
        <v>26000</v>
      </c>
      <c r="D661">
        <f t="shared" si="162"/>
        <v>-200</v>
      </c>
      <c r="E661" s="6">
        <f t="shared" si="163"/>
        <v>-7.6335877862595547E-3</v>
      </c>
      <c r="F661">
        <v>1.3206680584551149</v>
      </c>
      <c r="G661">
        <f t="shared" si="164"/>
        <v>19687.00600695542</v>
      </c>
      <c r="H661">
        <f t="shared" si="165"/>
        <v>-913.45361221726489</v>
      </c>
      <c r="I661" s="6">
        <f t="shared" si="166"/>
        <v>-4.4341419031598717E-2</v>
      </c>
    </row>
    <row r="662" spans="1:10" x14ac:dyDescent="0.25">
      <c r="A662" s="11" t="s">
        <v>80</v>
      </c>
      <c r="B662">
        <v>2009</v>
      </c>
      <c r="C662" s="9">
        <v>17800</v>
      </c>
      <c r="D662">
        <f t="shared" si="162"/>
        <v>-8200</v>
      </c>
      <c r="E662" s="6">
        <f t="shared" si="163"/>
        <v>-0.31538461538461537</v>
      </c>
      <c r="F662">
        <v>1.3160751565762003</v>
      </c>
      <c r="G662">
        <f t="shared" si="164"/>
        <v>13525.06345177665</v>
      </c>
      <c r="H662">
        <f t="shared" si="165"/>
        <v>-6161.9425551787699</v>
      </c>
      <c r="I662" s="6">
        <f t="shared" si="166"/>
        <v>-0.31299541194845759</v>
      </c>
    </row>
    <row r="663" spans="1:10" x14ac:dyDescent="0.25">
      <c r="A663" s="11" t="s">
        <v>80</v>
      </c>
      <c r="B663">
        <v>2010</v>
      </c>
      <c r="C663" s="9">
        <v>18600</v>
      </c>
      <c r="D663">
        <f t="shared" si="162"/>
        <v>800</v>
      </c>
      <c r="E663" s="6">
        <f t="shared" si="163"/>
        <v>4.4943820224719211E-2</v>
      </c>
      <c r="F663">
        <v>1.3377870563674321</v>
      </c>
      <c r="G663">
        <f t="shared" si="164"/>
        <v>13903.558052434457</v>
      </c>
      <c r="H663">
        <f t="shared" si="165"/>
        <v>378.49460065780659</v>
      </c>
      <c r="I663" s="6">
        <f t="shared" si="166"/>
        <v>2.7984682068762368E-2</v>
      </c>
    </row>
    <row r="664" spans="1:10" x14ac:dyDescent="0.25">
      <c r="A664" s="11" t="s">
        <v>80</v>
      </c>
      <c r="B664">
        <v>2011</v>
      </c>
      <c r="C664" s="9">
        <v>39700</v>
      </c>
      <c r="D664">
        <f t="shared" si="162"/>
        <v>21100</v>
      </c>
      <c r="E664" s="6">
        <f t="shared" si="163"/>
        <v>1.1344086021505375</v>
      </c>
      <c r="F664">
        <v>1.3799582463465554</v>
      </c>
      <c r="G664">
        <f t="shared" si="164"/>
        <v>28768.986384266263</v>
      </c>
      <c r="H664">
        <f t="shared" si="165"/>
        <v>14865.428331831807</v>
      </c>
      <c r="I664" s="6">
        <f t="shared" si="166"/>
        <v>1.0691815919184031</v>
      </c>
    </row>
    <row r="665" spans="1:10" x14ac:dyDescent="0.25">
      <c r="A665" s="11" t="s">
        <v>80</v>
      </c>
      <c r="B665">
        <v>2012</v>
      </c>
      <c r="C665" s="9">
        <v>44900</v>
      </c>
      <c r="D665">
        <f t="shared" si="162"/>
        <v>5200</v>
      </c>
      <c r="E665" s="6">
        <f t="shared" si="163"/>
        <v>0.1309823677581865</v>
      </c>
      <c r="F665">
        <v>1.4091858037578289</v>
      </c>
      <c r="G665">
        <f t="shared" si="164"/>
        <v>31862.370370370369</v>
      </c>
      <c r="H665">
        <f t="shared" si="165"/>
        <v>3093.3839861041051</v>
      </c>
      <c r="I665" s="6">
        <f t="shared" si="166"/>
        <v>0.1075249556861646</v>
      </c>
    </row>
    <row r="666" spans="1:10" x14ac:dyDescent="0.25">
      <c r="A666" s="11" t="s">
        <v>80</v>
      </c>
      <c r="B666">
        <v>2013</v>
      </c>
      <c r="C666" s="9">
        <v>36900</v>
      </c>
      <c r="D666">
        <f t="shared" si="162"/>
        <v>-8000</v>
      </c>
      <c r="E666" s="6">
        <f t="shared" si="163"/>
        <v>-0.17817371937639204</v>
      </c>
      <c r="F666">
        <v>1.4300626304801669</v>
      </c>
      <c r="G666">
        <f t="shared" si="164"/>
        <v>25803.065693430657</v>
      </c>
      <c r="H666">
        <f t="shared" si="165"/>
        <v>-6059.3046769397115</v>
      </c>
      <c r="I666" s="6">
        <f t="shared" si="166"/>
        <v>-0.19017118332710159</v>
      </c>
      <c r="J666" s="11"/>
    </row>
    <row r="667" spans="1:10" x14ac:dyDescent="0.25">
      <c r="A667" s="11" t="s">
        <v>80</v>
      </c>
      <c r="B667">
        <v>2014</v>
      </c>
      <c r="C667" s="9">
        <v>35800</v>
      </c>
      <c r="D667">
        <f t="shared" si="162"/>
        <v>-1100</v>
      </c>
      <c r="E667" s="6">
        <f t="shared" si="163"/>
        <v>-2.9810298102981081E-2</v>
      </c>
      <c r="F667">
        <v>1.4542797494780795</v>
      </c>
      <c r="G667">
        <f t="shared" si="164"/>
        <v>24616.99684180304</v>
      </c>
      <c r="H667">
        <f t="shared" si="165"/>
        <v>-1186.0688516276168</v>
      </c>
      <c r="I667" s="6">
        <f t="shared" si="166"/>
        <v>-4.5966198967186456E-2</v>
      </c>
    </row>
    <row r="668" spans="1:10" x14ac:dyDescent="0.25">
      <c r="A668" s="12" t="s">
        <v>80</v>
      </c>
      <c r="B668" s="7">
        <v>2015</v>
      </c>
      <c r="C668" s="7">
        <v>29900</v>
      </c>
      <c r="D668" s="7">
        <f>C668-C667</f>
        <v>-5900</v>
      </c>
      <c r="E668" s="8">
        <f t="shared" si="163"/>
        <v>-0.16480446927374304</v>
      </c>
      <c r="F668" s="7">
        <v>1.4567849686847598</v>
      </c>
      <c r="G668" s="7">
        <f>C668/F668</f>
        <v>20524.648896531959</v>
      </c>
      <c r="H668" s="7">
        <f t="shared" si="165"/>
        <v>-4092.3479452710817</v>
      </c>
      <c r="I668" s="8">
        <f t="shared" si="166"/>
        <v>-0.16624074705659109</v>
      </c>
    </row>
    <row r="669" spans="1:10" x14ac:dyDescent="0.25">
      <c r="A669" s="11" t="s">
        <v>82</v>
      </c>
      <c r="B669">
        <v>1998</v>
      </c>
      <c r="C669" s="9">
        <v>500</v>
      </c>
      <c r="D669" t="s">
        <v>2</v>
      </c>
      <c r="E669" s="6" t="s">
        <v>2</v>
      </c>
      <c r="F669">
        <v>1</v>
      </c>
      <c r="G669">
        <f>C669</f>
        <v>500</v>
      </c>
      <c r="H669" t="s">
        <v>2</v>
      </c>
      <c r="I669" s="6" t="s">
        <v>2</v>
      </c>
      <c r="J669" t="s">
        <v>83</v>
      </c>
    </row>
    <row r="670" spans="1:10" x14ac:dyDescent="0.25">
      <c r="A670" s="11" t="s">
        <v>82</v>
      </c>
      <c r="B670">
        <v>1999</v>
      </c>
      <c r="C670" s="9">
        <v>1000</v>
      </c>
      <c r="D670">
        <f t="shared" ref="D670:D685" si="167">C670-C669</f>
        <v>500</v>
      </c>
      <c r="E670" s="6">
        <f>C670/C669-1</f>
        <v>1</v>
      </c>
      <c r="F670">
        <v>1.021294363256785</v>
      </c>
      <c r="G670">
        <f>C670/F670</f>
        <v>979.14963205233028</v>
      </c>
      <c r="H670">
        <f>G670-G669</f>
        <v>479.14963205233028</v>
      </c>
      <c r="I670" s="6">
        <f>G670/G669-1</f>
        <v>0.9582992641046606</v>
      </c>
    </row>
    <row r="671" spans="1:10" x14ac:dyDescent="0.25">
      <c r="A671" s="11" t="s">
        <v>82</v>
      </c>
      <c r="B671">
        <v>2000</v>
      </c>
      <c r="C671" s="9">
        <v>1009</v>
      </c>
      <c r="D671">
        <f t="shared" si="167"/>
        <v>9</v>
      </c>
      <c r="E671" s="6">
        <f t="shared" ref="E671:E686" si="168">C671/C670-1</f>
        <v>8.999999999999897E-3</v>
      </c>
      <c r="F671">
        <v>1.0559498956158664</v>
      </c>
      <c r="G671">
        <f t="shared" ref="G671:G685" si="169">C671/F671</f>
        <v>955.53776196124954</v>
      </c>
      <c r="H671">
        <f t="shared" ref="H671:H686" si="170">G671-G670</f>
        <v>-23.611870091080732</v>
      </c>
      <c r="I671" s="6">
        <f t="shared" ref="I671:I686" si="171">G671/G670-1</f>
        <v>-2.4114669829972235E-2</v>
      </c>
      <c r="J671" t="s">
        <v>13</v>
      </c>
    </row>
    <row r="672" spans="1:10" x14ac:dyDescent="0.25">
      <c r="A672" s="11" t="s">
        <v>82</v>
      </c>
      <c r="B672">
        <v>2001</v>
      </c>
      <c r="C672" s="9">
        <v>906</v>
      </c>
      <c r="D672">
        <f t="shared" si="167"/>
        <v>-103</v>
      </c>
      <c r="E672" s="6">
        <f t="shared" si="168"/>
        <v>-0.10208126858275524</v>
      </c>
      <c r="F672">
        <v>1.0860125260960336</v>
      </c>
      <c r="G672">
        <f t="shared" si="169"/>
        <v>834.24452133794682</v>
      </c>
      <c r="H672">
        <f t="shared" si="170"/>
        <v>-121.29324062330272</v>
      </c>
      <c r="I672" s="6">
        <f t="shared" si="171"/>
        <v>-0.12693715042129505</v>
      </c>
    </row>
    <row r="673" spans="1:10" x14ac:dyDescent="0.25">
      <c r="A673" s="11" t="s">
        <v>82</v>
      </c>
      <c r="B673">
        <v>2002</v>
      </c>
      <c r="C673" s="9">
        <f>800*2.20462</f>
        <v>1763.6959999999999</v>
      </c>
      <c r="D673">
        <f t="shared" si="167"/>
        <v>857.69599999999991</v>
      </c>
      <c r="E673" s="6">
        <f t="shared" si="168"/>
        <v>0.9466843267108167</v>
      </c>
      <c r="F673">
        <v>1.1031315240083506</v>
      </c>
      <c r="G673">
        <f t="shared" si="169"/>
        <v>1598.8084481453445</v>
      </c>
      <c r="H673">
        <f t="shared" si="170"/>
        <v>764.56392680739771</v>
      </c>
      <c r="I673" s="6">
        <f t="shared" si="171"/>
        <v>0.91647461535762131</v>
      </c>
      <c r="J673" t="s">
        <v>43</v>
      </c>
    </row>
    <row r="674" spans="1:10" x14ac:dyDescent="0.25">
      <c r="A674" s="11" t="s">
        <v>82</v>
      </c>
      <c r="B674">
        <v>2003</v>
      </c>
      <c r="C674" s="9">
        <v>1325</v>
      </c>
      <c r="D674">
        <f t="shared" si="167"/>
        <v>-438.69599999999991</v>
      </c>
      <c r="E674" s="6">
        <f t="shared" si="168"/>
        <v>-0.24873674374722166</v>
      </c>
      <c r="F674">
        <v>1.1281837160751564</v>
      </c>
      <c r="G674">
        <f t="shared" si="169"/>
        <v>1174.4541080680979</v>
      </c>
      <c r="H674">
        <f t="shared" si="170"/>
        <v>-424.35434007724666</v>
      </c>
      <c r="I674" s="6">
        <f t="shared" si="171"/>
        <v>-0.26541912545527746</v>
      </c>
    </row>
    <row r="675" spans="1:10" x14ac:dyDescent="0.25">
      <c r="A675" s="11" t="s">
        <v>82</v>
      </c>
      <c r="B675">
        <v>2004</v>
      </c>
      <c r="C675" s="9">
        <v>1350</v>
      </c>
      <c r="D675">
        <f t="shared" si="167"/>
        <v>25</v>
      </c>
      <c r="E675" s="6">
        <f t="shared" si="168"/>
        <v>1.8867924528301883E-2</v>
      </c>
      <c r="F675">
        <v>1.1586638830897704</v>
      </c>
      <c r="G675">
        <f t="shared" si="169"/>
        <v>1165.135135135135</v>
      </c>
      <c r="H675">
        <f t="shared" si="170"/>
        <v>-9.318972932962879</v>
      </c>
      <c r="I675" s="6">
        <f t="shared" si="171"/>
        <v>-7.9347271800104258E-3</v>
      </c>
    </row>
    <row r="676" spans="1:10" x14ac:dyDescent="0.25">
      <c r="A676" s="11" t="s">
        <v>82</v>
      </c>
      <c r="B676">
        <v>2005</v>
      </c>
      <c r="C676" s="9">
        <v>1475</v>
      </c>
      <c r="D676">
        <f t="shared" si="167"/>
        <v>125</v>
      </c>
      <c r="E676" s="6">
        <f t="shared" si="168"/>
        <v>9.259259259259256E-2</v>
      </c>
      <c r="F676">
        <v>1.1979123173277662</v>
      </c>
      <c r="G676">
        <f t="shared" si="169"/>
        <v>1231.3088184036251</v>
      </c>
      <c r="H676">
        <f t="shared" si="170"/>
        <v>66.173683268490095</v>
      </c>
      <c r="I676" s="6">
        <f t="shared" si="171"/>
        <v>5.6794856899423207E-2</v>
      </c>
    </row>
    <row r="677" spans="1:10" x14ac:dyDescent="0.25">
      <c r="A677" s="11" t="s">
        <v>82</v>
      </c>
      <c r="B677">
        <v>2006</v>
      </c>
      <c r="C677" s="9">
        <v>4330</v>
      </c>
      <c r="D677">
        <f t="shared" si="167"/>
        <v>2855</v>
      </c>
      <c r="E677" s="6">
        <f t="shared" si="168"/>
        <v>1.935593220338983</v>
      </c>
      <c r="F677">
        <v>1.2367432150313151</v>
      </c>
      <c r="G677">
        <f t="shared" si="169"/>
        <v>3501.1309925725864</v>
      </c>
      <c r="H677">
        <f t="shared" si="170"/>
        <v>2269.8221741689613</v>
      </c>
      <c r="I677" s="6">
        <f t="shared" si="171"/>
        <v>1.8434223325970769</v>
      </c>
    </row>
    <row r="678" spans="1:10" x14ac:dyDescent="0.25">
      <c r="A678" s="11" t="s">
        <v>82</v>
      </c>
      <c r="B678">
        <v>2007</v>
      </c>
      <c r="C678" s="9">
        <v>8410</v>
      </c>
      <c r="D678">
        <f t="shared" si="167"/>
        <v>4080</v>
      </c>
      <c r="E678" s="6">
        <f t="shared" si="168"/>
        <v>0.94226327944572752</v>
      </c>
      <c r="F678">
        <v>1.2718162839248435</v>
      </c>
      <c r="G678">
        <f t="shared" si="169"/>
        <v>6612.5902823374918</v>
      </c>
      <c r="H678">
        <f t="shared" si="170"/>
        <v>3111.4592897649054</v>
      </c>
      <c r="I678" s="6">
        <f t="shared" si="171"/>
        <v>0.88870119294755234</v>
      </c>
    </row>
    <row r="679" spans="1:10" x14ac:dyDescent="0.25">
      <c r="A679" s="11" t="s">
        <v>82</v>
      </c>
      <c r="B679">
        <v>2008</v>
      </c>
      <c r="C679" s="9">
        <v>10500</v>
      </c>
      <c r="D679">
        <f t="shared" si="167"/>
        <v>2090</v>
      </c>
      <c r="E679" s="6">
        <f t="shared" si="168"/>
        <v>0.24851367419738413</v>
      </c>
      <c r="F679">
        <v>1.3206680584551149</v>
      </c>
      <c r="G679">
        <f t="shared" si="169"/>
        <v>7950.5216566550735</v>
      </c>
      <c r="H679">
        <f t="shared" si="170"/>
        <v>1337.9313743175817</v>
      </c>
      <c r="I679" s="6">
        <f t="shared" si="171"/>
        <v>0.20233090471237158</v>
      </c>
    </row>
    <row r="680" spans="1:10" x14ac:dyDescent="0.25">
      <c r="A680" s="11" t="s">
        <v>82</v>
      </c>
      <c r="B680">
        <v>2009</v>
      </c>
      <c r="C680" s="9">
        <v>6700</v>
      </c>
      <c r="D680">
        <f t="shared" si="167"/>
        <v>-3800</v>
      </c>
      <c r="E680" s="6">
        <f t="shared" si="168"/>
        <v>-0.36190476190476195</v>
      </c>
      <c r="F680">
        <v>1.3160751565762003</v>
      </c>
      <c r="G680">
        <f t="shared" si="169"/>
        <v>5090.8946700507613</v>
      </c>
      <c r="H680">
        <f t="shared" si="170"/>
        <v>-2859.6269866043122</v>
      </c>
      <c r="I680" s="6">
        <f t="shared" si="171"/>
        <v>-0.35967790669567312</v>
      </c>
    </row>
    <row r="681" spans="1:10" x14ac:dyDescent="0.25">
      <c r="A681" s="11" t="s">
        <v>82</v>
      </c>
      <c r="B681">
        <v>2010</v>
      </c>
      <c r="C681" s="9">
        <v>4720</v>
      </c>
      <c r="D681">
        <f t="shared" si="167"/>
        <v>-1980</v>
      </c>
      <c r="E681" s="6">
        <f t="shared" si="168"/>
        <v>-0.29552238805970155</v>
      </c>
      <c r="F681">
        <v>1.3377870563674321</v>
      </c>
      <c r="G681">
        <f t="shared" si="169"/>
        <v>3528.2147315855182</v>
      </c>
      <c r="H681">
        <f t="shared" si="170"/>
        <v>-1562.6799384652431</v>
      </c>
      <c r="I681" s="6">
        <f t="shared" si="171"/>
        <v>-0.30695585741703468</v>
      </c>
    </row>
    <row r="682" spans="1:10" x14ac:dyDescent="0.25">
      <c r="A682" s="11" t="s">
        <v>82</v>
      </c>
      <c r="B682">
        <v>2011</v>
      </c>
      <c r="C682" s="9">
        <v>4720</v>
      </c>
      <c r="D682">
        <f t="shared" si="167"/>
        <v>0</v>
      </c>
      <c r="E682" s="6">
        <f t="shared" si="168"/>
        <v>0</v>
      </c>
      <c r="F682">
        <v>1.3799582463465554</v>
      </c>
      <c r="G682">
        <f t="shared" si="169"/>
        <v>3420.3933434190617</v>
      </c>
      <c r="H682">
        <f t="shared" si="170"/>
        <v>-107.82138816645647</v>
      </c>
      <c r="I682" s="6">
        <f t="shared" si="171"/>
        <v>-3.0559757942511423E-2</v>
      </c>
    </row>
    <row r="683" spans="1:10" x14ac:dyDescent="0.25">
      <c r="A683" s="11" t="s">
        <v>82</v>
      </c>
      <c r="B683">
        <v>2012</v>
      </c>
      <c r="C683" s="9">
        <v>4040</v>
      </c>
      <c r="D683">
        <f t="shared" si="167"/>
        <v>-680</v>
      </c>
      <c r="E683" s="6">
        <f t="shared" si="168"/>
        <v>-0.14406779661016944</v>
      </c>
      <c r="F683">
        <v>1.4091858037578289</v>
      </c>
      <c r="G683">
        <f t="shared" si="169"/>
        <v>2866.9037037037037</v>
      </c>
      <c r="H683">
        <f t="shared" si="170"/>
        <v>-553.48963971535795</v>
      </c>
      <c r="I683" s="6">
        <f t="shared" si="171"/>
        <v>-0.1618204645323289</v>
      </c>
    </row>
    <row r="684" spans="1:10" x14ac:dyDescent="0.25">
      <c r="A684" s="11" t="s">
        <v>82</v>
      </c>
      <c r="B684">
        <v>2013</v>
      </c>
      <c r="C684" s="9">
        <v>3160</v>
      </c>
      <c r="D684">
        <f t="shared" si="167"/>
        <v>-880</v>
      </c>
      <c r="E684" s="6">
        <f t="shared" si="168"/>
        <v>-0.21782178217821779</v>
      </c>
      <c r="F684">
        <v>1.4300626304801669</v>
      </c>
      <c r="G684">
        <f t="shared" si="169"/>
        <v>2209.6934306569347</v>
      </c>
      <c r="H684">
        <f t="shared" si="170"/>
        <v>-657.21027304676909</v>
      </c>
      <c r="I684" s="6">
        <f t="shared" si="171"/>
        <v>-0.22924044229240437</v>
      </c>
      <c r="J684" s="11"/>
    </row>
    <row r="685" spans="1:10" x14ac:dyDescent="0.25">
      <c r="A685" s="11" t="s">
        <v>82</v>
      </c>
      <c r="B685">
        <v>2014</v>
      </c>
      <c r="C685" s="9">
        <v>3000</v>
      </c>
      <c r="D685">
        <f t="shared" si="167"/>
        <v>-160</v>
      </c>
      <c r="E685" s="6">
        <f t="shared" si="168"/>
        <v>-5.0632911392405111E-2</v>
      </c>
      <c r="F685">
        <v>1.4542797494780795</v>
      </c>
      <c r="G685">
        <f t="shared" si="169"/>
        <v>2062.8768303186907</v>
      </c>
      <c r="H685">
        <f t="shared" si="170"/>
        <v>-146.81660033824392</v>
      </c>
      <c r="I685" s="6">
        <f t="shared" si="171"/>
        <v>-6.6442067619577383E-2</v>
      </c>
    </row>
    <row r="686" spans="1:10" x14ac:dyDescent="0.25">
      <c r="A686" s="12" t="s">
        <v>82</v>
      </c>
      <c r="B686" s="7">
        <v>2015</v>
      </c>
      <c r="C686" s="7">
        <v>2700</v>
      </c>
      <c r="D686" s="7">
        <f>C686-C685</f>
        <v>-300</v>
      </c>
      <c r="E686" s="8">
        <f t="shared" si="168"/>
        <v>-9.9999999999999978E-2</v>
      </c>
      <c r="F686" s="7">
        <v>1.4567849686847598</v>
      </c>
      <c r="G686" s="7">
        <f>C686/F686</f>
        <v>1853.396388650043</v>
      </c>
      <c r="H686" s="7">
        <f t="shared" si="170"/>
        <v>-209.4804416686477</v>
      </c>
      <c r="I686" s="8">
        <f t="shared" si="171"/>
        <v>-0.10154772141014612</v>
      </c>
    </row>
    <row r="687" spans="1:10" x14ac:dyDescent="0.25">
      <c r="A687" s="11" t="s">
        <v>84</v>
      </c>
      <c r="B687">
        <v>1998</v>
      </c>
      <c r="C687" s="9">
        <f>295*32.1507</f>
        <v>9484.4565000000002</v>
      </c>
      <c r="D687" t="s">
        <v>2</v>
      </c>
      <c r="E687" s="6" t="s">
        <v>2</v>
      </c>
      <c r="F687">
        <v>1</v>
      </c>
      <c r="G687">
        <f>C687</f>
        <v>9484.4565000000002</v>
      </c>
      <c r="H687" t="s">
        <v>2</v>
      </c>
      <c r="I687" s="6" t="s">
        <v>2</v>
      </c>
      <c r="J687" t="s">
        <v>85</v>
      </c>
    </row>
    <row r="688" spans="1:10" x14ac:dyDescent="0.25">
      <c r="A688" s="11" t="s">
        <v>84</v>
      </c>
      <c r="B688">
        <v>1999</v>
      </c>
      <c r="C688" s="9">
        <f>280*32.1507</f>
        <v>9002.1959999999999</v>
      </c>
      <c r="D688">
        <f t="shared" ref="D688:D703" si="172">C688-C687</f>
        <v>-482.26050000000032</v>
      </c>
      <c r="E688" s="6">
        <f>C688/C687-1</f>
        <v>-5.0847457627118731E-2</v>
      </c>
      <c r="F688">
        <v>1.021294363256785</v>
      </c>
      <c r="G688">
        <f>C688/F688</f>
        <v>8814.4969010629593</v>
      </c>
      <c r="H688">
        <f>G688-G687</f>
        <v>-669.95959893704094</v>
      </c>
      <c r="I688" s="6">
        <f>G688/G687-1</f>
        <v>-7.0637637374059481E-2</v>
      </c>
    </row>
    <row r="689" spans="1:10" x14ac:dyDescent="0.25">
      <c r="A689" s="11" t="s">
        <v>84</v>
      </c>
      <c r="B689">
        <v>2000</v>
      </c>
      <c r="C689" s="9">
        <f>280*32.1507</f>
        <v>9002.1959999999999</v>
      </c>
      <c r="D689">
        <f t="shared" si="172"/>
        <v>0</v>
      </c>
      <c r="E689" s="6">
        <f t="shared" ref="E689:E704" si="173">C689/C688-1</f>
        <v>0</v>
      </c>
      <c r="F689">
        <v>1.0559498956158664</v>
      </c>
      <c r="G689">
        <f t="shared" ref="G689:G703" si="174">C689/F689</f>
        <v>8525.2113167259795</v>
      </c>
      <c r="H689">
        <f t="shared" ref="H689:H704" si="175">G689-G688</f>
        <v>-289.28558433697981</v>
      </c>
      <c r="I689" s="6">
        <f t="shared" ref="I689:I704" si="176">G689/G688-1</f>
        <v>-3.2819296164491751E-2</v>
      </c>
      <c r="J689" t="s">
        <v>13</v>
      </c>
    </row>
    <row r="690" spans="1:10" x14ac:dyDescent="0.25">
      <c r="A690" s="11" t="s">
        <v>84</v>
      </c>
      <c r="B690">
        <v>2001</v>
      </c>
      <c r="C690" s="9">
        <f>272*32.1507</f>
        <v>8744.9904000000006</v>
      </c>
      <c r="D690">
        <f t="shared" si="172"/>
        <v>-257.20559999999932</v>
      </c>
      <c r="E690" s="6">
        <f t="shared" si="173"/>
        <v>-2.857142857142847E-2</v>
      </c>
      <c r="F690">
        <v>1.0860125260960336</v>
      </c>
      <c r="G690">
        <f t="shared" si="174"/>
        <v>8052.3844705882348</v>
      </c>
      <c r="H690">
        <f t="shared" si="175"/>
        <v>-472.82684613774472</v>
      </c>
      <c r="I690" s="6">
        <f t="shared" si="176"/>
        <v>-5.5462184873949716E-2</v>
      </c>
    </row>
    <row r="691" spans="1:10" x14ac:dyDescent="0.25">
      <c r="A691" s="11" t="s">
        <v>84</v>
      </c>
      <c r="B691">
        <v>2002</v>
      </c>
      <c r="C691" s="9">
        <f>311*32.1507</f>
        <v>9998.8677000000007</v>
      </c>
      <c r="D691">
        <f t="shared" si="172"/>
        <v>1253.8773000000001</v>
      </c>
      <c r="E691" s="6">
        <f t="shared" si="173"/>
        <v>0.14338235294117641</v>
      </c>
      <c r="F691">
        <v>1.1031315240083506</v>
      </c>
      <c r="G691">
        <f t="shared" si="174"/>
        <v>9064.0757537850131</v>
      </c>
      <c r="H691">
        <f t="shared" si="175"/>
        <v>1011.6912831967784</v>
      </c>
      <c r="I691" s="6">
        <f t="shared" si="176"/>
        <v>0.12563872066616222</v>
      </c>
      <c r="J691" t="s">
        <v>43</v>
      </c>
    </row>
    <row r="692" spans="1:10" x14ac:dyDescent="0.25">
      <c r="A692" s="11" t="s">
        <v>84</v>
      </c>
      <c r="B692">
        <v>2003</v>
      </c>
      <c r="C692" s="9">
        <f>365*32.1507</f>
        <v>11735.005499999999</v>
      </c>
      <c r="D692">
        <f t="shared" si="172"/>
        <v>1736.1377999999986</v>
      </c>
      <c r="E692" s="6">
        <f t="shared" si="173"/>
        <v>0.17363344051446927</v>
      </c>
      <c r="F692">
        <v>1.1281837160751564</v>
      </c>
      <c r="G692">
        <f t="shared" si="174"/>
        <v>10401.679560510733</v>
      </c>
      <c r="H692">
        <f t="shared" si="175"/>
        <v>1337.6038067257196</v>
      </c>
      <c r="I692" s="6">
        <f t="shared" si="176"/>
        <v>0.14757200216107602</v>
      </c>
    </row>
    <row r="693" spans="1:10" x14ac:dyDescent="0.25">
      <c r="A693" s="11" t="s">
        <v>84</v>
      </c>
      <c r="B693">
        <v>2004</v>
      </c>
      <c r="C693" s="9">
        <f>411*32.1507</f>
        <v>13213.9377</v>
      </c>
      <c r="D693">
        <f t="shared" si="172"/>
        <v>1478.9322000000011</v>
      </c>
      <c r="E693" s="6">
        <f t="shared" si="173"/>
        <v>0.12602739726027412</v>
      </c>
      <c r="F693">
        <v>1.1586638830897704</v>
      </c>
      <c r="G693">
        <f t="shared" si="174"/>
        <v>11404.461546486486</v>
      </c>
      <c r="H693">
        <f t="shared" si="175"/>
        <v>1002.7819859757528</v>
      </c>
      <c r="I693" s="6">
        <f t="shared" si="176"/>
        <v>9.6405775638652269E-2</v>
      </c>
    </row>
    <row r="694" spans="1:10" x14ac:dyDescent="0.25">
      <c r="A694" s="11" t="s">
        <v>84</v>
      </c>
      <c r="B694">
        <v>2005</v>
      </c>
      <c r="C694" s="9">
        <f>446.2*32.1507</f>
        <v>14345.64234</v>
      </c>
      <c r="D694">
        <f t="shared" si="172"/>
        <v>1131.7046399999999</v>
      </c>
      <c r="E694" s="6">
        <f t="shared" si="173"/>
        <v>8.5644768856447673E-2</v>
      </c>
      <c r="F694">
        <v>1.1979123173277662</v>
      </c>
      <c r="G694">
        <f t="shared" si="174"/>
        <v>11975.536216207738</v>
      </c>
      <c r="H694">
        <f t="shared" si="175"/>
        <v>571.07466972125258</v>
      </c>
      <c r="I694" s="6">
        <f t="shared" si="176"/>
        <v>5.0074671863590936E-2</v>
      </c>
    </row>
    <row r="695" spans="1:10" x14ac:dyDescent="0.25">
      <c r="A695" s="11" t="s">
        <v>84</v>
      </c>
      <c r="B695">
        <v>2006</v>
      </c>
      <c r="C695" s="9">
        <f>605.83*32.1507</f>
        <v>19477.858581</v>
      </c>
      <c r="D695">
        <f t="shared" si="172"/>
        <v>5132.2162410000001</v>
      </c>
      <c r="E695" s="6">
        <f t="shared" si="173"/>
        <v>0.35775437023756163</v>
      </c>
      <c r="F695">
        <v>1.2367432150313151</v>
      </c>
      <c r="G695">
        <f t="shared" si="174"/>
        <v>15749.315091659353</v>
      </c>
      <c r="H695">
        <f t="shared" si="175"/>
        <v>3773.778875451615</v>
      </c>
      <c r="I695" s="6">
        <f t="shared" si="176"/>
        <v>0.31512400007142616</v>
      </c>
    </row>
    <row r="696" spans="1:10" x14ac:dyDescent="0.25">
      <c r="A696" s="11" t="s">
        <v>84</v>
      </c>
      <c r="B696">
        <v>2007</v>
      </c>
      <c r="C696" s="9">
        <f>698.95*32.1507</f>
        <v>22471.731765</v>
      </c>
      <c r="D696">
        <f t="shared" si="172"/>
        <v>2993.873184</v>
      </c>
      <c r="E696" s="6">
        <f t="shared" si="173"/>
        <v>0.15370648531766329</v>
      </c>
      <c r="F696">
        <v>1.2718162839248435</v>
      </c>
      <c r="G696">
        <f t="shared" si="174"/>
        <v>17669.007740372621</v>
      </c>
      <c r="H696">
        <f t="shared" si="175"/>
        <v>1919.6926487132678</v>
      </c>
      <c r="I696" s="6">
        <f t="shared" si="176"/>
        <v>0.1218905480994481</v>
      </c>
    </row>
    <row r="697" spans="1:10" x14ac:dyDescent="0.25">
      <c r="A697" s="11" t="s">
        <v>84</v>
      </c>
      <c r="B697">
        <v>2008</v>
      </c>
      <c r="C697" s="9">
        <f>873.5*32.1507</f>
        <v>28083.636450000002</v>
      </c>
      <c r="D697">
        <f t="shared" si="172"/>
        <v>5611.9046850000013</v>
      </c>
      <c r="E697" s="6">
        <f t="shared" si="173"/>
        <v>0.24973174046784474</v>
      </c>
      <c r="F697">
        <v>1.3206680584551149</v>
      </c>
      <c r="G697">
        <f t="shared" si="174"/>
        <v>21264.719980319318</v>
      </c>
      <c r="H697">
        <f t="shared" si="175"/>
        <v>3595.7122399466971</v>
      </c>
      <c r="I697" s="6">
        <f t="shared" si="176"/>
        <v>0.20350391446887595</v>
      </c>
    </row>
    <row r="698" spans="1:10" x14ac:dyDescent="0.25">
      <c r="A698" s="11" t="s">
        <v>84</v>
      </c>
      <c r="B698">
        <v>2009</v>
      </c>
      <c r="C698" s="9">
        <f>974.68*32.1507</f>
        <v>31336.644275999999</v>
      </c>
      <c r="D698">
        <f t="shared" si="172"/>
        <v>3253.0078259999973</v>
      </c>
      <c r="E698" s="6">
        <f t="shared" si="173"/>
        <v>0.11583285632512874</v>
      </c>
      <c r="F698">
        <v>1.3160751565762003</v>
      </c>
      <c r="G698">
        <f t="shared" si="174"/>
        <v>23810.679898800761</v>
      </c>
      <c r="H698">
        <f t="shared" si="175"/>
        <v>2545.9599184814433</v>
      </c>
      <c r="I698" s="6">
        <f t="shared" si="176"/>
        <v>0.11972694306991816</v>
      </c>
    </row>
    <row r="699" spans="1:10" x14ac:dyDescent="0.25">
      <c r="A699" s="11" t="s">
        <v>84</v>
      </c>
      <c r="B699">
        <v>2010</v>
      </c>
      <c r="C699" s="9">
        <f>1227.51*32.1507</f>
        <v>39465.305757000002</v>
      </c>
      <c r="D699">
        <f t="shared" si="172"/>
        <v>8128.6614810000028</v>
      </c>
      <c r="E699" s="6">
        <f t="shared" si="173"/>
        <v>0.25939795625230855</v>
      </c>
      <c r="F699">
        <v>1.3377870563674321</v>
      </c>
      <c r="G699">
        <f t="shared" si="174"/>
        <v>29500.439228469102</v>
      </c>
      <c r="H699">
        <f t="shared" si="175"/>
        <v>5689.7593296683408</v>
      </c>
      <c r="I699" s="6">
        <f t="shared" si="176"/>
        <v>0.23895828904721483</v>
      </c>
    </row>
    <row r="700" spans="1:10" x14ac:dyDescent="0.25">
      <c r="A700" s="11" t="s">
        <v>84</v>
      </c>
      <c r="B700">
        <v>2011</v>
      </c>
      <c r="C700" s="9">
        <f>1572.82*32.1507</f>
        <v>50567.263974000001</v>
      </c>
      <c r="D700">
        <f t="shared" si="172"/>
        <v>11101.958216999999</v>
      </c>
      <c r="E700" s="6">
        <f t="shared" si="173"/>
        <v>0.28130931723570485</v>
      </c>
      <c r="F700">
        <v>1.3799582463465554</v>
      </c>
      <c r="G700">
        <f t="shared" si="174"/>
        <v>36644.053621098334</v>
      </c>
      <c r="H700">
        <f t="shared" si="175"/>
        <v>7143.6143926292316</v>
      </c>
      <c r="I700" s="6">
        <f t="shared" si="176"/>
        <v>0.24215281465149707</v>
      </c>
    </row>
    <row r="701" spans="1:10" x14ac:dyDescent="0.25">
      <c r="A701" s="11" t="s">
        <v>84</v>
      </c>
      <c r="B701">
        <v>2012</v>
      </c>
      <c r="C701" s="9">
        <f>1672.75*32.1507</f>
        <v>53780.083425000004</v>
      </c>
      <c r="D701">
        <f t="shared" si="172"/>
        <v>3212.819451000003</v>
      </c>
      <c r="E701" s="6">
        <f t="shared" si="173"/>
        <v>6.3535560331124952E-2</v>
      </c>
      <c r="F701">
        <v>1.4091858037578289</v>
      </c>
      <c r="G701">
        <f t="shared" si="174"/>
        <v>38163.940682333334</v>
      </c>
      <c r="H701">
        <f t="shared" si="175"/>
        <v>1519.8870612350001</v>
      </c>
      <c r="I701" s="6">
        <f t="shared" si="176"/>
        <v>4.1477045005738677E-2</v>
      </c>
    </row>
    <row r="702" spans="1:10" x14ac:dyDescent="0.25">
      <c r="A702" s="11" t="s">
        <v>84</v>
      </c>
      <c r="B702">
        <v>2013</v>
      </c>
      <c r="C702" s="9">
        <f>1414.8*32.1507</f>
        <v>45486.810359999996</v>
      </c>
      <c r="D702">
        <f t="shared" si="172"/>
        <v>-8293.2730650000085</v>
      </c>
      <c r="E702" s="6">
        <f t="shared" si="173"/>
        <v>-0.15420714392467505</v>
      </c>
      <c r="F702">
        <v>1.4300626304801669</v>
      </c>
      <c r="G702">
        <f t="shared" si="174"/>
        <v>31807.565200642337</v>
      </c>
      <c r="H702">
        <f t="shared" si="175"/>
        <v>-6356.3754816909968</v>
      </c>
      <c r="I702" s="6">
        <f t="shared" si="176"/>
        <v>-0.16655448488927815</v>
      </c>
      <c r="J702" s="11"/>
    </row>
    <row r="703" spans="1:10" x14ac:dyDescent="0.25">
      <c r="A703" s="11" t="s">
        <v>84</v>
      </c>
      <c r="B703">
        <v>2014</v>
      </c>
      <c r="C703" s="9">
        <f>1269.45*32.1507</f>
        <v>40813.706115000001</v>
      </c>
      <c r="D703">
        <f t="shared" si="172"/>
        <v>-4673.104244999995</v>
      </c>
      <c r="E703" s="6">
        <f t="shared" si="173"/>
        <v>-0.10273536895674296</v>
      </c>
      <c r="F703">
        <v>1.4542797494780795</v>
      </c>
      <c r="G703">
        <f t="shared" si="174"/>
        <v>28064.549568023253</v>
      </c>
      <c r="H703">
        <f t="shared" si="175"/>
        <v>-3743.0156326190845</v>
      </c>
      <c r="I703" s="6">
        <f t="shared" si="176"/>
        <v>-0.11767689884491683</v>
      </c>
    </row>
    <row r="704" spans="1:10" x14ac:dyDescent="0.25">
      <c r="A704" s="12" t="s">
        <v>84</v>
      </c>
      <c r="B704" s="7">
        <v>2015</v>
      </c>
      <c r="C704" s="7">
        <f>1163.33*32.1507</f>
        <v>37401.873830999997</v>
      </c>
      <c r="D704" s="7">
        <f>C704-C703</f>
        <v>-3411.8322840000037</v>
      </c>
      <c r="E704" s="8">
        <f t="shared" si="173"/>
        <v>-8.3595257788806276E-2</v>
      </c>
      <c r="F704" s="7">
        <v>1.4567849686847598</v>
      </c>
      <c r="G704" s="7">
        <f>C704/F704</f>
        <v>25674.258476711093</v>
      </c>
      <c r="H704" s="7">
        <f t="shared" si="175"/>
        <v>-2390.2910913121596</v>
      </c>
      <c r="I704" s="8">
        <f t="shared" si="176"/>
        <v>-8.5171190277561259E-2</v>
      </c>
    </row>
    <row r="705" spans="1:10" x14ac:dyDescent="0.25">
      <c r="A705" s="11" t="s">
        <v>86</v>
      </c>
      <c r="B705">
        <v>1998</v>
      </c>
      <c r="C705" s="9">
        <f>139.84/34.473</f>
        <v>4.0565079917616691</v>
      </c>
      <c r="D705" t="s">
        <v>2</v>
      </c>
      <c r="E705" s="6" t="s">
        <v>2</v>
      </c>
      <c r="F705">
        <v>1</v>
      </c>
      <c r="G705">
        <f>C705</f>
        <v>4.0565079917616691</v>
      </c>
      <c r="H705" t="s">
        <v>2</v>
      </c>
      <c r="I705" s="6" t="s">
        <v>2</v>
      </c>
      <c r="J705" t="s">
        <v>89</v>
      </c>
    </row>
    <row r="706" spans="1:10" x14ac:dyDescent="0.25">
      <c r="A706" s="11" t="s">
        <v>86</v>
      </c>
      <c r="B706">
        <v>1999</v>
      </c>
      <c r="C706" s="9">
        <f>140/34.473</f>
        <v>4.0611493052533865</v>
      </c>
      <c r="D706">
        <f t="shared" ref="D706:D721" si="177">C706-C705</f>
        <v>4.6413134917173693E-3</v>
      </c>
      <c r="E706" s="6">
        <f>C706/C705-1</f>
        <v>1.1441647597252302E-3</v>
      </c>
      <c r="F706">
        <v>1.021294363256785</v>
      </c>
      <c r="G706">
        <f>C706/F706</f>
        <v>3.9764728479484299</v>
      </c>
      <c r="H706">
        <f>G706-G705</f>
        <v>-8.0035143813239173E-2</v>
      </c>
      <c r="I706" s="6">
        <f>G706/G705-1</f>
        <v>-1.9730059444177606E-2</v>
      </c>
    </row>
    <row r="707" spans="1:10" x14ac:dyDescent="0.25">
      <c r="A707" s="11" t="s">
        <v>86</v>
      </c>
      <c r="B707">
        <v>2000</v>
      </c>
      <c r="C707" s="9">
        <f>155/34.473</f>
        <v>4.4962724451019636</v>
      </c>
      <c r="D707">
        <f t="shared" si="177"/>
        <v>0.43512313984857709</v>
      </c>
      <c r="E707" s="6">
        <f t="shared" ref="E707:E722" si="178">C707/C706-1</f>
        <v>0.10714285714285721</v>
      </c>
      <c r="F707">
        <v>1.0559498956158664</v>
      </c>
      <c r="G707">
        <f t="shared" ref="G707:G721" si="179">C707/F707</f>
        <v>4.2580357872752881</v>
      </c>
      <c r="H707">
        <f t="shared" ref="H707:H722" si="180">G707-G706</f>
        <v>0.28156293932685816</v>
      </c>
      <c r="I707" s="6">
        <f t="shared" ref="I707:I722" si="181">G707/G706-1</f>
        <v>7.0807207817884077E-2</v>
      </c>
      <c r="J707" t="s">
        <v>13</v>
      </c>
    </row>
    <row r="708" spans="1:10" x14ac:dyDescent="0.25">
      <c r="A708" s="11" t="s">
        <v>86</v>
      </c>
      <c r="B708">
        <v>2001</v>
      </c>
      <c r="C708" s="9">
        <f>155/34.473</f>
        <v>4.4962724451019636</v>
      </c>
      <c r="D708">
        <f t="shared" si="177"/>
        <v>0</v>
      </c>
      <c r="E708" s="6">
        <f t="shared" si="178"/>
        <v>0</v>
      </c>
      <c r="F708">
        <v>1.0860125260960336</v>
      </c>
      <c r="G708">
        <f t="shared" si="179"/>
        <v>4.1401662845133416</v>
      </c>
      <c r="H708">
        <f t="shared" si="180"/>
        <v>-0.11786950276194652</v>
      </c>
      <c r="I708" s="6">
        <f t="shared" si="181"/>
        <v>-2.7681660899654181E-2</v>
      </c>
    </row>
    <row r="709" spans="1:10" x14ac:dyDescent="0.25">
      <c r="A709" s="11" t="s">
        <v>86</v>
      </c>
      <c r="B709">
        <v>2002</v>
      </c>
      <c r="C709" s="9">
        <f>140/34.473</f>
        <v>4.0611493052533865</v>
      </c>
      <c r="D709">
        <f t="shared" si="177"/>
        <v>-0.43512313984857709</v>
      </c>
      <c r="E709" s="6">
        <f t="shared" si="178"/>
        <v>-9.6774193548387122E-2</v>
      </c>
      <c r="F709">
        <v>1.1031315240083506</v>
      </c>
      <c r="G709">
        <f t="shared" si="179"/>
        <v>3.6814733482520294</v>
      </c>
      <c r="H709">
        <f t="shared" si="180"/>
        <v>-0.45869293626131213</v>
      </c>
      <c r="I709" s="6">
        <f t="shared" si="181"/>
        <v>-0.11079094527606137</v>
      </c>
      <c r="J709" t="s">
        <v>43</v>
      </c>
    </row>
    <row r="710" spans="1:10" x14ac:dyDescent="0.25">
      <c r="A710" s="11" t="s">
        <v>86</v>
      </c>
      <c r="B710">
        <v>2003</v>
      </c>
      <c r="C710" s="9">
        <f>140/34.473</f>
        <v>4.0611493052533865</v>
      </c>
      <c r="D710">
        <f t="shared" si="177"/>
        <v>0</v>
      </c>
      <c r="E710" s="6">
        <f t="shared" si="178"/>
        <v>0</v>
      </c>
      <c r="F710">
        <v>1.1281837160751564</v>
      </c>
      <c r="G710">
        <f t="shared" si="179"/>
        <v>3.5997233849303707</v>
      </c>
      <c r="H710">
        <f t="shared" si="180"/>
        <v>-8.1749963321658736E-2</v>
      </c>
      <c r="I710" s="6">
        <f t="shared" si="181"/>
        <v>-2.2205773501110304E-2</v>
      </c>
      <c r="J710" t="s">
        <v>87</v>
      </c>
    </row>
    <row r="711" spans="1:10" x14ac:dyDescent="0.25">
      <c r="A711" s="11" t="s">
        <v>86</v>
      </c>
      <c r="B711">
        <v>2004</v>
      </c>
      <c r="C711" s="9">
        <f>365/34.473</f>
        <v>10.587996402982045</v>
      </c>
      <c r="D711">
        <f t="shared" si="177"/>
        <v>6.5268470977286581</v>
      </c>
      <c r="E711" s="6">
        <f t="shared" si="178"/>
        <v>1.6071428571428577</v>
      </c>
      <c r="F711">
        <v>1.1586638830897704</v>
      </c>
      <c r="G711">
        <f t="shared" si="179"/>
        <v>9.1381086072583759</v>
      </c>
      <c r="H711">
        <f t="shared" si="180"/>
        <v>5.5383852223280048</v>
      </c>
      <c r="I711" s="6">
        <f t="shared" si="181"/>
        <v>1.5385585585585582</v>
      </c>
    </row>
    <row r="712" spans="1:10" x14ac:dyDescent="0.25">
      <c r="A712" s="11" t="s">
        <v>86</v>
      </c>
      <c r="B712">
        <v>2005</v>
      </c>
      <c r="C712" s="9">
        <f>555/34.473</f>
        <v>16.099556174397353</v>
      </c>
      <c r="D712">
        <f t="shared" si="177"/>
        <v>5.5115597714153086</v>
      </c>
      <c r="E712" s="6">
        <f t="shared" si="178"/>
        <v>0.52054794520547931</v>
      </c>
      <c r="F712">
        <v>1.1979123173277662</v>
      </c>
      <c r="G712">
        <f t="shared" si="179"/>
        <v>13.43967829825084</v>
      </c>
      <c r="H712">
        <f t="shared" si="180"/>
        <v>4.3015696909924639</v>
      </c>
      <c r="I712" s="6">
        <f t="shared" si="181"/>
        <v>0.47072866780941269</v>
      </c>
    </row>
    <row r="713" spans="1:10" x14ac:dyDescent="0.25">
      <c r="A713" s="11" t="s">
        <v>86</v>
      </c>
      <c r="B713">
        <v>2006</v>
      </c>
      <c r="C713" s="9">
        <f>670/34.473</f>
        <v>19.435500246569781</v>
      </c>
      <c r="D713">
        <f t="shared" si="177"/>
        <v>3.3359440721724276</v>
      </c>
      <c r="E713" s="6">
        <f t="shared" si="178"/>
        <v>0.20720720720720731</v>
      </c>
      <c r="F713">
        <v>1.2367432150313151</v>
      </c>
      <c r="G713">
        <f t="shared" si="179"/>
        <v>15.71506518924194</v>
      </c>
      <c r="H713">
        <f t="shared" si="180"/>
        <v>2.2753868909911006</v>
      </c>
      <c r="I713" s="6">
        <f t="shared" si="181"/>
        <v>0.16930367234216015</v>
      </c>
    </row>
    <row r="714" spans="1:10" x14ac:dyDescent="0.25">
      <c r="A714" s="11" t="s">
        <v>86</v>
      </c>
      <c r="B714">
        <v>2007</v>
      </c>
      <c r="C714" s="9">
        <f>530/34.473</f>
        <v>15.374350941316393</v>
      </c>
      <c r="D714">
        <f t="shared" si="177"/>
        <v>-4.0611493052533874</v>
      </c>
      <c r="E714" s="6">
        <f t="shared" si="178"/>
        <v>-0.20895522388059706</v>
      </c>
      <c r="F714">
        <v>1.2718162839248435</v>
      </c>
      <c r="G714">
        <f t="shared" si="179"/>
        <v>12.088499837312135</v>
      </c>
      <c r="H714">
        <f t="shared" si="180"/>
        <v>-3.6265653519298056</v>
      </c>
      <c r="I714" s="6">
        <f t="shared" si="181"/>
        <v>-0.23076998461402776</v>
      </c>
    </row>
    <row r="715" spans="1:10" x14ac:dyDescent="0.25">
      <c r="A715" s="11" t="s">
        <v>86</v>
      </c>
      <c r="B715">
        <v>2008</v>
      </c>
      <c r="C715" s="9">
        <f>600/34.473</f>
        <v>17.404925593943087</v>
      </c>
      <c r="D715">
        <f t="shared" si="177"/>
        <v>2.0305746526266937</v>
      </c>
      <c r="E715" s="6">
        <f t="shared" si="178"/>
        <v>0.13207547169811318</v>
      </c>
      <c r="F715">
        <v>1.3206680584551149</v>
      </c>
      <c r="G715">
        <f t="shared" si="179"/>
        <v>13.178879796868065</v>
      </c>
      <c r="H715">
        <f t="shared" si="180"/>
        <v>1.0903799595559303</v>
      </c>
      <c r="I715" s="6">
        <f t="shared" si="181"/>
        <v>9.0199774515476561E-2</v>
      </c>
    </row>
    <row r="716" spans="1:10" x14ac:dyDescent="0.25">
      <c r="A716" s="11" t="s">
        <v>86</v>
      </c>
      <c r="B716">
        <v>2009</v>
      </c>
      <c r="C716" s="9">
        <f>600/34.473</f>
        <v>17.404925593943087</v>
      </c>
      <c r="D716">
        <f t="shared" si="177"/>
        <v>0</v>
      </c>
      <c r="E716" s="6">
        <f t="shared" si="178"/>
        <v>0</v>
      </c>
      <c r="F716">
        <v>1.3160751565762003</v>
      </c>
      <c r="G716">
        <f t="shared" si="179"/>
        <v>13.224872080423127</v>
      </c>
      <c r="H716">
        <f t="shared" si="180"/>
        <v>4.599228355506213E-2</v>
      </c>
      <c r="I716" s="6">
        <f t="shared" si="181"/>
        <v>3.4898477157361274E-3</v>
      </c>
    </row>
    <row r="717" spans="1:10" x14ac:dyDescent="0.25">
      <c r="A717" s="11" t="s">
        <v>86</v>
      </c>
      <c r="B717">
        <v>2010</v>
      </c>
      <c r="C717" s="9">
        <f>1076/34.473</f>
        <v>31.212833231804602</v>
      </c>
      <c r="D717">
        <f t="shared" si="177"/>
        <v>13.807907637861515</v>
      </c>
      <c r="E717" s="6">
        <f t="shared" si="178"/>
        <v>0.79333333333333322</v>
      </c>
      <c r="F717">
        <v>1.3377870563674321</v>
      </c>
      <c r="G717">
        <f t="shared" si="179"/>
        <v>23.331690259104878</v>
      </c>
      <c r="H717">
        <f t="shared" si="180"/>
        <v>10.106818178681751</v>
      </c>
      <c r="I717" s="6">
        <f t="shared" si="181"/>
        <v>0.76422804827299218</v>
      </c>
    </row>
    <row r="718" spans="1:10" x14ac:dyDescent="0.25">
      <c r="A718" s="11" t="s">
        <v>86</v>
      </c>
      <c r="B718">
        <v>2011</v>
      </c>
      <c r="C718" s="9">
        <f>1850/34.473</f>
        <v>53.665187247991184</v>
      </c>
      <c r="D718">
        <f t="shared" si="177"/>
        <v>22.452354016186582</v>
      </c>
      <c r="E718" s="6">
        <f t="shared" si="178"/>
        <v>0.71933085501858729</v>
      </c>
      <c r="F718">
        <v>1.3799582463465554</v>
      </c>
      <c r="G718">
        <f t="shared" si="179"/>
        <v>38.888993482281052</v>
      </c>
      <c r="H718">
        <f t="shared" si="180"/>
        <v>15.557303223176174</v>
      </c>
      <c r="I718" s="6">
        <f t="shared" si="181"/>
        <v>0.66678852026612789</v>
      </c>
    </row>
    <row r="719" spans="1:10" x14ac:dyDescent="0.25">
      <c r="A719" s="11" t="s">
        <v>86</v>
      </c>
      <c r="B719">
        <v>2012</v>
      </c>
      <c r="C719" s="9">
        <f>1850/34.473</f>
        <v>53.665187247991184</v>
      </c>
      <c r="D719">
        <f t="shared" si="177"/>
        <v>0</v>
      </c>
      <c r="E719" s="6">
        <f t="shared" si="178"/>
        <v>0</v>
      </c>
      <c r="F719">
        <v>1.4091858037578289</v>
      </c>
      <c r="G719">
        <f t="shared" si="179"/>
        <v>38.082406950796702</v>
      </c>
      <c r="H719">
        <f t="shared" si="180"/>
        <v>-0.80658653148434922</v>
      </c>
      <c r="I719" s="6">
        <f t="shared" si="181"/>
        <v>-2.0740740740740726E-2</v>
      </c>
    </row>
    <row r="720" spans="1:10" x14ac:dyDescent="0.25">
      <c r="A720" s="11" t="s">
        <v>86</v>
      </c>
      <c r="B720">
        <v>2013</v>
      </c>
      <c r="C720" s="9">
        <f>1850/34.473</f>
        <v>53.665187247991184</v>
      </c>
      <c r="D720">
        <f t="shared" si="177"/>
        <v>0</v>
      </c>
      <c r="E720" s="6">
        <f t="shared" si="178"/>
        <v>0</v>
      </c>
      <c r="F720">
        <v>1.4300626304801669</v>
      </c>
      <c r="G720">
        <f t="shared" si="179"/>
        <v>37.526459404069747</v>
      </c>
      <c r="H720">
        <f t="shared" si="180"/>
        <v>-0.55594754672695501</v>
      </c>
      <c r="I720" s="6">
        <f t="shared" si="181"/>
        <v>-1.4598540145985273E-2</v>
      </c>
      <c r="J720" s="11"/>
    </row>
    <row r="721" spans="1:10" x14ac:dyDescent="0.25">
      <c r="A721" s="11" t="s">
        <v>86</v>
      </c>
      <c r="B721">
        <v>2014</v>
      </c>
      <c r="C721" s="9">
        <f>1850/34.473</f>
        <v>53.665187247991184</v>
      </c>
      <c r="D721">
        <f t="shared" si="177"/>
        <v>0</v>
      </c>
      <c r="E721" s="6">
        <f t="shared" si="178"/>
        <v>0</v>
      </c>
      <c r="F721">
        <v>1.4542797494780795</v>
      </c>
      <c r="G721">
        <f t="shared" si="179"/>
        <v>36.901557122865022</v>
      </c>
      <c r="H721">
        <f t="shared" si="180"/>
        <v>-0.6249022812047258</v>
      </c>
      <c r="I721" s="6">
        <f t="shared" si="181"/>
        <v>-1.6652311225954786E-2</v>
      </c>
    </row>
    <row r="722" spans="1:10" x14ac:dyDescent="0.25">
      <c r="A722" s="12" t="s">
        <v>86</v>
      </c>
      <c r="B722" s="7">
        <v>2015</v>
      </c>
      <c r="C722" s="7">
        <f>1850/34.473</f>
        <v>53.665187247991184</v>
      </c>
      <c r="D722" s="7">
        <f>C722-C721</f>
        <v>0</v>
      </c>
      <c r="E722" s="8">
        <f t="shared" si="178"/>
        <v>0</v>
      </c>
      <c r="F722" s="7">
        <v>1.4567849686847598</v>
      </c>
      <c r="G722" s="7">
        <f>C722/F722</f>
        <v>36.838097867279707</v>
      </c>
      <c r="H722" s="7">
        <f t="shared" si="180"/>
        <v>-6.3459255585314622E-2</v>
      </c>
      <c r="I722" s="8">
        <f t="shared" si="181"/>
        <v>-1.7196904557177373E-3</v>
      </c>
    </row>
    <row r="723" spans="1:10" x14ac:dyDescent="0.25">
      <c r="A723" s="11" t="s">
        <v>88</v>
      </c>
      <c r="B723">
        <v>1998</v>
      </c>
      <c r="C723" s="9">
        <f>0.4527*2.20462</f>
        <v>0.99803147399999992</v>
      </c>
      <c r="D723" t="s">
        <v>2</v>
      </c>
      <c r="E723" s="6" t="s">
        <v>2</v>
      </c>
      <c r="F723">
        <v>1</v>
      </c>
      <c r="G723">
        <f>C723</f>
        <v>0.99803147399999992</v>
      </c>
      <c r="H723" t="s">
        <v>2</v>
      </c>
      <c r="I723" s="6" t="s">
        <v>2</v>
      </c>
      <c r="J723" t="s">
        <v>90</v>
      </c>
    </row>
    <row r="724" spans="1:10" x14ac:dyDescent="0.25">
      <c r="A724" s="11" t="s">
        <v>88</v>
      </c>
      <c r="B724">
        <v>1999</v>
      </c>
      <c r="C724" s="9">
        <f>0.4372*2.20462</f>
        <v>0.9638598639999999</v>
      </c>
      <c r="D724">
        <f t="shared" ref="D724:D739" si="182">C724-C723</f>
        <v>-3.4171610000000019E-2</v>
      </c>
      <c r="E724" s="6">
        <f>C724/C723-1</f>
        <v>-3.4239010382151602E-2</v>
      </c>
      <c r="F724">
        <v>1.021294363256785</v>
      </c>
      <c r="G724">
        <f>C724/F724</f>
        <v>0.943763031185609</v>
      </c>
      <c r="H724">
        <f>G724-G723</f>
        <v>-5.4268442814390916E-2</v>
      </c>
      <c r="I724" s="6">
        <f>G724/G723-1</f>
        <v>-5.4375482365189298E-2</v>
      </c>
    </row>
    <row r="725" spans="1:10" x14ac:dyDescent="0.25">
      <c r="A725" s="11" t="s">
        <v>88</v>
      </c>
      <c r="B725">
        <v>2000</v>
      </c>
      <c r="C725" s="9">
        <f>0.4357*2.20462</f>
        <v>0.96055293399999986</v>
      </c>
      <c r="D725">
        <f t="shared" si="182"/>
        <v>-3.3069300000000412E-3</v>
      </c>
      <c r="E725" s="6">
        <f t="shared" ref="E725:E740" si="183">C725/C724-1</f>
        <v>-3.4309240622141246E-3</v>
      </c>
      <c r="F725">
        <v>1.0559498956158664</v>
      </c>
      <c r="G725">
        <f t="shared" ref="G725:G739" si="184">C725/F725</f>
        <v>0.90965768166468952</v>
      </c>
      <c r="H725">
        <f t="shared" ref="H725:H740" si="185">G725-G724</f>
        <v>-3.4105349520919481E-2</v>
      </c>
      <c r="I725" s="6">
        <f t="shared" ref="I725:I740" si="186">G725/G724-1</f>
        <v>-3.6137619713790259E-2</v>
      </c>
      <c r="J725" t="s">
        <v>13</v>
      </c>
    </row>
    <row r="726" spans="1:10" x14ac:dyDescent="0.25">
      <c r="A726" s="11" t="s">
        <v>88</v>
      </c>
      <c r="B726">
        <v>2001</v>
      </c>
      <c r="C726" s="9">
        <f>0.4364*2.20462</f>
        <v>0.96209616799999997</v>
      </c>
      <c r="D726">
        <f t="shared" si="182"/>
        <v>1.5432340000001155E-3</v>
      </c>
      <c r="E726" s="6">
        <f t="shared" si="183"/>
        <v>1.6066100527887262E-3</v>
      </c>
      <c r="F726">
        <v>1.0860125260960336</v>
      </c>
      <c r="G726">
        <f t="shared" si="184"/>
        <v>0.88589785557862344</v>
      </c>
      <c r="H726">
        <f t="shared" si="185"/>
        <v>-2.3759826086066083E-2</v>
      </c>
      <c r="I726" s="6">
        <f t="shared" si="186"/>
        <v>-2.6119524481544754E-2</v>
      </c>
    </row>
    <row r="727" spans="1:10" x14ac:dyDescent="0.25">
      <c r="A727" s="11" t="s">
        <v>88</v>
      </c>
      <c r="B727">
        <v>2002</v>
      </c>
      <c r="C727" s="9">
        <f>0.4356*2.20462</f>
        <v>0.96033247199999994</v>
      </c>
      <c r="D727">
        <f t="shared" si="182"/>
        <v>-1.7636960000000368E-3</v>
      </c>
      <c r="E727" s="6">
        <f t="shared" si="183"/>
        <v>-1.8331805682859637E-3</v>
      </c>
      <c r="F727">
        <v>1.1031315240083506</v>
      </c>
      <c r="G727">
        <f t="shared" si="184"/>
        <v>0.87055120001514008</v>
      </c>
      <c r="H727">
        <f t="shared" si="185"/>
        <v>-1.5346655563483358E-2</v>
      </c>
      <c r="I727" s="6">
        <f t="shared" si="186"/>
        <v>-1.7323278825931543E-2</v>
      </c>
      <c r="J727" t="s">
        <v>43</v>
      </c>
    </row>
    <row r="728" spans="1:10" x14ac:dyDescent="0.25">
      <c r="A728" s="11" t="s">
        <v>88</v>
      </c>
      <c r="B728">
        <v>2003</v>
      </c>
      <c r="C728" s="9">
        <f>0.4376*2.20462</f>
        <v>0.96474171199999992</v>
      </c>
      <c r="D728">
        <f t="shared" si="182"/>
        <v>4.409239999999981E-3</v>
      </c>
      <c r="E728" s="6">
        <f t="shared" si="183"/>
        <v>4.5913682277318735E-3</v>
      </c>
      <c r="F728">
        <v>1.1281837160751564</v>
      </c>
      <c r="G728">
        <f t="shared" si="184"/>
        <v>0.85512820142116952</v>
      </c>
      <c r="H728">
        <f t="shared" si="185"/>
        <v>-1.542299859397056E-2</v>
      </c>
      <c r="I728" s="6">
        <f t="shared" si="186"/>
        <v>-1.7716360156303623E-2</v>
      </c>
    </row>
    <row r="729" spans="1:10" x14ac:dyDescent="0.25">
      <c r="A729" s="11" t="s">
        <v>88</v>
      </c>
      <c r="B729">
        <v>2004</v>
      </c>
      <c r="C729" s="9">
        <f>0.5514*2.20462</f>
        <v>1.2156274679999999</v>
      </c>
      <c r="D729">
        <f t="shared" si="182"/>
        <v>0.25088575599999996</v>
      </c>
      <c r="E729" s="6">
        <f t="shared" si="183"/>
        <v>0.26005484460694706</v>
      </c>
      <c r="F729">
        <v>1.1586638830897704</v>
      </c>
      <c r="G729">
        <f t="shared" si="184"/>
        <v>1.0491631660756755</v>
      </c>
      <c r="H729">
        <f t="shared" si="185"/>
        <v>0.19403496465450598</v>
      </c>
      <c r="I729" s="6">
        <f t="shared" si="186"/>
        <v>0.22690745590197126</v>
      </c>
    </row>
    <row r="730" spans="1:10" x14ac:dyDescent="0.25">
      <c r="A730" s="11" t="s">
        <v>88</v>
      </c>
      <c r="B730">
        <v>2005</v>
      </c>
      <c r="C730" s="9">
        <f>0.6103*2.20462</f>
        <v>1.3454795859999997</v>
      </c>
      <c r="D730">
        <f t="shared" si="182"/>
        <v>0.12985211799999985</v>
      </c>
      <c r="E730" s="6">
        <f t="shared" si="183"/>
        <v>0.1068190061661225</v>
      </c>
      <c r="F730">
        <v>1.1979123173277662</v>
      </c>
      <c r="G730">
        <f t="shared" si="184"/>
        <v>1.1231870367619377</v>
      </c>
      <c r="H730">
        <f t="shared" si="185"/>
        <v>7.402387068626215E-2</v>
      </c>
      <c r="I730" s="6">
        <f t="shared" si="186"/>
        <v>7.0555155842101813E-2</v>
      </c>
    </row>
    <row r="731" spans="1:10" x14ac:dyDescent="0.25">
      <c r="A731" s="11" t="s">
        <v>88</v>
      </c>
      <c r="B731">
        <v>2006</v>
      </c>
      <c r="C731" s="9">
        <f>0.774*2.20462</f>
        <v>1.70637588</v>
      </c>
      <c r="D731">
        <f t="shared" si="182"/>
        <v>0.36089629400000023</v>
      </c>
      <c r="E731" s="6">
        <f t="shared" si="183"/>
        <v>0.26822873996395247</v>
      </c>
      <c r="F731">
        <v>1.2367432150313151</v>
      </c>
      <c r="G731">
        <f t="shared" si="184"/>
        <v>1.3797333668467253</v>
      </c>
      <c r="H731">
        <f t="shared" si="185"/>
        <v>0.25654633008478767</v>
      </c>
      <c r="I731" s="6">
        <f t="shared" si="186"/>
        <v>0.22840926906029035</v>
      </c>
    </row>
    <row r="732" spans="1:10" x14ac:dyDescent="0.25">
      <c r="A732" s="11" t="s">
        <v>88</v>
      </c>
      <c r="B732">
        <v>2007</v>
      </c>
      <c r="C732" s="9">
        <f>1.2384*2.20462</f>
        <v>2.7302014079999997</v>
      </c>
      <c r="D732">
        <f t="shared" si="182"/>
        <v>1.0238255279999997</v>
      </c>
      <c r="E732" s="6">
        <f t="shared" si="183"/>
        <v>0.59999999999999987</v>
      </c>
      <c r="F732">
        <v>1.2718162839248435</v>
      </c>
      <c r="G732">
        <f t="shared" si="184"/>
        <v>2.1466948037294808</v>
      </c>
      <c r="H732">
        <f t="shared" si="185"/>
        <v>0.76696143688275553</v>
      </c>
      <c r="I732" s="6">
        <f t="shared" si="186"/>
        <v>0.55587655942219261</v>
      </c>
    </row>
    <row r="733" spans="1:10" x14ac:dyDescent="0.25">
      <c r="A733" s="11" t="s">
        <v>88</v>
      </c>
      <c r="B733">
        <v>2008</v>
      </c>
      <c r="C733" s="9">
        <f>1.2033*2.20462</f>
        <v>2.652819246</v>
      </c>
      <c r="D733">
        <f t="shared" si="182"/>
        <v>-7.7382161999999699E-2</v>
      </c>
      <c r="E733" s="6">
        <f t="shared" si="183"/>
        <v>-2.8343023255813837E-2</v>
      </c>
      <c r="F733">
        <v>1.3206680584551149</v>
      </c>
      <c r="G733">
        <f t="shared" si="184"/>
        <v>2.0086949396680365</v>
      </c>
      <c r="H733">
        <f t="shared" si="185"/>
        <v>-0.13799986406144438</v>
      </c>
      <c r="I733" s="6">
        <f t="shared" si="186"/>
        <v>-6.4284808358270329E-2</v>
      </c>
    </row>
    <row r="734" spans="1:10" x14ac:dyDescent="0.25">
      <c r="A734" s="11" t="s">
        <v>88</v>
      </c>
      <c r="B734">
        <v>2009</v>
      </c>
      <c r="C734" s="9">
        <f>0.8687*2.20462</f>
        <v>1.9151533939999998</v>
      </c>
      <c r="D734">
        <f t="shared" si="182"/>
        <v>-0.73766585200000012</v>
      </c>
      <c r="E734" s="6">
        <f t="shared" si="183"/>
        <v>-0.27806864456079117</v>
      </c>
      <c r="F734">
        <v>1.3160751565762003</v>
      </c>
      <c r="G734">
        <f t="shared" si="184"/>
        <v>1.4552006277379441</v>
      </c>
      <c r="H734">
        <f t="shared" si="185"/>
        <v>-0.55349431193009235</v>
      </c>
      <c r="I734" s="6">
        <f t="shared" si="186"/>
        <v>-0.27554921406909338</v>
      </c>
    </row>
    <row r="735" spans="1:10" x14ac:dyDescent="0.25">
      <c r="A735" s="11" t="s">
        <v>88</v>
      </c>
      <c r="B735">
        <v>2010</v>
      </c>
      <c r="C735" s="9">
        <f>1.0891*2.20462</f>
        <v>2.4010516419999997</v>
      </c>
      <c r="D735">
        <f t="shared" si="182"/>
        <v>0.48589824799999981</v>
      </c>
      <c r="E735" s="6">
        <f t="shared" si="183"/>
        <v>0.25371244388166225</v>
      </c>
      <c r="F735">
        <v>1.3377870563674321</v>
      </c>
      <c r="G735">
        <f t="shared" si="184"/>
        <v>1.7947935963139823</v>
      </c>
      <c r="H735">
        <f t="shared" si="185"/>
        <v>0.33959296857603816</v>
      </c>
      <c r="I735" s="6">
        <f t="shared" si="186"/>
        <v>0.23336505090979998</v>
      </c>
    </row>
    <row r="736" spans="1:10" x14ac:dyDescent="0.25">
      <c r="A736" s="11" t="s">
        <v>88</v>
      </c>
      <c r="B736">
        <v>2011</v>
      </c>
      <c r="C736" s="9">
        <f>1.217*2.20462</f>
        <v>2.6830225400000001</v>
      </c>
      <c r="D736">
        <f t="shared" si="182"/>
        <v>0.28197089800000041</v>
      </c>
      <c r="E736" s="6">
        <f t="shared" si="183"/>
        <v>0.11743641538885341</v>
      </c>
      <c r="F736">
        <v>1.3799582463465554</v>
      </c>
      <c r="G736">
        <f t="shared" si="184"/>
        <v>1.9442780584871406</v>
      </c>
      <c r="H736">
        <f t="shared" si="185"/>
        <v>0.14948446217315836</v>
      </c>
      <c r="I736" s="6">
        <f t="shared" si="186"/>
        <v>8.3287829018422466E-2</v>
      </c>
    </row>
    <row r="737" spans="1:10" x14ac:dyDescent="0.25">
      <c r="A737" s="11" t="s">
        <v>88</v>
      </c>
      <c r="B737">
        <v>2012</v>
      </c>
      <c r="C737" s="9">
        <f>1.1416*2.20462</f>
        <v>2.5167941919999999</v>
      </c>
      <c r="D737">
        <f t="shared" si="182"/>
        <v>-0.16622834800000019</v>
      </c>
      <c r="E737" s="6">
        <f t="shared" si="183"/>
        <v>-6.1955628594905554E-2</v>
      </c>
      <c r="F737">
        <v>1.4091858037578289</v>
      </c>
      <c r="G737">
        <f t="shared" si="184"/>
        <v>1.7859917303229629</v>
      </c>
      <c r="H737">
        <f t="shared" si="185"/>
        <v>-0.15828632816417776</v>
      </c>
      <c r="I737" s="6">
        <f t="shared" si="186"/>
        <v>-8.1411363705529705E-2</v>
      </c>
    </row>
    <row r="738" spans="1:10" x14ac:dyDescent="0.25">
      <c r="A738" s="11" t="s">
        <v>88</v>
      </c>
      <c r="B738">
        <v>2013</v>
      </c>
      <c r="C738" s="9">
        <f>1.1477*2.20462</f>
        <v>2.5302423739999997</v>
      </c>
      <c r="D738">
        <f t="shared" si="182"/>
        <v>1.3448181999999864E-2</v>
      </c>
      <c r="E738" s="6">
        <f t="shared" si="183"/>
        <v>5.3433777154869855E-3</v>
      </c>
      <c r="F738">
        <v>1.4300626304801669</v>
      </c>
      <c r="G738">
        <f t="shared" si="184"/>
        <v>1.7693227695562044</v>
      </c>
      <c r="H738">
        <f t="shared" si="185"/>
        <v>-1.66689607667585E-2</v>
      </c>
      <c r="I738" s="6">
        <f t="shared" si="186"/>
        <v>-9.333167944593046E-3</v>
      </c>
      <c r="J738" s="11"/>
    </row>
    <row r="739" spans="1:10" x14ac:dyDescent="0.25">
      <c r="A739" s="11" t="s">
        <v>88</v>
      </c>
      <c r="B739">
        <v>2014</v>
      </c>
      <c r="C739" s="9">
        <f>1.0617*2.20462</f>
        <v>2.3406450539999999</v>
      </c>
      <c r="D739">
        <f t="shared" si="182"/>
        <v>-0.18959731999999985</v>
      </c>
      <c r="E739" s="6">
        <f t="shared" si="183"/>
        <v>-7.493247364293798E-2</v>
      </c>
      <c r="F739">
        <v>1.4542797494780795</v>
      </c>
      <c r="G739">
        <f t="shared" si="184"/>
        <v>1.6094874832988801</v>
      </c>
      <c r="H739">
        <f t="shared" si="185"/>
        <v>-0.15983528625732424</v>
      </c>
      <c r="I739" s="6">
        <f t="shared" si="186"/>
        <v>-9.0336985996859909E-2</v>
      </c>
    </row>
    <row r="740" spans="1:10" x14ac:dyDescent="0.25">
      <c r="A740" s="12" t="s">
        <v>88</v>
      </c>
      <c r="B740" s="7">
        <v>2015</v>
      </c>
      <c r="C740" s="7">
        <f>0.912*2.20462</f>
        <v>2.0106134399999998</v>
      </c>
      <c r="D740" s="7">
        <f>C740-C739</f>
        <v>-0.33003161400000014</v>
      </c>
      <c r="E740" s="8">
        <f t="shared" si="183"/>
        <v>-0.14100028256569663</v>
      </c>
      <c r="F740" s="7">
        <v>1.4567849686847598</v>
      </c>
      <c r="G740" s="7">
        <f>C740/F740</f>
        <v>1.3801717365434221</v>
      </c>
      <c r="H740" s="7">
        <f t="shared" si="185"/>
        <v>-0.22931574675545807</v>
      </c>
      <c r="I740" s="8">
        <f t="shared" si="186"/>
        <v>-0.14247749618123273</v>
      </c>
    </row>
    <row r="741" spans="1:10" x14ac:dyDescent="0.25">
      <c r="A741" s="11" t="s">
        <v>91</v>
      </c>
      <c r="B741">
        <v>1998</v>
      </c>
      <c r="C741" s="9">
        <f>3.6*2.20462</f>
        <v>7.9366319999999995</v>
      </c>
      <c r="D741" t="s">
        <v>2</v>
      </c>
      <c r="E741" s="6" t="s">
        <v>2</v>
      </c>
      <c r="F741">
        <v>1</v>
      </c>
      <c r="G741">
        <f>C741</f>
        <v>7.9366319999999995</v>
      </c>
      <c r="H741" t="s">
        <v>2</v>
      </c>
      <c r="I741" s="6" t="s">
        <v>2</v>
      </c>
      <c r="J741" t="s">
        <v>100</v>
      </c>
    </row>
    <row r="742" spans="1:10" x14ac:dyDescent="0.25">
      <c r="A742" s="11" t="s">
        <v>91</v>
      </c>
      <c r="B742">
        <v>1999</v>
      </c>
      <c r="C742" s="9">
        <f>3.85*2.20462</f>
        <v>8.4877869999999991</v>
      </c>
      <c r="D742">
        <f t="shared" ref="D742:D757" si="187">C742-C741</f>
        <v>0.55115499999999962</v>
      </c>
      <c r="E742" s="6">
        <f>C742/C741-1</f>
        <v>6.944444444444442E-2</v>
      </c>
      <c r="F742">
        <v>1.021294363256785</v>
      </c>
      <c r="G742">
        <f>C742/F742</f>
        <v>8.3108135179885512</v>
      </c>
      <c r="H742">
        <f>G742-G741</f>
        <v>0.3741815179885517</v>
      </c>
      <c r="I742" s="6">
        <f>G742/G741-1</f>
        <v>4.714613427818648E-2</v>
      </c>
    </row>
    <row r="743" spans="1:10" x14ac:dyDescent="0.25">
      <c r="A743" s="11" t="s">
        <v>91</v>
      </c>
      <c r="B743">
        <v>2000</v>
      </c>
      <c r="C743" s="9">
        <f>3.7*2.20462</f>
        <v>8.157093999999999</v>
      </c>
      <c r="D743">
        <f t="shared" si="187"/>
        <v>-0.33069300000000013</v>
      </c>
      <c r="E743" s="6">
        <f t="shared" ref="E743:E758" si="188">C743/C742-1</f>
        <v>-3.8961038961038974E-2</v>
      </c>
      <c r="F743">
        <v>1.0559498956158664</v>
      </c>
      <c r="G743">
        <f t="shared" ref="G743:G757" si="189">C743/F743</f>
        <v>7.7248873586397773</v>
      </c>
      <c r="H743">
        <f t="shared" ref="H743:H758" si="190">G743-G742</f>
        <v>-0.5859261593487739</v>
      </c>
      <c r="I743" s="6">
        <f t="shared" ref="I743:I758" si="191">G743/G742-1</f>
        <v>-7.0501661248992153E-2</v>
      </c>
      <c r="J743" t="s">
        <v>13</v>
      </c>
    </row>
    <row r="744" spans="1:10" x14ac:dyDescent="0.25">
      <c r="A744" s="11" t="s">
        <v>91</v>
      </c>
      <c r="B744">
        <v>2001</v>
      </c>
      <c r="C744" s="9">
        <f>3.74*2.20462</f>
        <v>8.2452787999999995</v>
      </c>
      <c r="D744">
        <f t="shared" si="187"/>
        <v>8.8184800000000507E-2</v>
      </c>
      <c r="E744" s="6">
        <f t="shared" si="188"/>
        <v>1.0810810810810922E-2</v>
      </c>
      <c r="F744">
        <v>1.0860125260960336</v>
      </c>
      <c r="G744">
        <f t="shared" si="189"/>
        <v>7.5922501830065343</v>
      </c>
      <c r="H744">
        <f t="shared" si="190"/>
        <v>-0.13263717563324295</v>
      </c>
      <c r="I744" s="6">
        <f t="shared" si="191"/>
        <v>-1.7170111287758361E-2</v>
      </c>
    </row>
    <row r="745" spans="1:10" x14ac:dyDescent="0.25">
      <c r="A745" s="11" t="s">
        <v>91</v>
      </c>
      <c r="B745">
        <v>2002</v>
      </c>
      <c r="C745" s="9">
        <f>3.14*2.20462</f>
        <v>6.9225067999999998</v>
      </c>
      <c r="D745">
        <f t="shared" si="187"/>
        <v>-1.3227719999999996</v>
      </c>
      <c r="E745" s="6">
        <f t="shared" si="188"/>
        <v>-0.16042780748663099</v>
      </c>
      <c r="F745">
        <v>1.1031315240083506</v>
      </c>
      <c r="G745">
        <f t="shared" si="189"/>
        <v>6.2753231589704779</v>
      </c>
      <c r="H745">
        <f t="shared" si="190"/>
        <v>-1.3169270240360564</v>
      </c>
      <c r="I745" s="6">
        <f t="shared" si="191"/>
        <v>-0.17345674764296992</v>
      </c>
      <c r="J745" t="s">
        <v>43</v>
      </c>
    </row>
    <row r="746" spans="1:10" x14ac:dyDescent="0.25">
      <c r="A746" s="11" t="s">
        <v>91</v>
      </c>
      <c r="B746">
        <v>2003</v>
      </c>
      <c r="C746" s="9">
        <f>2.87*2.20462</f>
        <v>6.3272594</v>
      </c>
      <c r="D746">
        <f t="shared" si="187"/>
        <v>-0.59524739999999987</v>
      </c>
      <c r="E746" s="6">
        <f t="shared" si="188"/>
        <v>-8.5987261146496796E-2</v>
      </c>
      <c r="F746">
        <v>1.1281837160751564</v>
      </c>
      <c r="G746">
        <f t="shared" si="189"/>
        <v>5.6083590906735754</v>
      </c>
      <c r="H746">
        <f t="shared" si="190"/>
        <v>-0.66696406829690247</v>
      </c>
      <c r="I746" s="6">
        <f t="shared" si="191"/>
        <v>-0.10628362100260724</v>
      </c>
    </row>
    <row r="747" spans="1:10" x14ac:dyDescent="0.25">
      <c r="A747" s="11" t="s">
        <v>91</v>
      </c>
      <c r="B747">
        <v>2004</v>
      </c>
      <c r="C747" s="9">
        <f>3.22*2.20462</f>
        <v>7.0988764</v>
      </c>
      <c r="D747">
        <f t="shared" si="187"/>
        <v>0.771617</v>
      </c>
      <c r="E747" s="6">
        <f t="shared" si="188"/>
        <v>0.12195121951219523</v>
      </c>
      <c r="F747">
        <v>1.1586638830897704</v>
      </c>
      <c r="G747">
        <f t="shared" si="189"/>
        <v>6.1267780100900895</v>
      </c>
      <c r="H747">
        <f t="shared" si="190"/>
        <v>0.51841891941651408</v>
      </c>
      <c r="I747" s="6">
        <f t="shared" si="191"/>
        <v>9.2436827070973226E-2</v>
      </c>
    </row>
    <row r="748" spans="1:10" x14ac:dyDescent="0.25">
      <c r="A748" s="11" t="s">
        <v>91</v>
      </c>
      <c r="B748">
        <v>2005</v>
      </c>
      <c r="C748" s="9">
        <f>3.91*2.20462</f>
        <v>8.6200641999999998</v>
      </c>
      <c r="D748">
        <f t="shared" si="187"/>
        <v>1.5211877999999999</v>
      </c>
      <c r="E748" s="6">
        <f t="shared" si="188"/>
        <v>0.21428571428571419</v>
      </c>
      <c r="F748">
        <v>1.1979123173277662</v>
      </c>
      <c r="G748">
        <f t="shared" si="189"/>
        <v>7.1959058065528057</v>
      </c>
      <c r="H748">
        <f t="shared" si="190"/>
        <v>1.0691277964627162</v>
      </c>
      <c r="I748" s="6">
        <f t="shared" si="191"/>
        <v>0.17450082159039981</v>
      </c>
    </row>
    <row r="749" spans="1:10" x14ac:dyDescent="0.25">
      <c r="A749" s="11" t="s">
        <v>91</v>
      </c>
      <c r="B749">
        <v>2006</v>
      </c>
      <c r="C749" s="9">
        <f>5.04*2.20462</f>
        <v>11.1112848</v>
      </c>
      <c r="D749">
        <f t="shared" si="187"/>
        <v>2.4912206000000001</v>
      </c>
      <c r="E749" s="6">
        <f t="shared" si="188"/>
        <v>0.28900255754475701</v>
      </c>
      <c r="F749">
        <v>1.2367432150313151</v>
      </c>
      <c r="G749">
        <f t="shared" si="189"/>
        <v>8.9843102957461181</v>
      </c>
      <c r="H749">
        <f t="shared" si="190"/>
        <v>1.7884044891933124</v>
      </c>
      <c r="I749" s="6">
        <f t="shared" si="191"/>
        <v>0.24853083646046858</v>
      </c>
    </row>
    <row r="750" spans="1:10" x14ac:dyDescent="0.25">
      <c r="A750" s="11" t="s">
        <v>91</v>
      </c>
      <c r="B750">
        <v>2007</v>
      </c>
      <c r="C750" s="9">
        <f>14.07*2.20462</f>
        <v>31.019003399999999</v>
      </c>
      <c r="D750">
        <f t="shared" si="187"/>
        <v>19.907718599999999</v>
      </c>
      <c r="E750" s="6">
        <f t="shared" si="188"/>
        <v>1.7916666666666665</v>
      </c>
      <c r="F750">
        <v>1.2718162839248435</v>
      </c>
      <c r="G750">
        <f t="shared" si="189"/>
        <v>24.389531563690085</v>
      </c>
      <c r="H750">
        <f t="shared" si="190"/>
        <v>15.405221267943967</v>
      </c>
      <c r="I750" s="6">
        <f t="shared" si="191"/>
        <v>1.7146804552418469</v>
      </c>
    </row>
    <row r="751" spans="1:10" x14ac:dyDescent="0.25">
      <c r="A751" s="11" t="s">
        <v>91</v>
      </c>
      <c r="B751">
        <v>2008</v>
      </c>
      <c r="C751" s="9">
        <f>12.73*2.20462</f>
        <v>28.0648126</v>
      </c>
      <c r="D751">
        <f t="shared" si="187"/>
        <v>-2.9541907999999992</v>
      </c>
      <c r="E751" s="6">
        <f t="shared" si="188"/>
        <v>-9.5238095238095233E-2</v>
      </c>
      <c r="F751">
        <v>1.3206680584551149</v>
      </c>
      <c r="G751">
        <f t="shared" si="189"/>
        <v>21.250466701549161</v>
      </c>
      <c r="H751">
        <f t="shared" si="190"/>
        <v>-3.1390648621409234</v>
      </c>
      <c r="I751" s="6">
        <f t="shared" si="191"/>
        <v>-0.12870541830390081</v>
      </c>
    </row>
    <row r="752" spans="1:10" x14ac:dyDescent="0.25">
      <c r="A752" s="11" t="s">
        <v>91</v>
      </c>
      <c r="B752">
        <v>2009</v>
      </c>
      <c r="C752" s="9">
        <f>7.84*2.20462</f>
        <v>17.284220799999996</v>
      </c>
      <c r="D752">
        <f t="shared" si="187"/>
        <v>-10.780591800000003</v>
      </c>
      <c r="E752" s="6">
        <f t="shared" si="188"/>
        <v>-0.38413197172034574</v>
      </c>
      <c r="F752">
        <v>1.3160751565762003</v>
      </c>
      <c r="G752">
        <f t="shared" si="189"/>
        <v>13.133156350253806</v>
      </c>
      <c r="H752">
        <f t="shared" si="190"/>
        <v>-8.1173103512953553</v>
      </c>
      <c r="I752" s="6">
        <f t="shared" si="191"/>
        <v>-0.38198268608865904</v>
      </c>
    </row>
    <row r="753" spans="1:10" x14ac:dyDescent="0.25">
      <c r="A753" s="11" t="s">
        <v>91</v>
      </c>
      <c r="B753">
        <v>2010</v>
      </c>
      <c r="C753" s="9">
        <f>8.76*2.20462</f>
        <v>19.312471199999997</v>
      </c>
      <c r="D753">
        <f t="shared" si="187"/>
        <v>2.028250400000001</v>
      </c>
      <c r="E753" s="6">
        <f t="shared" si="188"/>
        <v>0.11734693877551039</v>
      </c>
      <c r="F753">
        <v>1.3377870563674321</v>
      </c>
      <c r="G753">
        <f t="shared" si="189"/>
        <v>14.436132498127339</v>
      </c>
      <c r="H753">
        <f t="shared" si="190"/>
        <v>1.3029761478735331</v>
      </c>
      <c r="I753" s="6">
        <f t="shared" si="191"/>
        <v>9.9212718795383292E-2</v>
      </c>
    </row>
    <row r="754" spans="1:10" x14ac:dyDescent="0.25">
      <c r="A754" s="11" t="s">
        <v>91</v>
      </c>
      <c r="B754">
        <v>2011</v>
      </c>
      <c r="C754" s="9">
        <f>11.47*2.20462</f>
        <v>25.286991399999998</v>
      </c>
      <c r="D754">
        <f t="shared" si="187"/>
        <v>5.9745202000000006</v>
      </c>
      <c r="E754" s="6">
        <f t="shared" si="188"/>
        <v>0.30936073059360747</v>
      </c>
      <c r="F754">
        <v>1.3799582463465554</v>
      </c>
      <c r="G754">
        <f t="shared" si="189"/>
        <v>18.324461241452344</v>
      </c>
      <c r="H754">
        <f t="shared" si="190"/>
        <v>3.8883287433250047</v>
      </c>
      <c r="I754" s="6">
        <f t="shared" si="191"/>
        <v>0.26934698360723686</v>
      </c>
    </row>
    <row r="755" spans="1:10" x14ac:dyDescent="0.25">
      <c r="A755" s="11" t="s">
        <v>91</v>
      </c>
      <c r="B755">
        <v>2012</v>
      </c>
      <c r="C755" s="9">
        <f>10.1*2.20462</f>
        <v>22.266661999999997</v>
      </c>
      <c r="D755">
        <f t="shared" si="187"/>
        <v>-3.0203294000000014</v>
      </c>
      <c r="E755" s="6">
        <f t="shared" si="188"/>
        <v>-0.11944202266782922</v>
      </c>
      <c r="F755">
        <v>1.4091858037578289</v>
      </c>
      <c r="G755">
        <f t="shared" si="189"/>
        <v>15.801083108148145</v>
      </c>
      <c r="H755">
        <f t="shared" si="190"/>
        <v>-2.5233781333041989</v>
      </c>
      <c r="I755" s="6">
        <f t="shared" si="191"/>
        <v>-0.13770544738286683</v>
      </c>
    </row>
    <row r="756" spans="1:10" x14ac:dyDescent="0.25">
      <c r="A756" s="11" t="s">
        <v>91</v>
      </c>
      <c r="B756">
        <v>2013</v>
      </c>
      <c r="C756" s="9">
        <f>8.71*2.20462</f>
        <v>19.202240199999999</v>
      </c>
      <c r="D756">
        <f t="shared" si="187"/>
        <v>-3.0644217999999981</v>
      </c>
      <c r="E756" s="6">
        <f t="shared" si="188"/>
        <v>-0.13762376237623752</v>
      </c>
      <c r="F756">
        <v>1.4300626304801669</v>
      </c>
      <c r="G756">
        <f t="shared" si="189"/>
        <v>13.427551906277372</v>
      </c>
      <c r="H756">
        <f t="shared" si="190"/>
        <v>-2.3735312018707724</v>
      </c>
      <c r="I756" s="6">
        <f t="shared" si="191"/>
        <v>-0.15021319650213183</v>
      </c>
      <c r="J756" s="11"/>
    </row>
    <row r="757" spans="1:10" x14ac:dyDescent="0.25">
      <c r="A757" s="11" t="s">
        <v>91</v>
      </c>
      <c r="B757">
        <v>2014</v>
      </c>
      <c r="C757" s="9">
        <f>11.14*2.20462</f>
        <v>24.559466799999999</v>
      </c>
      <c r="D757">
        <f t="shared" si="187"/>
        <v>5.3572266000000006</v>
      </c>
      <c r="E757" s="6">
        <f t="shared" si="188"/>
        <v>0.27898966704936856</v>
      </c>
      <c r="F757">
        <v>1.4542797494780795</v>
      </c>
      <c r="G757">
        <f t="shared" si="189"/>
        <v>16.887718342233704</v>
      </c>
      <c r="H757">
        <f t="shared" si="190"/>
        <v>3.4601664359563316</v>
      </c>
      <c r="I757" s="6">
        <f t="shared" si="191"/>
        <v>0.25769153305888204</v>
      </c>
    </row>
    <row r="758" spans="1:10" x14ac:dyDescent="0.25">
      <c r="A758" s="12" t="s">
        <v>91</v>
      </c>
      <c r="B758" s="7">
        <v>2015</v>
      </c>
      <c r="C758" s="7">
        <f>6.43*2.20462</f>
        <v>14.175706599999998</v>
      </c>
      <c r="D758" s="7">
        <f>C758-C757</f>
        <v>-10.383760200000001</v>
      </c>
      <c r="E758" s="8">
        <f t="shared" si="188"/>
        <v>-0.42280071813285469</v>
      </c>
      <c r="F758" s="7">
        <v>1.4567849686847598</v>
      </c>
      <c r="G758" s="7">
        <f>C758/F758</f>
        <v>9.7308160811120654</v>
      </c>
      <c r="H758" s="7">
        <f t="shared" si="190"/>
        <v>-7.1569022611216386</v>
      </c>
      <c r="I758" s="8">
        <f t="shared" si="191"/>
        <v>-0.42379332222892874</v>
      </c>
    </row>
    <row r="759" spans="1:10" x14ac:dyDescent="0.25">
      <c r="A759" s="11" t="s">
        <v>92</v>
      </c>
      <c r="B759">
        <v>1998</v>
      </c>
      <c r="C759" s="9">
        <v>82.5</v>
      </c>
      <c r="D759" t="s">
        <v>2</v>
      </c>
      <c r="E759" s="6" t="s">
        <v>2</v>
      </c>
      <c r="F759">
        <v>1</v>
      </c>
      <c r="G759">
        <f>C759</f>
        <v>82.5</v>
      </c>
      <c r="H759" t="s">
        <v>2</v>
      </c>
      <c r="I759" s="6" t="s">
        <v>2</v>
      </c>
      <c r="J759" t="s">
        <v>93</v>
      </c>
    </row>
    <row r="760" spans="1:10" x14ac:dyDescent="0.25">
      <c r="A760" s="11" t="s">
        <v>92</v>
      </c>
      <c r="B760">
        <v>1999</v>
      </c>
      <c r="C760" s="9">
        <v>82.5</v>
      </c>
      <c r="D760">
        <f t="shared" ref="D760:D771" si="192">C760-C759</f>
        <v>0</v>
      </c>
      <c r="E760" s="6">
        <f>C760/C759-1</f>
        <v>0</v>
      </c>
      <c r="F760">
        <v>1.021294363256785</v>
      </c>
      <c r="G760">
        <f>C760/F760</f>
        <v>80.779844644317251</v>
      </c>
      <c r="H760">
        <f>G760-G759</f>
        <v>-1.7201553556827491</v>
      </c>
      <c r="I760" s="6">
        <f>G760/G759-1</f>
        <v>-2.0850367947669701E-2</v>
      </c>
    </row>
    <row r="761" spans="1:10" x14ac:dyDescent="0.25">
      <c r="A761" s="11" t="s">
        <v>92</v>
      </c>
      <c r="B761">
        <v>2000</v>
      </c>
      <c r="C761" s="9">
        <v>82.25</v>
      </c>
      <c r="D761">
        <f t="shared" si="192"/>
        <v>-0.25</v>
      </c>
      <c r="E761" s="6">
        <f t="shared" ref="E761:E771" si="193">C761/C760-1</f>
        <v>-3.0303030303030498E-3</v>
      </c>
      <c r="F761">
        <v>1.0559498956158664</v>
      </c>
      <c r="G761">
        <f t="shared" ref="G761:G771" si="194">C761/F761</f>
        <v>77.891953341241603</v>
      </c>
      <c r="H761">
        <f t="shared" ref="H761:H771" si="195">G761-G760</f>
        <v>-2.8878913030756479</v>
      </c>
      <c r="I761" s="6">
        <f t="shared" ref="I761:I776" si="196">G761/G760-1</f>
        <v>-3.5750146782175141E-2</v>
      </c>
      <c r="J761" t="s">
        <v>13</v>
      </c>
    </row>
    <row r="762" spans="1:10" x14ac:dyDescent="0.25">
      <c r="A762" s="11" t="s">
        <v>92</v>
      </c>
      <c r="B762">
        <v>2001</v>
      </c>
      <c r="C762" s="9">
        <v>82.5</v>
      </c>
      <c r="D762">
        <f t="shared" si="192"/>
        <v>0.25</v>
      </c>
      <c r="E762" s="6">
        <f t="shared" si="193"/>
        <v>3.0395136778116338E-3</v>
      </c>
      <c r="F762">
        <v>1.0860125260960336</v>
      </c>
      <c r="G762">
        <f t="shared" si="194"/>
        <v>75.965974625144156</v>
      </c>
      <c r="H762">
        <f t="shared" si="195"/>
        <v>-1.9259787160974469</v>
      </c>
      <c r="I762" s="6">
        <f t="shared" si="196"/>
        <v>-2.4726286008771803E-2</v>
      </c>
    </row>
    <row r="763" spans="1:10" x14ac:dyDescent="0.25">
      <c r="A763" s="11" t="s">
        <v>92</v>
      </c>
      <c r="B763">
        <v>2002</v>
      </c>
      <c r="C763" s="9">
        <v>82.5</v>
      </c>
      <c r="D763">
        <f t="shared" si="192"/>
        <v>0</v>
      </c>
      <c r="E763" s="6">
        <f t="shared" si="193"/>
        <v>0</v>
      </c>
      <c r="F763">
        <v>1.1031315240083506</v>
      </c>
      <c r="G763">
        <f t="shared" si="194"/>
        <v>74.787093111279347</v>
      </c>
      <c r="H763">
        <f t="shared" si="195"/>
        <v>-1.178881513864809</v>
      </c>
      <c r="I763" s="6">
        <f t="shared" si="196"/>
        <v>-1.5518546555639223E-2</v>
      </c>
      <c r="J763" t="s">
        <v>43</v>
      </c>
    </row>
    <row r="764" spans="1:10" x14ac:dyDescent="0.25">
      <c r="A764" s="11" t="s">
        <v>92</v>
      </c>
      <c r="B764">
        <v>2003</v>
      </c>
      <c r="C764" s="9">
        <v>82.5</v>
      </c>
      <c r="D764">
        <f t="shared" si="192"/>
        <v>0</v>
      </c>
      <c r="E764" s="6">
        <f t="shared" si="193"/>
        <v>0</v>
      </c>
      <c r="F764">
        <v>1.1281837160751564</v>
      </c>
      <c r="G764">
        <f t="shared" si="194"/>
        <v>73.126387860843835</v>
      </c>
      <c r="H764">
        <f t="shared" si="195"/>
        <v>-1.6607052504355124</v>
      </c>
      <c r="I764" s="6">
        <f t="shared" si="196"/>
        <v>-2.2205773501110304E-2</v>
      </c>
    </row>
    <row r="765" spans="1:10" x14ac:dyDescent="0.25">
      <c r="A765" s="11" t="s">
        <v>92</v>
      </c>
      <c r="B765">
        <v>2004</v>
      </c>
      <c r="C765" s="9">
        <v>82.5</v>
      </c>
      <c r="D765">
        <f t="shared" si="192"/>
        <v>0</v>
      </c>
      <c r="E765" s="6">
        <f t="shared" si="193"/>
        <v>0</v>
      </c>
      <c r="F765">
        <v>1.1586638830897704</v>
      </c>
      <c r="G765">
        <f t="shared" si="194"/>
        <v>71.202702702702695</v>
      </c>
      <c r="H765">
        <f t="shared" si="195"/>
        <v>-1.9236851581411401</v>
      </c>
      <c r="I765" s="6">
        <f t="shared" si="196"/>
        <v>-2.6306306306306593E-2</v>
      </c>
    </row>
    <row r="766" spans="1:10" x14ac:dyDescent="0.25">
      <c r="A766" s="11" t="s">
        <v>92</v>
      </c>
      <c r="B766">
        <v>2005</v>
      </c>
      <c r="C766" s="9">
        <v>82.5</v>
      </c>
      <c r="D766">
        <f t="shared" si="192"/>
        <v>0</v>
      </c>
      <c r="E766" s="6">
        <f t="shared" si="193"/>
        <v>0</v>
      </c>
      <c r="F766">
        <v>1.1979123173277662</v>
      </c>
      <c r="G766">
        <f t="shared" si="194"/>
        <v>68.869815266643428</v>
      </c>
      <c r="H766">
        <f t="shared" si="195"/>
        <v>-2.3328874360592664</v>
      </c>
      <c r="I766" s="6">
        <f t="shared" si="196"/>
        <v>-3.27640292784942E-2</v>
      </c>
    </row>
    <row r="767" spans="1:10" x14ac:dyDescent="0.25">
      <c r="A767" s="11" t="s">
        <v>92</v>
      </c>
      <c r="B767">
        <v>2006</v>
      </c>
      <c r="C767" s="9">
        <v>82.5</v>
      </c>
      <c r="D767">
        <f t="shared" si="192"/>
        <v>0</v>
      </c>
      <c r="E767" s="6">
        <f t="shared" si="193"/>
        <v>0</v>
      </c>
      <c r="F767">
        <v>1.2367432150313151</v>
      </c>
      <c r="G767">
        <f t="shared" si="194"/>
        <v>66.707461174881843</v>
      </c>
      <c r="H767">
        <f t="shared" si="195"/>
        <v>-2.1623540917615856</v>
      </c>
      <c r="I767" s="6">
        <f t="shared" si="196"/>
        <v>-3.1397704253882441E-2</v>
      </c>
    </row>
    <row r="768" spans="1:10" x14ac:dyDescent="0.25">
      <c r="A768" s="11" t="s">
        <v>92</v>
      </c>
      <c r="B768">
        <v>2007</v>
      </c>
      <c r="C768" s="9">
        <v>200</v>
      </c>
      <c r="D768">
        <f t="shared" si="192"/>
        <v>117.5</v>
      </c>
      <c r="E768" s="6">
        <f t="shared" si="193"/>
        <v>1.4242424242424243</v>
      </c>
      <c r="F768">
        <v>1.2718162839248435</v>
      </c>
      <c r="G768">
        <f t="shared" si="194"/>
        <v>157.25541694024949</v>
      </c>
      <c r="H768">
        <f t="shared" si="195"/>
        <v>90.547955765367647</v>
      </c>
      <c r="I768" s="6">
        <f t="shared" si="196"/>
        <v>1.3573887263972617</v>
      </c>
    </row>
    <row r="769" spans="1:10" x14ac:dyDescent="0.25">
      <c r="A769" s="11" t="s">
        <v>92</v>
      </c>
      <c r="B769">
        <v>2008</v>
      </c>
      <c r="C769" s="9">
        <v>300</v>
      </c>
      <c r="D769">
        <f t="shared" si="192"/>
        <v>100</v>
      </c>
      <c r="E769" s="6">
        <f t="shared" si="193"/>
        <v>0.5</v>
      </c>
      <c r="F769">
        <v>1.3206680584551149</v>
      </c>
      <c r="G769">
        <f t="shared" si="194"/>
        <v>227.15776161871639</v>
      </c>
      <c r="H769">
        <f t="shared" si="195"/>
        <v>69.902344678466903</v>
      </c>
      <c r="I769" s="6">
        <f t="shared" si="196"/>
        <v>0.44451470123300663</v>
      </c>
    </row>
    <row r="770" spans="1:10" x14ac:dyDescent="0.25">
      <c r="A770" s="11" t="s">
        <v>92</v>
      </c>
      <c r="B770">
        <v>2009</v>
      </c>
      <c r="C770" s="9">
        <v>300</v>
      </c>
      <c r="D770">
        <f t="shared" si="192"/>
        <v>0</v>
      </c>
      <c r="E770" s="6">
        <f t="shared" si="193"/>
        <v>0</v>
      </c>
      <c r="F770">
        <v>1.3160751565762003</v>
      </c>
      <c r="G770">
        <f t="shared" si="194"/>
        <v>227.95050761421322</v>
      </c>
      <c r="H770">
        <f t="shared" si="195"/>
        <v>0.79274599549682989</v>
      </c>
      <c r="I770" s="6">
        <f t="shared" si="196"/>
        <v>3.4898477157361274E-3</v>
      </c>
    </row>
    <row r="771" spans="1:10" x14ac:dyDescent="0.25">
      <c r="A771" s="11" t="s">
        <v>92</v>
      </c>
      <c r="B771">
        <v>2010</v>
      </c>
      <c r="C771" s="9">
        <v>300</v>
      </c>
      <c r="D771">
        <f t="shared" si="192"/>
        <v>0</v>
      </c>
      <c r="E771" s="6">
        <f t="shared" si="193"/>
        <v>0</v>
      </c>
      <c r="F771">
        <v>1.3377870563674321</v>
      </c>
      <c r="G771">
        <f t="shared" si="194"/>
        <v>224.25093632958803</v>
      </c>
      <c r="H771">
        <f t="shared" si="195"/>
        <v>-3.6995712846251934</v>
      </c>
      <c r="I771" s="6">
        <f t="shared" si="196"/>
        <v>-1.6229712858926382E-2</v>
      </c>
    </row>
    <row r="772" spans="1:10" x14ac:dyDescent="0.25">
      <c r="A772" s="11" t="s">
        <v>92</v>
      </c>
      <c r="B772">
        <v>2011</v>
      </c>
      <c r="C772" s="9" t="s">
        <v>2</v>
      </c>
      <c r="D772" s="9" t="s">
        <v>2</v>
      </c>
      <c r="E772" s="9" t="s">
        <v>2</v>
      </c>
      <c r="F772" s="9" t="s">
        <v>2</v>
      </c>
      <c r="G772" s="9" t="s">
        <v>2</v>
      </c>
      <c r="H772" s="9" t="s">
        <v>2</v>
      </c>
      <c r="I772" s="9" t="s">
        <v>2</v>
      </c>
    </row>
    <row r="773" spans="1:10" x14ac:dyDescent="0.25">
      <c r="A773" s="11" t="s">
        <v>92</v>
      </c>
      <c r="B773">
        <v>2012</v>
      </c>
      <c r="C773" s="9" t="s">
        <v>2</v>
      </c>
      <c r="D773" s="9" t="s">
        <v>2</v>
      </c>
      <c r="E773" s="9" t="s">
        <v>2</v>
      </c>
      <c r="F773" s="9" t="s">
        <v>2</v>
      </c>
      <c r="G773" s="9" t="s">
        <v>2</v>
      </c>
      <c r="H773" s="9" t="s">
        <v>2</v>
      </c>
      <c r="I773" s="9" t="s">
        <v>2</v>
      </c>
    </row>
    <row r="774" spans="1:10" x14ac:dyDescent="0.25">
      <c r="A774" s="11" t="s">
        <v>92</v>
      </c>
      <c r="B774">
        <v>2013</v>
      </c>
      <c r="C774" s="9" t="s">
        <v>2</v>
      </c>
      <c r="D774" s="9" t="s">
        <v>2</v>
      </c>
      <c r="E774" s="9" t="s">
        <v>2</v>
      </c>
      <c r="F774" s="9" t="s">
        <v>2</v>
      </c>
      <c r="G774" s="9" t="s">
        <v>2</v>
      </c>
      <c r="H774" s="9" t="s">
        <v>2</v>
      </c>
      <c r="I774" s="9" t="s">
        <v>2</v>
      </c>
      <c r="J774" s="11"/>
    </row>
    <row r="775" spans="1:10" x14ac:dyDescent="0.25">
      <c r="A775" s="11" t="s">
        <v>92</v>
      </c>
      <c r="B775">
        <v>2014</v>
      </c>
      <c r="C775" s="9" t="s">
        <v>2</v>
      </c>
      <c r="D775" s="9" t="s">
        <v>2</v>
      </c>
      <c r="E775" s="9" t="s">
        <v>2</v>
      </c>
      <c r="F775" s="9" t="s">
        <v>2</v>
      </c>
      <c r="G775" s="9" t="s">
        <v>2</v>
      </c>
      <c r="H775" s="9" t="s">
        <v>2</v>
      </c>
      <c r="I775" s="9" t="s">
        <v>2</v>
      </c>
    </row>
    <row r="776" spans="1:10" x14ac:dyDescent="0.25">
      <c r="A776" s="12" t="s">
        <v>92</v>
      </c>
      <c r="B776" s="7">
        <v>2015</v>
      </c>
      <c r="C776" s="7" t="s">
        <v>2</v>
      </c>
      <c r="D776" s="7" t="s">
        <v>2</v>
      </c>
      <c r="E776" s="7" t="s">
        <v>2</v>
      </c>
      <c r="F776" s="7" t="s">
        <v>2</v>
      </c>
      <c r="G776" s="7" t="s">
        <v>2</v>
      </c>
      <c r="H776" s="7" t="s">
        <v>2</v>
      </c>
      <c r="I776" s="7" t="s">
        <v>2</v>
      </c>
    </row>
    <row r="777" spans="1:10" x14ac:dyDescent="0.25">
      <c r="A777" s="11" t="s">
        <v>94</v>
      </c>
      <c r="B777">
        <v>1998</v>
      </c>
      <c r="C777" s="9">
        <f>209*32.1507</f>
        <v>6719.4962999999998</v>
      </c>
      <c r="D777" t="s">
        <v>2</v>
      </c>
      <c r="E777" s="6" t="s">
        <v>2</v>
      </c>
      <c r="F777">
        <v>1</v>
      </c>
      <c r="G777">
        <f>C777</f>
        <v>6719.4962999999998</v>
      </c>
      <c r="H777" t="s">
        <v>2</v>
      </c>
      <c r="I777" s="6" t="s">
        <v>2</v>
      </c>
      <c r="J777" t="s">
        <v>111</v>
      </c>
    </row>
    <row r="778" spans="1:10" x14ac:dyDescent="0.25">
      <c r="A778" s="11" t="s">
        <v>94</v>
      </c>
      <c r="B778">
        <v>1999</v>
      </c>
      <c r="C778" s="9">
        <f>403.5*32.1507</f>
        <v>12972.80745</v>
      </c>
      <c r="D778">
        <f t="shared" ref="D778:D793" si="197">C778-C777</f>
        <v>6253.3111500000005</v>
      </c>
      <c r="E778" s="6">
        <f>C778/C777-1</f>
        <v>0.93062200956937802</v>
      </c>
      <c r="F778">
        <v>1.021294363256785</v>
      </c>
      <c r="G778">
        <f>C778/F778</f>
        <v>12702.31964135323</v>
      </c>
      <c r="H778">
        <f>G778-G777</f>
        <v>5982.8233413532298</v>
      </c>
      <c r="I778" s="6">
        <f>G778/G777-1</f>
        <v>0.89036783030198707</v>
      </c>
    </row>
    <row r="779" spans="1:10" x14ac:dyDescent="0.25">
      <c r="A779" s="11" t="s">
        <v>94</v>
      </c>
      <c r="B779">
        <v>2000</v>
      </c>
      <c r="C779" s="9">
        <f>691.84*32.1507</f>
        <v>22243.140288000002</v>
      </c>
      <c r="D779">
        <f t="shared" si="197"/>
        <v>9270.3328380000021</v>
      </c>
      <c r="E779" s="6">
        <f t="shared" ref="E779:E794" si="198">C779/C778-1</f>
        <v>0.71459727385377958</v>
      </c>
      <c r="F779">
        <v>1.0559498956158664</v>
      </c>
      <c r="G779">
        <f t="shared" ref="G779:G793" si="199">C779/F779</f>
        <v>21064.579276298933</v>
      </c>
      <c r="H779">
        <f t="shared" ref="H779:H794" si="200">G779-G778</f>
        <v>8362.2596349457035</v>
      </c>
      <c r="I779" s="6">
        <f t="shared" ref="I779:I794" si="201">G779/G778-1</f>
        <v>0.65832539812034185</v>
      </c>
      <c r="J779" t="s">
        <v>13</v>
      </c>
    </row>
    <row r="780" spans="1:10" x14ac:dyDescent="0.25">
      <c r="A780" s="11" t="s">
        <v>94</v>
      </c>
      <c r="B780">
        <v>2001</v>
      </c>
      <c r="C780" s="9">
        <f>610.71*32.1507</f>
        <v>19634.753997</v>
      </c>
      <c r="D780">
        <f t="shared" si="197"/>
        <v>-2608.3862910000025</v>
      </c>
      <c r="E780" s="6">
        <f t="shared" si="198"/>
        <v>-0.1172669981498613</v>
      </c>
      <c r="F780">
        <v>1.0860125260960336</v>
      </c>
      <c r="G780">
        <f t="shared" si="199"/>
        <v>18079.675441297575</v>
      </c>
      <c r="H780">
        <f t="shared" si="200"/>
        <v>-2984.9038350013579</v>
      </c>
      <c r="I780" s="6">
        <f t="shared" si="201"/>
        <v>-0.1417025137720106</v>
      </c>
    </row>
    <row r="781" spans="1:10" x14ac:dyDescent="0.25">
      <c r="A781" s="11" t="s">
        <v>94</v>
      </c>
      <c r="B781">
        <v>2002</v>
      </c>
      <c r="C781" s="9">
        <f>340*32.1507</f>
        <v>10931.237999999999</v>
      </c>
      <c r="D781">
        <f t="shared" si="197"/>
        <v>-8703.5159970000004</v>
      </c>
      <c r="E781" s="6">
        <f t="shared" si="198"/>
        <v>-0.44327094693062175</v>
      </c>
      <c r="F781">
        <v>1.1031315240083506</v>
      </c>
      <c r="G781">
        <f t="shared" si="199"/>
        <v>9909.2789591218789</v>
      </c>
      <c r="H781">
        <f t="shared" si="200"/>
        <v>-8170.3964821756963</v>
      </c>
      <c r="I781" s="6">
        <f t="shared" si="201"/>
        <v>-0.45191057265955592</v>
      </c>
      <c r="J781" t="s">
        <v>43</v>
      </c>
    </row>
    <row r="782" spans="1:10" x14ac:dyDescent="0.25">
      <c r="A782" s="11" t="s">
        <v>94</v>
      </c>
      <c r="B782">
        <v>2003</v>
      </c>
      <c r="C782" s="9">
        <f>203*32.1507</f>
        <v>6526.5920999999998</v>
      </c>
      <c r="D782">
        <f t="shared" si="197"/>
        <v>-4404.6458999999995</v>
      </c>
      <c r="E782" s="6">
        <f t="shared" si="198"/>
        <v>-0.40294117647058825</v>
      </c>
      <c r="F782">
        <v>1.1281837160751564</v>
      </c>
      <c r="G782">
        <f t="shared" si="199"/>
        <v>5785.0437007772025</v>
      </c>
      <c r="H782">
        <f t="shared" si="200"/>
        <v>-4124.2352583446764</v>
      </c>
      <c r="I782" s="6">
        <f t="shared" si="201"/>
        <v>-0.41619932947272176</v>
      </c>
    </row>
    <row r="783" spans="1:10" x14ac:dyDescent="0.25">
      <c r="A783" s="11" t="s">
        <v>94</v>
      </c>
      <c r="B783">
        <v>2004</v>
      </c>
      <c r="C783" s="9">
        <f>232.93*32.1507</f>
        <v>7488.8625510000002</v>
      </c>
      <c r="D783">
        <f t="shared" si="197"/>
        <v>962.27045100000032</v>
      </c>
      <c r="E783" s="6">
        <f t="shared" si="198"/>
        <v>0.14743842364532034</v>
      </c>
      <c r="F783">
        <v>1.1586638830897704</v>
      </c>
      <c r="G783">
        <f t="shared" si="199"/>
        <v>6463.3606521243237</v>
      </c>
      <c r="H783">
        <f t="shared" si="200"/>
        <v>678.31695134712118</v>
      </c>
      <c r="I783" s="6">
        <f t="shared" si="201"/>
        <v>0.11725355700528084</v>
      </c>
    </row>
    <row r="784" spans="1:10" x14ac:dyDescent="0.25">
      <c r="A784" s="11" t="s">
        <v>94</v>
      </c>
      <c r="B784">
        <v>2005</v>
      </c>
      <c r="C784" s="9">
        <f>203.54*32.1507</f>
        <v>6543.9534779999994</v>
      </c>
      <c r="D784">
        <f t="shared" si="197"/>
        <v>-944.90907300000072</v>
      </c>
      <c r="E784" s="6">
        <f t="shared" si="198"/>
        <v>-0.12617524578199468</v>
      </c>
      <c r="F784">
        <v>1.1979123173277662</v>
      </c>
      <c r="G784">
        <f t="shared" si="199"/>
        <v>5462.7983896165906</v>
      </c>
      <c r="H784">
        <f t="shared" si="200"/>
        <v>-1000.5622625077331</v>
      </c>
      <c r="I784" s="6">
        <f t="shared" si="201"/>
        <v>-0.15480526561346641</v>
      </c>
    </row>
    <row r="785" spans="1:10" x14ac:dyDescent="0.25">
      <c r="A785" s="11" t="s">
        <v>94</v>
      </c>
      <c r="B785">
        <v>2006</v>
      </c>
      <c r="C785" s="9">
        <f>322.93*32.1507</f>
        <v>10382.425551</v>
      </c>
      <c r="D785">
        <f t="shared" si="197"/>
        <v>3838.4720730000008</v>
      </c>
      <c r="E785" s="6">
        <f t="shared" si="198"/>
        <v>0.58656775081065171</v>
      </c>
      <c r="F785">
        <v>1.2367432150313151</v>
      </c>
      <c r="G785">
        <f t="shared" si="199"/>
        <v>8394.9727193264698</v>
      </c>
      <c r="H785">
        <f t="shared" si="200"/>
        <v>2932.1743297098792</v>
      </c>
      <c r="I785" s="6">
        <f t="shared" si="201"/>
        <v>0.53675316579195154</v>
      </c>
    </row>
    <row r="786" spans="1:10" x14ac:dyDescent="0.25">
      <c r="A786" s="11" t="s">
        <v>94</v>
      </c>
      <c r="B786">
        <v>2007</v>
      </c>
      <c r="C786" s="9">
        <f>357.34*32.1507</f>
        <v>11488.731137999999</v>
      </c>
      <c r="D786">
        <f t="shared" si="197"/>
        <v>1106.3055869999989</v>
      </c>
      <c r="E786" s="6">
        <f t="shared" si="198"/>
        <v>0.10655560028489131</v>
      </c>
      <c r="F786">
        <v>1.2718162839248435</v>
      </c>
      <c r="G786">
        <f t="shared" si="199"/>
        <v>9033.3260261030846</v>
      </c>
      <c r="H786">
        <f t="shared" si="200"/>
        <v>638.35330677661477</v>
      </c>
      <c r="I786" s="6">
        <f t="shared" si="201"/>
        <v>7.6039950112885002E-2</v>
      </c>
    </row>
    <row r="787" spans="1:10" x14ac:dyDescent="0.25">
      <c r="A787" s="11" t="s">
        <v>94</v>
      </c>
      <c r="B787">
        <v>2008</v>
      </c>
      <c r="C787" s="9">
        <f>355.12*32.1507</f>
        <v>11417.356584000001</v>
      </c>
      <c r="D787">
        <f t="shared" si="197"/>
        <v>-71.37455399999817</v>
      </c>
      <c r="E787" s="6">
        <f t="shared" si="198"/>
        <v>-6.2125706609950093E-3</v>
      </c>
      <c r="F787">
        <v>1.3206680584551149</v>
      </c>
      <c r="G787">
        <f t="shared" si="199"/>
        <v>8645.1372174138469</v>
      </c>
      <c r="H787">
        <f t="shared" si="200"/>
        <v>-388.1888086892377</v>
      </c>
      <c r="I787" s="6">
        <f t="shared" si="201"/>
        <v>-4.2972965612833036E-2</v>
      </c>
    </row>
    <row r="788" spans="1:10" x14ac:dyDescent="0.25">
      <c r="A788" s="11" t="s">
        <v>94</v>
      </c>
      <c r="B788">
        <v>2009</v>
      </c>
      <c r="C788" s="9">
        <f>265.65*32.1507</f>
        <v>8540.833455</v>
      </c>
      <c r="D788">
        <f t="shared" si="197"/>
        <v>-2876.5231290000011</v>
      </c>
      <c r="E788" s="6">
        <f t="shared" si="198"/>
        <v>-0.25194300518134727</v>
      </c>
      <c r="F788">
        <v>1.3160751565762003</v>
      </c>
      <c r="G788">
        <f t="shared" si="199"/>
        <v>6489.6244050523483</v>
      </c>
      <c r="H788">
        <f t="shared" si="200"/>
        <v>-2155.5128123614986</v>
      </c>
      <c r="I788" s="6">
        <f t="shared" si="201"/>
        <v>-0.24933240018673875</v>
      </c>
    </row>
    <row r="789" spans="1:10" x14ac:dyDescent="0.25">
      <c r="A789" s="11" t="s">
        <v>94</v>
      </c>
      <c r="B789">
        <v>2010</v>
      </c>
      <c r="C789" s="9">
        <f>530.61*32.1507</f>
        <v>17059.482927000001</v>
      </c>
      <c r="D789">
        <f t="shared" si="197"/>
        <v>8518.649472000001</v>
      </c>
      <c r="E789" s="6">
        <f t="shared" si="198"/>
        <v>0.99740259740259751</v>
      </c>
      <c r="F789">
        <v>1.3377870563674321</v>
      </c>
      <c r="G789">
        <f t="shared" si="199"/>
        <v>12752.016732261238</v>
      </c>
      <c r="H789">
        <f t="shared" si="200"/>
        <v>6262.3923272088896</v>
      </c>
      <c r="I789" s="6">
        <f t="shared" si="201"/>
        <v>0.96498532678307969</v>
      </c>
    </row>
    <row r="790" spans="1:10" x14ac:dyDescent="0.25">
      <c r="A790" s="11" t="s">
        <v>94</v>
      </c>
      <c r="B790">
        <v>2011</v>
      </c>
      <c r="C790" s="9">
        <f>738.51*32.1507</f>
        <v>23743.613456999999</v>
      </c>
      <c r="D790">
        <f t="shared" si="197"/>
        <v>6684.1305299999985</v>
      </c>
      <c r="E790" s="6">
        <f t="shared" si="198"/>
        <v>0.39181319613275267</v>
      </c>
      <c r="F790">
        <v>1.3799582463465554</v>
      </c>
      <c r="G790">
        <f t="shared" si="199"/>
        <v>17206.037588355521</v>
      </c>
      <c r="H790">
        <f t="shared" si="200"/>
        <v>4454.0208560942829</v>
      </c>
      <c r="I790" s="6">
        <f t="shared" si="201"/>
        <v>0.34927972175774258</v>
      </c>
    </row>
    <row r="791" spans="1:10" x14ac:dyDescent="0.25">
      <c r="A791" s="11" t="s">
        <v>94</v>
      </c>
      <c r="B791">
        <v>2012</v>
      </c>
      <c r="C791" s="9">
        <f>649.27*32.1507</f>
        <v>20874.484989</v>
      </c>
      <c r="D791">
        <f t="shared" si="197"/>
        <v>-2869.128467999999</v>
      </c>
      <c r="E791" s="6">
        <f t="shared" si="198"/>
        <v>-0.12083790334592626</v>
      </c>
      <c r="F791">
        <v>1.4091858037578289</v>
      </c>
      <c r="G791">
        <f t="shared" si="199"/>
        <v>14813.153051453333</v>
      </c>
      <c r="H791">
        <f t="shared" si="200"/>
        <v>-2392.8845369021874</v>
      </c>
      <c r="I791" s="6">
        <f t="shared" si="201"/>
        <v>-0.13907237646171444</v>
      </c>
    </row>
    <row r="792" spans="1:10" x14ac:dyDescent="0.25">
      <c r="A792" s="11" t="s">
        <v>94</v>
      </c>
      <c r="B792">
        <v>2013</v>
      </c>
      <c r="C792" s="9">
        <f>729.58*32.1507</f>
        <v>23456.507706</v>
      </c>
      <c r="D792">
        <f t="shared" si="197"/>
        <v>2582.0227169999998</v>
      </c>
      <c r="E792" s="6">
        <f t="shared" si="198"/>
        <v>0.12369276264111995</v>
      </c>
      <c r="F792">
        <v>1.4300626304801669</v>
      </c>
      <c r="G792">
        <f t="shared" si="199"/>
        <v>16402.433855728468</v>
      </c>
      <c r="H792">
        <f t="shared" si="200"/>
        <v>1589.2808042751349</v>
      </c>
      <c r="I792" s="6">
        <f t="shared" si="201"/>
        <v>0.10728848873395047</v>
      </c>
      <c r="J792" s="11"/>
    </row>
    <row r="793" spans="1:10" x14ac:dyDescent="0.25">
      <c r="A793" s="11" t="s">
        <v>94</v>
      </c>
      <c r="B793">
        <v>2014</v>
      </c>
      <c r="C793" s="9">
        <f>809.89*32.1507</f>
        <v>26038.530423</v>
      </c>
      <c r="D793">
        <f t="shared" si="197"/>
        <v>2582.0227169999998</v>
      </c>
      <c r="E793" s="6">
        <f t="shared" si="198"/>
        <v>0.1100770306203569</v>
      </c>
      <c r="F793">
        <v>1.4542797494780795</v>
      </c>
      <c r="G793">
        <f t="shared" si="199"/>
        <v>17904.76036838501</v>
      </c>
      <c r="H793">
        <f t="shared" si="200"/>
        <v>1502.326512656542</v>
      </c>
      <c r="I793" s="6">
        <f t="shared" si="201"/>
        <v>9.1591682421682918E-2</v>
      </c>
    </row>
    <row r="794" spans="1:10" x14ac:dyDescent="0.25">
      <c r="A794" s="12" t="s">
        <v>94</v>
      </c>
      <c r="B794" s="7">
        <v>2015</v>
      </c>
      <c r="C794" s="7">
        <f>694.99*32.1507</f>
        <v>22344.414993000002</v>
      </c>
      <c r="D794" s="7">
        <f>C794-C793</f>
        <v>-3694.115429999998</v>
      </c>
      <c r="E794" s="8">
        <f t="shared" si="198"/>
        <v>-0.14187111830001597</v>
      </c>
      <c r="F794" s="7">
        <v>1.4567849686847598</v>
      </c>
      <c r="G794" s="7">
        <f>C794/F794</f>
        <v>15338.169649823734</v>
      </c>
      <c r="H794" s="7">
        <f t="shared" si="200"/>
        <v>-2566.5907185612759</v>
      </c>
      <c r="I794" s="8">
        <f t="shared" si="201"/>
        <v>-0.14334683434765116</v>
      </c>
    </row>
    <row r="795" spans="1:10" x14ac:dyDescent="0.25">
      <c r="A795" s="11" t="s">
        <v>95</v>
      </c>
      <c r="B795">
        <v>1998</v>
      </c>
      <c r="C795" s="9">
        <f>372.5*32.1507</f>
        <v>11976.135749999999</v>
      </c>
      <c r="D795" t="s">
        <v>2</v>
      </c>
      <c r="E795" s="6" t="s">
        <v>2</v>
      </c>
      <c r="F795">
        <v>1</v>
      </c>
      <c r="G795">
        <f>C795</f>
        <v>11976.135749999999</v>
      </c>
      <c r="H795" t="s">
        <v>2</v>
      </c>
      <c r="I795" s="6" t="s">
        <v>2</v>
      </c>
      <c r="J795" t="s">
        <v>111</v>
      </c>
    </row>
    <row r="796" spans="1:10" x14ac:dyDescent="0.25">
      <c r="A796" s="11" t="s">
        <v>95</v>
      </c>
      <c r="B796">
        <v>1999</v>
      </c>
      <c r="C796" s="9">
        <f>378.949*32.1507</f>
        <v>12183.475614300001</v>
      </c>
      <c r="D796">
        <f t="shared" ref="D796:D811" si="202">C796-C795</f>
        <v>207.33986430000186</v>
      </c>
      <c r="E796" s="6">
        <f>C796/C795-1</f>
        <v>1.73127516778524E-2</v>
      </c>
      <c r="F796">
        <v>1.021294363256785</v>
      </c>
      <c r="G796">
        <f>C796/F796</f>
        <v>11929.445664860385</v>
      </c>
      <c r="H796">
        <f>G796-G795</f>
        <v>-46.690085139614894</v>
      </c>
      <c r="I796" s="6">
        <f>G796/G795-1</f>
        <v>-3.8985935124871141E-3</v>
      </c>
    </row>
    <row r="797" spans="1:10" x14ac:dyDescent="0.25">
      <c r="A797" s="11" t="s">
        <v>95</v>
      </c>
      <c r="B797">
        <v>2000</v>
      </c>
      <c r="C797" s="9">
        <f>549.31*32.1507</f>
        <v>17660.701016999999</v>
      </c>
      <c r="D797">
        <f t="shared" si="202"/>
        <v>5477.2254026999981</v>
      </c>
      <c r="E797" s="6">
        <f t="shared" ref="E797:E812" si="203">C797/C796-1</f>
        <v>0.44956181438663223</v>
      </c>
      <c r="F797">
        <v>1.0559498956158664</v>
      </c>
      <c r="G797">
        <f t="shared" ref="G797:G811" si="204">C797/F797</f>
        <v>16724.94224425267</v>
      </c>
      <c r="H797">
        <f t="shared" ref="H797:H812" si="205">G797-G796</f>
        <v>4795.4965793922856</v>
      </c>
      <c r="I797" s="6">
        <f t="shared" ref="I797:I812" si="206">G797/G796-1</f>
        <v>0.40198821589153955</v>
      </c>
      <c r="J797" t="s">
        <v>13</v>
      </c>
    </row>
    <row r="798" spans="1:10" x14ac:dyDescent="0.25">
      <c r="A798" s="11" t="s">
        <v>95</v>
      </c>
      <c r="B798">
        <v>2001</v>
      </c>
      <c r="C798" s="9">
        <f>533.29*32.1507</f>
        <v>17145.646803</v>
      </c>
      <c r="D798">
        <f t="shared" si="202"/>
        <v>-515.05421399999977</v>
      </c>
      <c r="E798" s="6">
        <f t="shared" si="203"/>
        <v>-2.9163860115417495E-2</v>
      </c>
      <c r="F798">
        <v>1.0860125260960336</v>
      </c>
      <c r="G798">
        <f t="shared" si="204"/>
        <v>15787.706302647055</v>
      </c>
      <c r="H798">
        <f t="shared" si="205"/>
        <v>-937.23594160561515</v>
      </c>
      <c r="I798" s="6">
        <f t="shared" si="206"/>
        <v>-5.6038216928831819E-2</v>
      </c>
    </row>
    <row r="799" spans="1:10" x14ac:dyDescent="0.25">
      <c r="A799" s="11" t="s">
        <v>95</v>
      </c>
      <c r="B799">
        <v>2002</v>
      </c>
      <c r="C799" s="9">
        <f>543*32.1507</f>
        <v>17457.830099999999</v>
      </c>
      <c r="D799">
        <f t="shared" si="202"/>
        <v>312.18329699999958</v>
      </c>
      <c r="E799" s="6">
        <f t="shared" si="203"/>
        <v>1.820772937801185E-2</v>
      </c>
      <c r="F799">
        <v>1.1031315240083506</v>
      </c>
      <c r="G799">
        <f t="shared" si="204"/>
        <v>15825.701396479941</v>
      </c>
      <c r="H799">
        <f t="shared" si="205"/>
        <v>37.995093832885686</v>
      </c>
      <c r="I799" s="6">
        <f t="shared" si="206"/>
        <v>2.4066253263475001E-3</v>
      </c>
      <c r="J799" t="s">
        <v>43</v>
      </c>
    </row>
    <row r="800" spans="1:10" x14ac:dyDescent="0.25">
      <c r="A800" s="11" t="s">
        <v>95</v>
      </c>
      <c r="B800">
        <v>2003</v>
      </c>
      <c r="C800" s="9">
        <f>694.44*32.1507</f>
        <v>22326.732108000004</v>
      </c>
      <c r="D800">
        <f t="shared" si="202"/>
        <v>4868.9020080000046</v>
      </c>
      <c r="E800" s="6">
        <f t="shared" si="203"/>
        <v>0.27889502762430962</v>
      </c>
      <c r="F800">
        <v>1.1281837160751564</v>
      </c>
      <c r="G800">
        <f t="shared" si="204"/>
        <v>19789.979052057741</v>
      </c>
      <c r="H800">
        <f t="shared" si="205"/>
        <v>3964.2776555778</v>
      </c>
      <c r="I800" s="6">
        <f t="shared" si="206"/>
        <v>0.25049617430918802</v>
      </c>
    </row>
    <row r="801" spans="1:10" x14ac:dyDescent="0.25">
      <c r="A801" s="11" t="s">
        <v>95</v>
      </c>
      <c r="B801">
        <v>2004</v>
      </c>
      <c r="C801" s="9">
        <f>848.76*32.1507</f>
        <v>27288.228132</v>
      </c>
      <c r="D801">
        <f t="shared" si="202"/>
        <v>4961.4960239999964</v>
      </c>
      <c r="E801" s="6">
        <f t="shared" si="203"/>
        <v>0.2222222222222221</v>
      </c>
      <c r="F801">
        <v>1.1586638830897704</v>
      </c>
      <c r="G801">
        <f t="shared" si="204"/>
        <v>23551.461757167566</v>
      </c>
      <c r="H801">
        <f t="shared" si="205"/>
        <v>3761.4827051098255</v>
      </c>
      <c r="I801" s="6">
        <f t="shared" si="206"/>
        <v>0.19007007007006971</v>
      </c>
    </row>
    <row r="802" spans="1:10" x14ac:dyDescent="0.25">
      <c r="A802" s="11" t="s">
        <v>95</v>
      </c>
      <c r="B802">
        <v>2005</v>
      </c>
      <c r="C802" s="9">
        <f>899.51*32.1507</f>
        <v>28919.876156999999</v>
      </c>
      <c r="D802">
        <f t="shared" si="202"/>
        <v>1631.6480249999986</v>
      </c>
      <c r="E802" s="6">
        <f t="shared" si="203"/>
        <v>5.9793109948630851E-2</v>
      </c>
      <c r="F802">
        <v>1.1979123173277662</v>
      </c>
      <c r="G802">
        <f t="shared" si="204"/>
        <v>24141.89731474904</v>
      </c>
      <c r="H802">
        <f t="shared" si="205"/>
        <v>590.4355575814734</v>
      </c>
      <c r="I802" s="6">
        <f t="shared" si="206"/>
        <v>2.5070017465127492E-2</v>
      </c>
    </row>
    <row r="803" spans="1:10" x14ac:dyDescent="0.25">
      <c r="A803" s="11" t="s">
        <v>95</v>
      </c>
      <c r="B803">
        <v>2006</v>
      </c>
      <c r="C803" s="9">
        <f>1144.42*32.1507</f>
        <v>36793.904094000005</v>
      </c>
      <c r="D803">
        <f t="shared" si="202"/>
        <v>7874.0279370000062</v>
      </c>
      <c r="E803" s="6">
        <f t="shared" si="203"/>
        <v>0.27227045836066321</v>
      </c>
      <c r="F803">
        <v>1.2367432150313151</v>
      </c>
      <c r="G803">
        <f t="shared" si="204"/>
        <v>29750.641561488865</v>
      </c>
      <c r="H803">
        <f t="shared" si="205"/>
        <v>5608.744246739825</v>
      </c>
      <c r="I803" s="6">
        <f t="shared" si="206"/>
        <v>0.23232408677810379</v>
      </c>
    </row>
    <row r="804" spans="1:10" x14ac:dyDescent="0.25">
      <c r="A804" s="11" t="s">
        <v>95</v>
      </c>
      <c r="B804">
        <v>2007</v>
      </c>
      <c r="C804" s="9">
        <f>1308.44*32.1507</f>
        <v>42067.261908</v>
      </c>
      <c r="D804">
        <f t="shared" si="202"/>
        <v>5273.3578139999954</v>
      </c>
      <c r="E804" s="6">
        <f t="shared" si="203"/>
        <v>0.14332150783803144</v>
      </c>
      <c r="F804">
        <v>1.2718162839248435</v>
      </c>
      <c r="G804">
        <f t="shared" si="204"/>
        <v>33076.524054386078</v>
      </c>
      <c r="H804">
        <f t="shared" si="205"/>
        <v>3325.8824928972135</v>
      </c>
      <c r="I804" s="6">
        <f t="shared" si="206"/>
        <v>0.1117919587052687</v>
      </c>
    </row>
    <row r="805" spans="1:10" x14ac:dyDescent="0.25">
      <c r="A805" s="11" t="s">
        <v>95</v>
      </c>
      <c r="B805">
        <v>2008</v>
      </c>
      <c r="C805" s="9">
        <f>1578.26*32.1507</f>
        <v>50742.163782000003</v>
      </c>
      <c r="D805">
        <f t="shared" si="202"/>
        <v>8674.9018740000029</v>
      </c>
      <c r="E805" s="6">
        <f t="shared" si="203"/>
        <v>0.20621503469780822</v>
      </c>
      <c r="F805">
        <v>1.3206680584551149</v>
      </c>
      <c r="G805">
        <f t="shared" si="204"/>
        <v>38421.587814698069</v>
      </c>
      <c r="H805">
        <f t="shared" si="205"/>
        <v>5345.0637603119903</v>
      </c>
      <c r="I805" s="6">
        <f t="shared" si="206"/>
        <v>0.16159690031284324</v>
      </c>
    </row>
    <row r="806" spans="1:10" x14ac:dyDescent="0.25">
      <c r="A806" s="11" t="s">
        <v>95</v>
      </c>
      <c r="B806">
        <v>2009</v>
      </c>
      <c r="C806" s="9">
        <f>1207.55*32.1507</f>
        <v>38823.577785000001</v>
      </c>
      <c r="D806">
        <f t="shared" si="202"/>
        <v>-11918.585997000002</v>
      </c>
      <c r="E806" s="6">
        <f t="shared" si="203"/>
        <v>-0.23488525338030497</v>
      </c>
      <c r="F806">
        <v>1.3160751565762003</v>
      </c>
      <c r="G806">
        <f t="shared" si="204"/>
        <v>29499.514211635473</v>
      </c>
      <c r="H806">
        <f t="shared" si="205"/>
        <v>-8922.0736030625958</v>
      </c>
      <c r="I806" s="6">
        <f t="shared" si="206"/>
        <v>-0.2322151194295381</v>
      </c>
    </row>
    <row r="807" spans="1:10" x14ac:dyDescent="0.25">
      <c r="A807" s="11" t="s">
        <v>95</v>
      </c>
      <c r="B807">
        <v>2010</v>
      </c>
      <c r="C807" s="9">
        <f>1615.56*32.1507</f>
        <v>51941.384892000002</v>
      </c>
      <c r="D807">
        <f t="shared" si="202"/>
        <v>13117.807107000001</v>
      </c>
      <c r="E807" s="6">
        <f t="shared" si="203"/>
        <v>0.33788248933791554</v>
      </c>
      <c r="F807">
        <v>1.3377870563674321</v>
      </c>
      <c r="G807">
        <f t="shared" si="204"/>
        <v>38826.347320955058</v>
      </c>
      <c r="H807">
        <f t="shared" si="205"/>
        <v>9326.8331093195848</v>
      </c>
      <c r="I807" s="6">
        <f t="shared" si="206"/>
        <v>0.31616904069697549</v>
      </c>
    </row>
    <row r="808" spans="1:10" x14ac:dyDescent="0.25">
      <c r="A808" s="11" t="s">
        <v>95</v>
      </c>
      <c r="B808">
        <v>2011</v>
      </c>
      <c r="C808" s="9">
        <f>1724.51*32.1507</f>
        <v>55444.203656999998</v>
      </c>
      <c r="D808">
        <f t="shared" si="202"/>
        <v>3502.8187649999963</v>
      </c>
      <c r="E808" s="6">
        <f t="shared" si="203"/>
        <v>6.7437916264329267E-2</v>
      </c>
      <c r="F808">
        <v>1.3799582463465554</v>
      </c>
      <c r="G808">
        <f t="shared" si="204"/>
        <v>40178.174813468984</v>
      </c>
      <c r="H808">
        <f t="shared" si="205"/>
        <v>1351.8274925139267</v>
      </c>
      <c r="I808" s="6">
        <f t="shared" si="206"/>
        <v>3.4817271924632687E-2</v>
      </c>
    </row>
    <row r="809" spans="1:10" x14ac:dyDescent="0.25">
      <c r="A809" s="11" t="s">
        <v>95</v>
      </c>
      <c r="B809">
        <v>2012</v>
      </c>
      <c r="C809" s="9">
        <f>1555.39*32.1507</f>
        <v>50006.877273000006</v>
      </c>
      <c r="D809">
        <f t="shared" si="202"/>
        <v>-5437.3263839999927</v>
      </c>
      <c r="E809" s="6">
        <f t="shared" si="203"/>
        <v>-9.8068436831331707E-2</v>
      </c>
      <c r="F809">
        <v>1.4091858037578289</v>
      </c>
      <c r="G809">
        <f t="shared" si="204"/>
        <v>35486.361798173333</v>
      </c>
      <c r="H809">
        <f t="shared" si="205"/>
        <v>-4691.813015295651</v>
      </c>
      <c r="I809" s="6">
        <f t="shared" si="206"/>
        <v>-0.1167751655489041</v>
      </c>
    </row>
    <row r="810" spans="1:10" x14ac:dyDescent="0.25">
      <c r="A810" s="11" t="s">
        <v>95</v>
      </c>
      <c r="B810">
        <v>2013</v>
      </c>
      <c r="C810" s="9">
        <f>1489.57*32.1507</f>
        <v>47890.718198999995</v>
      </c>
      <c r="D810">
        <f t="shared" si="202"/>
        <v>-2116.1590740000102</v>
      </c>
      <c r="E810" s="6">
        <f t="shared" si="203"/>
        <v>-4.2317360919126634E-2</v>
      </c>
      <c r="F810">
        <v>1.4300626304801669</v>
      </c>
      <c r="G810">
        <f t="shared" si="204"/>
        <v>33488.546010687591</v>
      </c>
      <c r="H810">
        <f t="shared" si="205"/>
        <v>-1997.8157874857425</v>
      </c>
      <c r="I810" s="6">
        <f t="shared" si="206"/>
        <v>-5.6298129372861827E-2</v>
      </c>
      <c r="J810" s="11"/>
    </row>
    <row r="811" spans="1:10" x14ac:dyDescent="0.25">
      <c r="A811" s="11" t="s">
        <v>95</v>
      </c>
      <c r="B811">
        <v>2014</v>
      </c>
      <c r="C811" s="9">
        <f>1387.89*32.1507</f>
        <v>44621.635023000003</v>
      </c>
      <c r="D811">
        <f t="shared" si="202"/>
        <v>-3269.0831759999928</v>
      </c>
      <c r="E811" s="6">
        <f t="shared" si="203"/>
        <v>-6.8261310311029222E-2</v>
      </c>
      <c r="F811">
        <v>1.4542797494780795</v>
      </c>
      <c r="G811">
        <f t="shared" si="204"/>
        <v>30682.979006627906</v>
      </c>
      <c r="H811">
        <f t="shared" si="205"/>
        <v>-2805.5670040596851</v>
      </c>
      <c r="I811" s="6">
        <f t="shared" si="206"/>
        <v>-8.3776912952993277E-2</v>
      </c>
    </row>
    <row r="812" spans="1:10" x14ac:dyDescent="0.25">
      <c r="A812" s="11" t="s">
        <v>95</v>
      </c>
      <c r="B812" s="7">
        <v>2015</v>
      </c>
      <c r="C812" s="7">
        <f>1056.09*32.1507</f>
        <v>33954.032762999996</v>
      </c>
      <c r="D812" s="7">
        <f>C812-C811</f>
        <v>-10667.602260000007</v>
      </c>
      <c r="E812" s="8">
        <f t="shared" si="203"/>
        <v>-0.23906793766076573</v>
      </c>
      <c r="F812" s="7">
        <v>1.4567849686847598</v>
      </c>
      <c r="G812" s="7">
        <f>C812/F812</f>
        <v>23307.511741870163</v>
      </c>
      <c r="H812" s="7">
        <f t="shared" si="205"/>
        <v>-7375.4672647577427</v>
      </c>
      <c r="I812" s="8">
        <f t="shared" si="206"/>
        <v>-0.24037650526582022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E614-BE11-4CDE-8FA0-A5A84D712E39}">
  <dimension ref="A1:Q20"/>
  <sheetViews>
    <sheetView workbookViewId="0">
      <selection activeCell="F25" sqref="F25"/>
    </sheetView>
  </sheetViews>
  <sheetFormatPr defaultRowHeight="15" x14ac:dyDescent="0.25"/>
  <cols>
    <col min="2" max="2" width="15" bestFit="1" customWidth="1"/>
    <col min="6" max="6" width="16.85546875" bestFit="1" customWidth="1"/>
  </cols>
  <sheetData>
    <row r="1" spans="1:6" x14ac:dyDescent="0.25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</row>
    <row r="2" spans="1:6" x14ac:dyDescent="0.25">
      <c r="A2">
        <v>1998</v>
      </c>
      <c r="B2">
        <v>0</v>
      </c>
      <c r="C2" s="13">
        <v>239.5</v>
      </c>
      <c r="D2" t="s">
        <v>2</v>
      </c>
      <c r="E2" t="s">
        <v>2</v>
      </c>
      <c r="F2" s="15">
        <v>1</v>
      </c>
    </row>
    <row r="3" spans="1:6" x14ac:dyDescent="0.25">
      <c r="A3">
        <v>1999</v>
      </c>
      <c r="B3">
        <v>1</v>
      </c>
      <c r="C3" s="13">
        <v>244.6</v>
      </c>
      <c r="D3" s="14">
        <f>C3-C2</f>
        <v>5.0999999999999943</v>
      </c>
      <c r="E3" s="6">
        <f>D3/C2</f>
        <v>2.1294363256784944E-2</v>
      </c>
      <c r="F3" s="15">
        <f>C3/$C$2</f>
        <v>1.021294363256785</v>
      </c>
    </row>
    <row r="4" spans="1:6" x14ac:dyDescent="0.25">
      <c r="A4">
        <v>2000</v>
      </c>
      <c r="B4">
        <v>2</v>
      </c>
      <c r="C4" s="13">
        <v>252.9</v>
      </c>
      <c r="D4" s="14">
        <f t="shared" ref="D4:D19" si="0">C4-C3</f>
        <v>8.3000000000000114</v>
      </c>
      <c r="E4" s="6">
        <f t="shared" ref="E4:E19" si="1">D4/C3</f>
        <v>3.3932951757972243E-2</v>
      </c>
      <c r="F4" s="15">
        <f t="shared" ref="F4:F19" si="2">C4/$C$2</f>
        <v>1.0559498956158664</v>
      </c>
    </row>
    <row r="5" spans="1:6" x14ac:dyDescent="0.25">
      <c r="A5">
        <v>2001</v>
      </c>
      <c r="B5">
        <v>3</v>
      </c>
      <c r="C5" s="13">
        <v>260.10000000000002</v>
      </c>
      <c r="D5" s="14">
        <f t="shared" si="0"/>
        <v>7.2000000000000171</v>
      </c>
      <c r="E5" s="6">
        <f t="shared" si="1"/>
        <v>2.8469750889679783E-2</v>
      </c>
      <c r="F5" s="15">
        <f t="shared" si="2"/>
        <v>1.0860125260960336</v>
      </c>
    </row>
    <row r="6" spans="1:6" x14ac:dyDescent="0.25">
      <c r="A6">
        <v>2002</v>
      </c>
      <c r="B6">
        <v>4</v>
      </c>
      <c r="C6" s="13">
        <v>264.2</v>
      </c>
      <c r="D6" s="14">
        <f t="shared" si="0"/>
        <v>4.0999999999999659</v>
      </c>
      <c r="E6" s="6">
        <f t="shared" si="1"/>
        <v>1.5763168012302826E-2</v>
      </c>
      <c r="F6" s="15">
        <f t="shared" si="2"/>
        <v>1.1031315240083506</v>
      </c>
    </row>
    <row r="7" spans="1:6" x14ac:dyDescent="0.25">
      <c r="A7">
        <v>2003</v>
      </c>
      <c r="B7">
        <v>5</v>
      </c>
      <c r="C7" s="13">
        <v>270.2</v>
      </c>
      <c r="D7" s="14">
        <f t="shared" si="0"/>
        <v>6</v>
      </c>
      <c r="E7" s="6">
        <f t="shared" si="1"/>
        <v>2.2710068130204392E-2</v>
      </c>
      <c r="F7" s="15">
        <f t="shared" si="2"/>
        <v>1.1281837160751564</v>
      </c>
    </row>
    <row r="8" spans="1:6" x14ac:dyDescent="0.25">
      <c r="A8">
        <v>2004</v>
      </c>
      <c r="B8">
        <v>6</v>
      </c>
      <c r="C8" s="13">
        <v>277.5</v>
      </c>
      <c r="D8" s="14">
        <f t="shared" si="0"/>
        <v>7.3000000000000114</v>
      </c>
      <c r="E8" s="6">
        <f t="shared" si="1"/>
        <v>2.7017024426350896E-2</v>
      </c>
      <c r="F8" s="15">
        <f t="shared" si="2"/>
        <v>1.1586638830897704</v>
      </c>
    </row>
    <row r="9" spans="1:6" x14ac:dyDescent="0.25">
      <c r="A9">
        <v>2005</v>
      </c>
      <c r="B9">
        <v>7</v>
      </c>
      <c r="C9" s="13">
        <v>286.89999999999998</v>
      </c>
      <c r="D9" s="14">
        <f t="shared" si="0"/>
        <v>9.3999999999999773</v>
      </c>
      <c r="E9" s="6">
        <f t="shared" si="1"/>
        <v>3.3873873873873792E-2</v>
      </c>
      <c r="F9" s="15">
        <f t="shared" si="2"/>
        <v>1.1979123173277662</v>
      </c>
    </row>
    <row r="10" spans="1:6" x14ac:dyDescent="0.25">
      <c r="A10">
        <v>2006</v>
      </c>
      <c r="B10">
        <v>8</v>
      </c>
      <c r="C10" s="13">
        <v>296.2</v>
      </c>
      <c r="D10" s="14">
        <f t="shared" si="0"/>
        <v>9.3000000000000114</v>
      </c>
      <c r="E10" s="6">
        <f t="shared" si="1"/>
        <v>3.2415475775531589E-2</v>
      </c>
      <c r="F10" s="15">
        <f t="shared" si="2"/>
        <v>1.2367432150313151</v>
      </c>
    </row>
    <row r="11" spans="1:6" x14ac:dyDescent="0.25">
      <c r="A11">
        <v>2007</v>
      </c>
      <c r="B11">
        <v>9</v>
      </c>
      <c r="C11" s="13">
        <v>304.60000000000002</v>
      </c>
      <c r="D11" s="14">
        <f t="shared" si="0"/>
        <v>8.4000000000000341</v>
      </c>
      <c r="E11" s="6">
        <f t="shared" si="1"/>
        <v>2.8359216745442384E-2</v>
      </c>
      <c r="F11" s="15">
        <f t="shared" si="2"/>
        <v>1.2718162839248435</v>
      </c>
    </row>
    <row r="12" spans="1:6" x14ac:dyDescent="0.25">
      <c r="A12">
        <v>2008</v>
      </c>
      <c r="B12">
        <v>10</v>
      </c>
      <c r="C12" s="13">
        <v>316.3</v>
      </c>
      <c r="D12" s="14">
        <f t="shared" si="0"/>
        <v>11.699999999999989</v>
      </c>
      <c r="E12" s="6">
        <f t="shared" si="1"/>
        <v>3.8411030860144413E-2</v>
      </c>
      <c r="F12" s="15">
        <f t="shared" si="2"/>
        <v>1.3206680584551149</v>
      </c>
    </row>
    <row r="13" spans="1:6" x14ac:dyDescent="0.25">
      <c r="A13">
        <v>2009</v>
      </c>
      <c r="B13">
        <v>11</v>
      </c>
      <c r="C13" s="13">
        <v>315.2</v>
      </c>
      <c r="D13" s="14">
        <f t="shared" si="0"/>
        <v>-1.1000000000000227</v>
      </c>
      <c r="E13" s="6">
        <f t="shared" si="1"/>
        <v>-3.4777110338287155E-3</v>
      </c>
      <c r="F13" s="15">
        <f t="shared" si="2"/>
        <v>1.3160751565762003</v>
      </c>
    </row>
    <row r="14" spans="1:6" x14ac:dyDescent="0.25">
      <c r="A14">
        <v>2010</v>
      </c>
      <c r="B14">
        <v>12</v>
      </c>
      <c r="C14" s="13">
        <v>320.39999999999998</v>
      </c>
      <c r="D14" s="14">
        <f t="shared" si="0"/>
        <v>5.1999999999999886</v>
      </c>
      <c r="E14" s="6">
        <f t="shared" si="1"/>
        <v>1.6497461928933976E-2</v>
      </c>
      <c r="F14" s="15">
        <f t="shared" si="2"/>
        <v>1.3377870563674321</v>
      </c>
    </row>
    <row r="15" spans="1:6" x14ac:dyDescent="0.25">
      <c r="A15">
        <v>2011</v>
      </c>
      <c r="B15">
        <v>13</v>
      </c>
      <c r="C15" s="13">
        <v>330.5</v>
      </c>
      <c r="D15" s="14">
        <f t="shared" si="0"/>
        <v>10.100000000000023</v>
      </c>
      <c r="E15" s="6">
        <f t="shared" si="1"/>
        <v>3.1523096129837773E-2</v>
      </c>
      <c r="F15" s="15">
        <f t="shared" si="2"/>
        <v>1.3799582463465554</v>
      </c>
    </row>
    <row r="16" spans="1:6" x14ac:dyDescent="0.25">
      <c r="A16">
        <v>2012</v>
      </c>
      <c r="B16">
        <v>14</v>
      </c>
      <c r="C16" s="13">
        <v>337.5</v>
      </c>
      <c r="D16" s="14">
        <f t="shared" si="0"/>
        <v>7</v>
      </c>
      <c r="E16" s="6">
        <f t="shared" si="1"/>
        <v>2.118003025718608E-2</v>
      </c>
      <c r="F16" s="15">
        <f t="shared" si="2"/>
        <v>1.4091858037578289</v>
      </c>
    </row>
    <row r="17" spans="1:17" x14ac:dyDescent="0.25">
      <c r="A17">
        <v>2013</v>
      </c>
      <c r="B17">
        <v>15</v>
      </c>
      <c r="C17" s="13">
        <v>342.5</v>
      </c>
      <c r="D17" s="14">
        <f t="shared" si="0"/>
        <v>5</v>
      </c>
      <c r="E17" s="6">
        <f t="shared" si="1"/>
        <v>1.4814814814814815E-2</v>
      </c>
      <c r="F17" s="15">
        <f t="shared" si="2"/>
        <v>1.4300626304801669</v>
      </c>
    </row>
    <row r="18" spans="1:17" x14ac:dyDescent="0.25">
      <c r="A18">
        <v>2014</v>
      </c>
      <c r="B18">
        <v>16</v>
      </c>
      <c r="C18" s="13">
        <v>348.3</v>
      </c>
      <c r="D18" s="14">
        <f t="shared" si="0"/>
        <v>5.8000000000000114</v>
      </c>
      <c r="E18" s="6">
        <f t="shared" si="1"/>
        <v>1.69343065693431E-2</v>
      </c>
      <c r="F18" s="15">
        <f t="shared" si="2"/>
        <v>1.4542797494780795</v>
      </c>
    </row>
    <row r="19" spans="1:17" x14ac:dyDescent="0.25">
      <c r="A19">
        <v>2015</v>
      </c>
      <c r="B19">
        <v>17</v>
      </c>
      <c r="C19" s="13">
        <v>348.9</v>
      </c>
      <c r="D19" s="14">
        <f t="shared" si="0"/>
        <v>0.59999999999996589</v>
      </c>
      <c r="E19" s="6">
        <f t="shared" si="1"/>
        <v>1.7226528854434851E-3</v>
      </c>
      <c r="F19" s="15">
        <f t="shared" si="2"/>
        <v>1.4567849686847598</v>
      </c>
      <c r="Q19" s="13"/>
    </row>
    <row r="20" spans="1:17" x14ac:dyDescent="0.25">
      <c r="Q20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Estimator</vt:lpstr>
      <vt:lpstr>Notes</vt:lpstr>
      <vt:lpstr>Prices</vt:lpstr>
      <vt:lpstr>Price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Theler</dc:creator>
  <cp:lastModifiedBy>Brennan Theler</cp:lastModifiedBy>
  <dcterms:created xsi:type="dcterms:W3CDTF">2018-05-29T22:26:42Z</dcterms:created>
  <dcterms:modified xsi:type="dcterms:W3CDTF">2018-06-12T22:04:56Z</dcterms:modified>
</cp:coreProperties>
</file>