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sanmutlu/Desktop/Kangal_Capital/"/>
    </mc:Choice>
  </mc:AlternateContent>
  <xr:revisionPtr revIDLastSave="0" documentId="13_ncr:1_{15C80C93-090D-B54C-AC06-F1773D2A6E72}" xr6:coauthVersionLast="47" xr6:coauthVersionMax="47" xr10:uidLastSave="{00000000-0000-0000-0000-000000000000}"/>
  <bookViews>
    <workbookView xWindow="580" yWindow="740" windowWidth="27640" windowHeight="16700" activeTab="1" xr2:uid="{DC20D49E-EE06-7F48-AE7F-A4D4521343A3}"/>
  </bookViews>
  <sheets>
    <sheet name="Info" sheetId="1" r:id="rId1"/>
    <sheet name="Mai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" i="2" l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AR8" i="2"/>
  <c r="AO8" i="2"/>
  <c r="AP8" i="2" s="1"/>
  <c r="AQ8" i="2" s="1"/>
  <c r="AN8" i="2"/>
  <c r="AF8" i="2"/>
  <c r="AG8" i="2" s="1"/>
  <c r="AH8" i="2" s="1"/>
  <c r="AI8" i="2" s="1"/>
  <c r="AJ8" i="2" s="1"/>
  <c r="AK8" i="2" s="1"/>
  <c r="AL8" i="2" s="1"/>
  <c r="AM8" i="2" s="1"/>
  <c r="AE8" i="2"/>
  <c r="AB8" i="2"/>
  <c r="AC8" i="2" s="1"/>
  <c r="AD8" i="2" s="1"/>
  <c r="AA8" i="2"/>
  <c r="AA12" i="2" s="1"/>
  <c r="AA30" i="2" s="1"/>
  <c r="AB28" i="2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AA28" i="2"/>
  <c r="X27" i="2"/>
  <c r="Z28" i="2"/>
  <c r="Y28" i="2"/>
  <c r="X28" i="2"/>
  <c r="Y47" i="2"/>
  <c r="Y50" i="2"/>
  <c r="Y38" i="2"/>
  <c r="Y37" i="2"/>
  <c r="Y32" i="2"/>
  <c r="Z32" i="2"/>
  <c r="AA32" i="2" l="1"/>
  <c r="AA18" i="2"/>
  <c r="AB12" i="2" l="1"/>
  <c r="AB30" i="2" s="1"/>
  <c r="AB32" i="2"/>
  <c r="AB18" i="2"/>
  <c r="AA33" i="2"/>
  <c r="AA22" i="2"/>
  <c r="Z27" i="2"/>
  <c r="Z25" i="2"/>
  <c r="Z24" i="2"/>
  <c r="Z23" i="2"/>
  <c r="Z22" i="2"/>
  <c r="Z21" i="2"/>
  <c r="Z20" i="2"/>
  <c r="Z33" i="2"/>
  <c r="Y33" i="2"/>
  <c r="X33" i="2"/>
  <c r="Y31" i="2"/>
  <c r="X31" i="2"/>
  <c r="Z30" i="2"/>
  <c r="Y30" i="2"/>
  <c r="X30" i="2"/>
  <c r="Y27" i="2"/>
  <c r="Y25" i="2"/>
  <c r="Y24" i="2"/>
  <c r="Y23" i="2"/>
  <c r="Y22" i="2"/>
  <c r="Y21" i="2"/>
  <c r="Y20" i="2"/>
  <c r="X25" i="2"/>
  <c r="X24" i="2"/>
  <c r="X23" i="2"/>
  <c r="X22" i="2"/>
  <c r="X21" i="2"/>
  <c r="X20" i="2"/>
  <c r="Z18" i="2"/>
  <c r="Z17" i="2"/>
  <c r="Z16" i="2"/>
  <c r="Z15" i="2"/>
  <c r="Y18" i="2"/>
  <c r="Y17" i="2"/>
  <c r="Y16" i="2"/>
  <c r="Y15" i="2"/>
  <c r="X18" i="2"/>
  <c r="X17" i="2"/>
  <c r="X16" i="2"/>
  <c r="X15" i="2"/>
  <c r="Z14" i="2"/>
  <c r="Y14" i="2"/>
  <c r="X14" i="2"/>
  <c r="Z12" i="2"/>
  <c r="Y12" i="2"/>
  <c r="Z11" i="2"/>
  <c r="Y11" i="2"/>
  <c r="Z10" i="2"/>
  <c r="Z9" i="2"/>
  <c r="Y9" i="2"/>
  <c r="V12" i="2"/>
  <c r="V18" i="2" s="1"/>
  <c r="X11" i="2"/>
  <c r="X12" i="2" s="1"/>
  <c r="X9" i="2"/>
  <c r="Z8" i="2"/>
  <c r="Y8" i="2"/>
  <c r="X8" i="2"/>
  <c r="G32" i="2"/>
  <c r="K32" i="2"/>
  <c r="O32" i="2"/>
  <c r="S32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F23" i="2"/>
  <c r="F24" i="2"/>
  <c r="F21" i="2"/>
  <c r="F20" i="2"/>
  <c r="F15" i="2"/>
  <c r="F14" i="2"/>
  <c r="F9" i="2"/>
  <c r="F8" i="2"/>
  <c r="F11" i="2"/>
  <c r="J24" i="2"/>
  <c r="J23" i="2"/>
  <c r="J21" i="2"/>
  <c r="J20" i="2"/>
  <c r="J17" i="2"/>
  <c r="J15" i="2"/>
  <c r="J14" i="2"/>
  <c r="J9" i="2"/>
  <c r="J11" i="2" s="1"/>
  <c r="J8" i="2"/>
  <c r="R11" i="2"/>
  <c r="R12" i="2" s="1"/>
  <c r="R18" i="2" s="1"/>
  <c r="R22" i="2" s="1"/>
  <c r="R25" i="2" s="1"/>
  <c r="R27" i="2" s="1"/>
  <c r="N24" i="2"/>
  <c r="N23" i="2"/>
  <c r="N21" i="2"/>
  <c r="N20" i="2"/>
  <c r="N17" i="2"/>
  <c r="N16" i="2"/>
  <c r="N15" i="2"/>
  <c r="N14" i="2"/>
  <c r="N11" i="2"/>
  <c r="N12" i="2" s="1"/>
  <c r="N18" i="2" s="1"/>
  <c r="N22" i="2" s="1"/>
  <c r="N25" i="2" s="1"/>
  <c r="N27" i="2" s="1"/>
  <c r="N10" i="2"/>
  <c r="N9" i="2"/>
  <c r="N8" i="2"/>
  <c r="U18" i="2"/>
  <c r="T18" i="2"/>
  <c r="S18" i="2"/>
  <c r="S22" i="2" s="1"/>
  <c r="S25" i="2" s="1"/>
  <c r="S27" i="2" s="1"/>
  <c r="P18" i="2"/>
  <c r="O18" i="2"/>
  <c r="M18" i="2"/>
  <c r="L18" i="2"/>
  <c r="K18" i="2"/>
  <c r="I18" i="2"/>
  <c r="H18" i="2"/>
  <c r="G18" i="2"/>
  <c r="E18" i="2"/>
  <c r="D18" i="2"/>
  <c r="C18" i="2"/>
  <c r="Q18" i="2"/>
  <c r="U25" i="2"/>
  <c r="T25" i="2"/>
  <c r="U22" i="2"/>
  <c r="T22" i="2"/>
  <c r="U12" i="2"/>
  <c r="T12" i="2"/>
  <c r="V11" i="2"/>
  <c r="U11" i="2"/>
  <c r="T11" i="2"/>
  <c r="S11" i="2"/>
  <c r="S12" i="2" s="1"/>
  <c r="Q11" i="2"/>
  <c r="Q12" i="2" s="1"/>
  <c r="P11" i="2"/>
  <c r="P12" i="2" s="1"/>
  <c r="P22" i="2" s="1"/>
  <c r="P25" i="2" s="1"/>
  <c r="O11" i="2"/>
  <c r="O12" i="2" s="1"/>
  <c r="M11" i="2"/>
  <c r="M12" i="2" s="1"/>
  <c r="M22" i="2" s="1"/>
  <c r="M25" i="2" s="1"/>
  <c r="L11" i="2"/>
  <c r="L12" i="2" s="1"/>
  <c r="L22" i="2" s="1"/>
  <c r="L25" i="2" s="1"/>
  <c r="K11" i="2"/>
  <c r="K12" i="2" s="1"/>
  <c r="K22" i="2" s="1"/>
  <c r="K25" i="2" s="1"/>
  <c r="I11" i="2"/>
  <c r="I12" i="2" s="1"/>
  <c r="I22" i="2" s="1"/>
  <c r="I25" i="2" s="1"/>
  <c r="H11" i="2"/>
  <c r="H12" i="2" s="1"/>
  <c r="H22" i="2" s="1"/>
  <c r="H25" i="2" s="1"/>
  <c r="G11" i="2"/>
  <c r="G12" i="2" s="1"/>
  <c r="G22" i="2" s="1"/>
  <c r="G25" i="2" s="1"/>
  <c r="E11" i="2"/>
  <c r="E12" i="2" s="1"/>
  <c r="E22" i="2" s="1"/>
  <c r="E25" i="2" s="1"/>
  <c r="D11" i="2"/>
  <c r="D12" i="2" s="1"/>
  <c r="D22" i="2" s="1"/>
  <c r="D25" i="2" s="1"/>
  <c r="C11" i="2"/>
  <c r="C12" i="2" s="1"/>
  <c r="C22" i="2" s="1"/>
  <c r="C25" i="2" s="1"/>
  <c r="C8" i="1"/>
  <c r="C9" i="1"/>
  <c r="C7" i="1"/>
  <c r="C6" i="1"/>
  <c r="AB33" i="2" l="1"/>
  <c r="AB22" i="2"/>
  <c r="AA24" i="2"/>
  <c r="AA23" i="2"/>
  <c r="AA31" i="2" s="1"/>
  <c r="AA25" i="2"/>
  <c r="AC32" i="2"/>
  <c r="AC12" i="2"/>
  <c r="AC30" i="2" s="1"/>
  <c r="AC18" i="2"/>
  <c r="Z31" i="2"/>
  <c r="V33" i="2"/>
  <c r="V22" i="2"/>
  <c r="V25" i="2" s="1"/>
  <c r="F12" i="2"/>
  <c r="F18" i="2" s="1"/>
  <c r="F22" i="2" s="1"/>
  <c r="F25" i="2" s="1"/>
  <c r="F27" i="2" s="1"/>
  <c r="J12" i="2"/>
  <c r="J18" i="2" s="1"/>
  <c r="J22" i="2" s="1"/>
  <c r="J25" i="2" s="1"/>
  <c r="J27" i="2" s="1"/>
  <c r="O22" i="2"/>
  <c r="O25" i="2" s="1"/>
  <c r="Q22" i="2"/>
  <c r="Q25" i="2" s="1"/>
  <c r="Q27" i="2" s="1"/>
  <c r="D27" i="2"/>
  <c r="I27" i="2"/>
  <c r="V27" i="2"/>
  <c r="L27" i="2"/>
  <c r="P27" i="2"/>
  <c r="O27" i="2"/>
  <c r="U27" i="2"/>
  <c r="T27" i="2"/>
  <c r="H27" i="2"/>
  <c r="C27" i="2"/>
  <c r="G27" i="2"/>
  <c r="K27" i="2"/>
  <c r="E27" i="2"/>
  <c r="M27" i="2"/>
  <c r="AA27" i="2" l="1"/>
  <c r="AD12" i="2"/>
  <c r="AD30" i="2" s="1"/>
  <c r="AD32" i="2"/>
  <c r="AD18" i="2"/>
  <c r="AB24" i="2"/>
  <c r="AB23" i="2"/>
  <c r="AB31" i="2" s="1"/>
  <c r="AC22" i="2"/>
  <c r="AC33" i="2"/>
  <c r="V31" i="2"/>
  <c r="AE32" i="2" l="1"/>
  <c r="AE18" i="2"/>
  <c r="AE12" i="2"/>
  <c r="AE30" i="2" s="1"/>
  <c r="AC23" i="2"/>
  <c r="AC31" i="2" s="1"/>
  <c r="AC24" i="2"/>
  <c r="AC25" i="2" s="1"/>
  <c r="AC27" i="2" s="1"/>
  <c r="AD22" i="2"/>
  <c r="AD33" i="2"/>
  <c r="AB25" i="2"/>
  <c r="AD23" i="2" l="1"/>
  <c r="AD31" i="2" s="1"/>
  <c r="AD24" i="2"/>
  <c r="AD25" i="2" s="1"/>
  <c r="AE22" i="2"/>
  <c r="AE33" i="2"/>
  <c r="AB27" i="2"/>
  <c r="AF32" i="2"/>
  <c r="AF18" i="2"/>
  <c r="AF12" i="2"/>
  <c r="AF30" i="2" s="1"/>
  <c r="AD27" i="2" l="1"/>
  <c r="AG12" i="2"/>
  <c r="AG30" i="2" s="1"/>
  <c r="AG32" i="2"/>
  <c r="AG18" i="2"/>
  <c r="AE24" i="2"/>
  <c r="AE23" i="2"/>
  <c r="AE31" i="2" s="1"/>
  <c r="AF22" i="2"/>
  <c r="AF33" i="2"/>
  <c r="AH18" i="2" l="1"/>
  <c r="AH12" i="2"/>
  <c r="AH30" i="2" s="1"/>
  <c r="AH32" i="2"/>
  <c r="AG22" i="2"/>
  <c r="AG33" i="2"/>
  <c r="AF24" i="2"/>
  <c r="AF23" i="2"/>
  <c r="AF31" i="2" s="1"/>
  <c r="AE25" i="2"/>
  <c r="AG24" i="2" l="1"/>
  <c r="AG23" i="2"/>
  <c r="AE27" i="2"/>
  <c r="AH22" i="2"/>
  <c r="AH33" i="2"/>
  <c r="AF25" i="2"/>
  <c r="AF27" i="2" s="1"/>
  <c r="AI12" i="2"/>
  <c r="AI30" i="2" s="1"/>
  <c r="AI32" i="2"/>
  <c r="AI18" i="2"/>
  <c r="AJ12" i="2" l="1"/>
  <c r="AJ30" i="2" s="1"/>
  <c r="AJ32" i="2"/>
  <c r="AJ18" i="2"/>
  <c r="AH24" i="2"/>
  <c r="AH23" i="2"/>
  <c r="AH31" i="2" s="1"/>
  <c r="AH25" i="2"/>
  <c r="AH27" i="2" s="1"/>
  <c r="AI33" i="2"/>
  <c r="AI22" i="2"/>
  <c r="AG25" i="2"/>
  <c r="AG31" i="2"/>
  <c r="AJ33" i="2" l="1"/>
  <c r="AJ22" i="2"/>
  <c r="AG27" i="2"/>
  <c r="AI24" i="2"/>
  <c r="AI23" i="2"/>
  <c r="AI31" i="2" s="1"/>
  <c r="AI25" i="2"/>
  <c r="AI27" i="2" s="1"/>
  <c r="AK12" i="2"/>
  <c r="AK30" i="2" s="1"/>
  <c r="AK32" i="2"/>
  <c r="AK18" i="2"/>
  <c r="AL12" i="2" l="1"/>
  <c r="AL30" i="2" s="1"/>
  <c r="AL32" i="2"/>
  <c r="AL18" i="2"/>
  <c r="AK33" i="2"/>
  <c r="AK22" i="2"/>
  <c r="AJ24" i="2"/>
  <c r="AJ23" i="2"/>
  <c r="AJ31" i="2" s="1"/>
  <c r="AJ25" i="2" l="1"/>
  <c r="AJ27" i="2" s="1"/>
  <c r="AK23" i="2"/>
  <c r="AK31" i="2" s="1"/>
  <c r="AK24" i="2"/>
  <c r="AK25" i="2" s="1"/>
  <c r="AK27" i="2" s="1"/>
  <c r="AL22" i="2"/>
  <c r="AL33" i="2"/>
  <c r="AM18" i="2"/>
  <c r="AM32" i="2"/>
  <c r="AM12" i="2"/>
  <c r="AM30" i="2" s="1"/>
  <c r="AM22" i="2" l="1"/>
  <c r="AM33" i="2"/>
  <c r="AN32" i="2"/>
  <c r="AN18" i="2"/>
  <c r="AN12" i="2"/>
  <c r="AN30" i="2" s="1"/>
  <c r="AL23" i="2"/>
  <c r="AL31" i="2" s="1"/>
  <c r="AL25" i="2"/>
  <c r="AL27" i="2" s="1"/>
  <c r="AL24" i="2"/>
  <c r="AO32" i="2" l="1"/>
  <c r="AO12" i="2"/>
  <c r="AO30" i="2" s="1"/>
  <c r="AO18" i="2"/>
  <c r="AN22" i="2"/>
  <c r="AN33" i="2"/>
  <c r="AM23" i="2"/>
  <c r="AM31" i="2" s="1"/>
  <c r="AM24" i="2"/>
  <c r="AM25" i="2" l="1"/>
  <c r="AM27" i="2" s="1"/>
  <c r="AN23" i="2"/>
  <c r="AN31" i="2" s="1"/>
  <c r="AN24" i="2"/>
  <c r="AN25" i="2" s="1"/>
  <c r="AN27" i="2" s="1"/>
  <c r="AO22" i="2"/>
  <c r="AO33" i="2"/>
  <c r="AP12" i="2"/>
  <c r="AP30" i="2" s="1"/>
  <c r="AP32" i="2"/>
  <c r="AP18" i="2"/>
  <c r="AO24" i="2" l="1"/>
  <c r="AO23" i="2"/>
  <c r="AQ12" i="2"/>
  <c r="AQ30" i="2" s="1"/>
  <c r="AQ18" i="2"/>
  <c r="AQ32" i="2"/>
  <c r="AP22" i="2"/>
  <c r="AP33" i="2"/>
  <c r="AP24" i="2" l="1"/>
  <c r="AP23" i="2"/>
  <c r="AP31" i="2" s="1"/>
  <c r="AQ33" i="2"/>
  <c r="AQ22" i="2"/>
  <c r="AR12" i="2"/>
  <c r="AR30" i="2" s="1"/>
  <c r="AR32" i="2"/>
  <c r="AR18" i="2"/>
  <c r="AO25" i="2"/>
  <c r="AO27" i="2" s="1"/>
  <c r="AO31" i="2"/>
  <c r="AS18" i="2" l="1"/>
  <c r="AS12" i="2"/>
  <c r="AS30" i="2" s="1"/>
  <c r="AS32" i="2"/>
  <c r="AQ24" i="2"/>
  <c r="AQ23" i="2"/>
  <c r="AQ31" i="2" s="1"/>
  <c r="AQ25" i="2"/>
  <c r="AQ27" i="2" s="1"/>
  <c r="AR33" i="2"/>
  <c r="AR22" i="2"/>
  <c r="AP25" i="2"/>
  <c r="AP27" i="2" s="1"/>
  <c r="AS22" i="2" l="1"/>
  <c r="AS33" i="2"/>
  <c r="AR24" i="2"/>
  <c r="AR23" i="2"/>
  <c r="AR31" i="2" s="1"/>
  <c r="AR25" i="2"/>
  <c r="AR27" i="2" s="1"/>
  <c r="AT12" i="2"/>
  <c r="AT30" i="2" s="1"/>
  <c r="AT32" i="2"/>
  <c r="AT18" i="2"/>
  <c r="AU32" i="2" l="1"/>
  <c r="AU18" i="2"/>
  <c r="AU12" i="2"/>
  <c r="AU30" i="2" s="1"/>
  <c r="AT22" i="2"/>
  <c r="AT33" i="2"/>
  <c r="AS24" i="2"/>
  <c r="AS23" i="2"/>
  <c r="AS31" i="2" s="1"/>
  <c r="AT23" i="2" l="1"/>
  <c r="AT31" i="2" s="1"/>
  <c r="AT24" i="2"/>
  <c r="AT25" i="2" s="1"/>
  <c r="AT27" i="2" s="1"/>
  <c r="AU22" i="2"/>
  <c r="AU33" i="2"/>
  <c r="AS25" i="2"/>
  <c r="AS27" i="2" s="1"/>
  <c r="AV32" i="2"/>
  <c r="AV18" i="2"/>
  <c r="AV12" i="2"/>
  <c r="AV30" i="2" s="1"/>
  <c r="AW12" i="2" l="1"/>
  <c r="AW30" i="2" s="1"/>
  <c r="AW32" i="2"/>
  <c r="AW18" i="2"/>
  <c r="AU23" i="2"/>
  <c r="AU31" i="2" s="1"/>
  <c r="AU24" i="2"/>
  <c r="AU25" i="2" s="1"/>
  <c r="AU27" i="2" s="1"/>
  <c r="AV22" i="2"/>
  <c r="AV33" i="2"/>
  <c r="AV23" i="2" l="1"/>
  <c r="AV31" i="2" s="1"/>
  <c r="AV24" i="2"/>
  <c r="AW22" i="2"/>
  <c r="AW33" i="2"/>
  <c r="AX18" i="2"/>
  <c r="AX12" i="2"/>
  <c r="AX30" i="2" s="1"/>
  <c r="AX32" i="2"/>
  <c r="AY12" i="2" l="1"/>
  <c r="AY30" i="2" s="1"/>
  <c r="AY18" i="2"/>
  <c r="AY32" i="2"/>
  <c r="AX22" i="2"/>
  <c r="AX33" i="2"/>
  <c r="AW24" i="2"/>
  <c r="AW23" i="2"/>
  <c r="AV25" i="2"/>
  <c r="AV27" i="2" s="1"/>
  <c r="AW25" i="2" l="1"/>
  <c r="AW27" i="2" s="1"/>
  <c r="AW31" i="2"/>
  <c r="AX24" i="2"/>
  <c r="AX23" i="2"/>
  <c r="AX31" i="2" s="1"/>
  <c r="AY22" i="2"/>
  <c r="AY33" i="2"/>
  <c r="AZ12" i="2"/>
  <c r="AZ30" i="2" s="1"/>
  <c r="AZ32" i="2"/>
  <c r="AZ18" i="2"/>
  <c r="AZ33" i="2" l="1"/>
  <c r="AZ22" i="2"/>
  <c r="BA12" i="2"/>
  <c r="BA30" i="2" s="1"/>
  <c r="BA18" i="2"/>
  <c r="BA32" i="2"/>
  <c r="AY24" i="2"/>
  <c r="AY23" i="2"/>
  <c r="AY31" i="2" s="1"/>
  <c r="AX25" i="2"/>
  <c r="AX27" i="2" s="1"/>
  <c r="BA22" i="2" l="1"/>
  <c r="BA33" i="2"/>
  <c r="BB12" i="2"/>
  <c r="BB30" i="2" s="1"/>
  <c r="BB32" i="2"/>
  <c r="BB18" i="2"/>
  <c r="AZ24" i="2"/>
  <c r="AZ23" i="2"/>
  <c r="AZ31" i="2" s="1"/>
  <c r="AY25" i="2"/>
  <c r="AY27" i="2" s="1"/>
  <c r="BB33" i="2" l="1"/>
  <c r="BB22" i="2"/>
  <c r="BC18" i="2"/>
  <c r="BC32" i="2"/>
  <c r="BC12" i="2"/>
  <c r="BC30" i="2" s="1"/>
  <c r="AZ25" i="2"/>
  <c r="AZ27" i="2" s="1"/>
  <c r="BA23" i="2"/>
  <c r="BA31" i="2" s="1"/>
  <c r="BA24" i="2"/>
  <c r="BC22" i="2" l="1"/>
  <c r="BC33" i="2"/>
  <c r="BD32" i="2"/>
  <c r="BD18" i="2"/>
  <c r="BD12" i="2"/>
  <c r="BD30" i="2" s="1"/>
  <c r="BA25" i="2"/>
  <c r="BA27" i="2" s="1"/>
  <c r="BB23" i="2"/>
  <c r="BB31" i="2" s="1"/>
  <c r="BB24" i="2"/>
  <c r="BD22" i="2" l="1"/>
  <c r="BD33" i="2"/>
  <c r="BB25" i="2"/>
  <c r="BB27" i="2" s="1"/>
  <c r="BC23" i="2"/>
  <c r="BC31" i="2" s="1"/>
  <c r="BC24" i="2"/>
  <c r="BC25" i="2" s="1"/>
  <c r="BC27" i="2" s="1"/>
  <c r="BD23" i="2" l="1"/>
  <c r="BD31" i="2" s="1"/>
  <c r="BD24" i="2"/>
  <c r="BD25" i="2" s="1"/>
  <c r="BD27" i="2" l="1"/>
  <c r="Y46" i="2"/>
  <c r="Y48" i="2" s="1"/>
  <c r="Y49" i="2" s="1"/>
</calcChain>
</file>

<file path=xl/sharedStrings.xml><?xml version="1.0" encoding="utf-8"?>
<sst xmlns="http://schemas.openxmlformats.org/spreadsheetml/2006/main" count="85" uniqueCount="66">
  <si>
    <t xml:space="preserve">Ticker </t>
  </si>
  <si>
    <t xml:space="preserve">AMD </t>
  </si>
  <si>
    <t xml:space="preserve">Share Price </t>
  </si>
  <si>
    <t xml:space="preserve">Shares Outstanding </t>
  </si>
  <si>
    <t xml:space="preserve">Market Cap </t>
  </si>
  <si>
    <t xml:space="preserve">Cash </t>
  </si>
  <si>
    <t xml:space="preserve">Debt </t>
  </si>
  <si>
    <t xml:space="preserve">EV </t>
  </si>
  <si>
    <t xml:space="preserve">Revenue </t>
  </si>
  <si>
    <t xml:space="preserve">Cost of Sales </t>
  </si>
  <si>
    <t>Amortisation of Acq-related</t>
  </si>
  <si>
    <t>Total CoS</t>
  </si>
  <si>
    <t xml:space="preserve">Gross Profit </t>
  </si>
  <si>
    <t>R&amp;D</t>
  </si>
  <si>
    <t>M&amp;A</t>
  </si>
  <si>
    <t xml:space="preserve">Licensing Gain </t>
  </si>
  <si>
    <t xml:space="preserve">OI </t>
  </si>
  <si>
    <t>Interest Expense</t>
  </si>
  <si>
    <t xml:space="preserve">Other Income </t>
  </si>
  <si>
    <t>Income before taxes</t>
  </si>
  <si>
    <t>taxes</t>
  </si>
  <si>
    <t>Equity income in investee</t>
  </si>
  <si>
    <t xml:space="preserve">Net Income </t>
  </si>
  <si>
    <t xml:space="preserve">EPS </t>
  </si>
  <si>
    <t>Shares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</si>
  <si>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</si>
  <si>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</si>
  <si>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</si>
  <si>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</si>
  <si>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</si>
  <si>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</si>
  <si>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</si>
  <si>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</si>
  <si>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</si>
  <si>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</si>
  <si>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</si>
  <si>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</si>
  <si>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</si>
  <si>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</si>
  <si>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</si>
  <si>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</si>
  <si>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</si>
  <si>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</si>
  <si>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</si>
  <si>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</si>
  <si>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March</t>
  </si>
  <si>
    <t>June</t>
  </si>
  <si>
    <t>Sept</t>
  </si>
  <si>
    <t xml:space="preserve">Dec </t>
  </si>
  <si>
    <t xml:space="preserve">Margin </t>
  </si>
  <si>
    <t>Taxes</t>
  </si>
  <si>
    <t xml:space="preserve">Revenue YoY </t>
  </si>
  <si>
    <t>Operating Income %</t>
  </si>
  <si>
    <t>Assumptions</t>
  </si>
  <si>
    <t>Data</t>
  </si>
  <si>
    <t>Revenue YoY</t>
  </si>
  <si>
    <t>Margin</t>
  </si>
  <si>
    <t>Operating Expenses</t>
  </si>
  <si>
    <t xml:space="preserve">Tax Rate </t>
  </si>
  <si>
    <t>What the Market Thinks</t>
  </si>
  <si>
    <t xml:space="preserve">Maturity </t>
  </si>
  <si>
    <t xml:space="preserve">Discount Rate </t>
  </si>
  <si>
    <t>NPV</t>
  </si>
  <si>
    <t>Net NPV</t>
  </si>
  <si>
    <t>Share Price</t>
  </si>
  <si>
    <t xml:space="preserve">Current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</si>
</sst>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_);[Red]\(&quot;£&quot;#,##0\)"/>
    <numFmt numFmtId="167" formatCode="[$$-409]#,##0"/>
    <numFmt numFmtId="168" formatCode="[$$-409]#,##0.00"/>
    <numFmt numFmtId="169" formatCode="0.0%"/>
    <numFmt numFmtId="170" formatCode="[$$-409]#,##0.00_);[Red]\([$$-409]#,##0.00\)"/>
  </numFmts>
  <fonts count="4" x14ac:knownFonts="1"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2" borderId="0" xfId="0" applyFill="1"/>
    <xf numFmtId="1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3" borderId="0" xfId="0" applyFill="1"/>
    <xf numFmtId="170" fontId="0" fillId="3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0" fontId="0" fillId="4" borderId="0" xfId="0" applyFill="1"/>
    <xf numFmtId="167" fontId="0" fillId="4" borderId="0" xfId="0" applyNumberForma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/>
    <xf numFmtId="10" fontId="0" fillId="0" borderId="0" xfId="0" applyNumberFormat="1"/>
    <xf numFmtId="1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6" fontId="0" fillId="3" borderId="0" xfId="0" applyNumberFormat="1" applyFill="1" applyAlignment="1">
      <alignment horizontal="center"/>
    </xf>
  </cellXfs>
  <cellStyles count="1">
    <cellStyle name="Normal" xfId="0" builtinId="0"/>
  </cellStyles>
  <dxfs count="1"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C6A49-CB8B-FF48-A887-CC41F7FFC541}" name="Table2" displayName="Table2" ref="X36:Y41" totalsRowShown="0">
  <autoFilter ref="X36:Y41" xr:uid="{604C6A49-CB8B-FF48-A887-CC41F7FFC541}"/>
  <tableColumns count="2">
    <tableColumn id="1" xr3:uid="{1D0C549A-635F-1349-8097-3F1CF0E90090}" name="Assumptions"/>
    <tableColumn id="2" xr3:uid="{5F583637-0DFD-C042-905A-151D588FB193}" name="Data" dataDxfId="0">
      <calculatedColumnFormula>AVERAGE(Y32:Z32)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F059-9AC3-3447-A825-4CE6B99AC936}">
  <dimension ref="B3:C9"/>
  <sheetViews>
    <sheetView workbookViewId="0">
      <selection activeCell="C12" sqref="C12"/>
    </sheetView>
  </sheetViews>
  <sheetFormatPr baseColWidth="10" defaultRowHeight="16" x14ac:dyDescent="0.2"/>
  <cols>
    <col min="2" max="2" width="17.33203125" bestFit="1" customWidth="1"/>
    <col min="3" max="3" width="12.6640625" bestFit="1" customWidth="1"/>
  </cols>
  <sheetData>
    <row r="3" spans="2:3" x14ac:dyDescent="0.2">
      <c r="B3" t="s">
        <v>0</v>
      </c>
      <c r="C3" s="1" t="s">
        <v>1</v>
      </c>
    </row>
    <row r="4" spans="2:3" x14ac:dyDescent="0.2">
      <c r="B4" t="s">
        <v>2</v>
      </c>
      <c r="C4" s="4">
        <v>177.55</v>
      </c>
    </row>
    <row r="5" spans="2:3" x14ac:dyDescent="0.2">
      <c r="B5" t="s">
        <v>3</v>
      </c>
      <c r="C5" s="2">
        <v>1616</v>
      </c>
    </row>
    <row r="6" spans="2:3" x14ac:dyDescent="0.2">
      <c r="B6" t="s">
        <v>4</v>
      </c>
      <c r="C6" s="3">
        <f>C5*C4</f>
        <v>286920.80000000005</v>
      </c>
    </row>
    <row r="7" spans="2:3" x14ac:dyDescent="0.2">
      <c r="B7" t="s">
        <v>5</v>
      </c>
      <c r="C7" s="3">
        <f>3933+1840</f>
        <v>5773</v>
      </c>
    </row>
    <row r="8" spans="2:3" x14ac:dyDescent="0.2">
      <c r="B8" t="s">
        <v>6</v>
      </c>
      <c r="C8" s="3">
        <f>751+1717+535</f>
        <v>3003</v>
      </c>
    </row>
    <row r="9" spans="2:3" x14ac:dyDescent="0.2">
      <c r="B9" t="s">
        <v>7</v>
      </c>
      <c r="C9" s="3">
        <f>C6-C8+C7</f>
        <v>289690.80000000005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B5F9-0889-0444-A423-66CFEB21A3C1}">
  <dimension ref="B6:BD50"/>
  <sheetViews>
    <sheetView tabSelected="1" workbookViewId="0">
      <pane xSplit="2" ySplit="7" topLeftCell="R32" activePane="bottomRight" state="frozen"/>
      <selection pane="topRight" activeCell="C1" sqref="C1"/>
      <selection pane="bottomLeft" activeCell="A8" sqref="A8"/>
      <selection pane="bottomRight" activeCell="Y46" sqref="Y46"/>
    </sheetView>
  </sheetViews>
  <sheetFormatPr baseColWidth="10" defaultRowHeight="16" x14ac:dyDescent="0.2"/>
  <cols>
    <col min="2" max="2" width="23.5" bestFit="1" customWidth="1"/>
    <col min="24" max="24" width="20" bestFit="1" customWidth="1"/>
    <col min="25" max="25" width="13.5" bestFit="1" customWidth="1"/>
    <col min="27" max="34" width="11" bestFit="1" customWidth="1"/>
    <col min="35" max="35" width="11.33203125" bestFit="1" customWidth="1"/>
    <col min="36" max="40" width="11" bestFit="1" customWidth="1"/>
    <col min="41" max="41" width="12.83203125" bestFit="1" customWidth="1"/>
    <col min="42" max="49" width="11" bestFit="1" customWidth="1"/>
    <col min="50" max="50" width="12.83203125" bestFit="1" customWidth="1"/>
    <col min="51" max="54" width="11" bestFit="1" customWidth="1"/>
    <col min="55" max="56" width="11.1640625" bestFit="1" customWidth="1"/>
  </cols>
  <sheetData>
    <row r="6" spans="2:56" x14ac:dyDescent="0.2">
      <c r="C6" s="7" t="s">
        <v>45</v>
      </c>
      <c r="D6" s="7" t="s">
        <v>46</v>
      </c>
      <c r="E6" s="7" t="s">
        <v>47</v>
      </c>
      <c r="F6" s="7" t="s">
        <v>48</v>
      </c>
      <c r="G6" s="7" t="s">
        <v>45</v>
      </c>
      <c r="H6" s="7" t="s">
        <v>46</v>
      </c>
      <c r="I6" s="7" t="s">
        <v>47</v>
      </c>
      <c r="J6" s="7" t="s">
        <v>48</v>
      </c>
      <c r="K6" s="7" t="s">
        <v>45</v>
      </c>
      <c r="L6" s="7" t="s">
        <v>46</v>
      </c>
      <c r="M6" s="7" t="s">
        <v>47</v>
      </c>
      <c r="N6" s="7" t="s">
        <v>48</v>
      </c>
      <c r="O6" s="7" t="s">
        <v>45</v>
      </c>
      <c r="P6" s="7" t="s">
        <v>46</v>
      </c>
      <c r="Q6" s="7" t="s">
        <v>47</v>
      </c>
      <c r="R6" s="7" t="s">
        <v>48</v>
      </c>
      <c r="S6" s="7" t="s">
        <v>45</v>
      </c>
      <c r="T6" s="7" t="s">
        <v>46</v>
      </c>
      <c r="U6" s="7" t="s">
        <v>47</v>
      </c>
      <c r="V6" s="7" t="s">
        <v>48</v>
      </c>
      <c r="X6" s="15"/>
      <c r="Y6" s="15"/>
      <c r="Z6" s="15"/>
    </row>
    <row r="7" spans="2:56" x14ac:dyDescent="0.2">
      <c r="C7" s="7" t="s">
        <v>25</v>
      </c>
      <c r="D7" s="7" t="s">
        <v>26</v>
      </c>
      <c r="E7" s="7" t="s">
        <v>27</v>
      </c>
      <c r="F7" s="7" t="s">
        <v>28</v>
      </c>
      <c r="G7" s="7" t="s">
        <v>29</v>
      </c>
      <c r="H7" s="7" t="s">
        <v>30</v>
      </c>
      <c r="I7" s="7" t="s">
        <v>31</v>
      </c>
      <c r="J7" s="7" t="s">
        <v>32</v>
      </c>
      <c r="K7" s="7" t="s">
        <v>33</v>
      </c>
      <c r="L7" s="7" t="s">
        <v>34</v>
      </c>
      <c r="M7" s="7" t="s">
        <v>35</v>
      </c>
      <c r="N7" s="7" t="s">
        <v>36</v>
      </c>
      <c r="O7" s="7" t="s">
        <v>37</v>
      </c>
      <c r="P7" s="7" t="s">
        <v>38</v>
      </c>
      <c r="Q7" s="7" t="s">
        <v>39</v>
      </c>
      <c r="R7" s="7" t="s">
        <v>40</v>
      </c>
      <c r="S7" s="7" t="s">
        <v>41</v>
      </c>
      <c r="T7" s="7" t="s">
        <v>42</v>
      </c>
      <c r="U7" s="7" t="s">
        <v>43</v>
      </c>
      <c r="V7" s="7" t="s">
        <v>44</v>
      </c>
      <c r="X7" s="7">
        <v>2020</v>
      </c>
      <c r="Y7" s="7">
        <v>2021</v>
      </c>
      <c r="Z7" s="7">
        <v>2022</v>
      </c>
      <c r="AA7" s="7">
        <v>2023</v>
      </c>
      <c r="AB7" s="7">
        <v>2024</v>
      </c>
      <c r="AC7" s="7">
        <v>2025</v>
      </c>
      <c r="AD7" s="7">
        <v>2026</v>
      </c>
      <c r="AE7" s="7">
        <v>2027</v>
      </c>
      <c r="AF7" s="7">
        <v>2028</v>
      </c>
      <c r="AG7" s="7">
        <v>2029</v>
      </c>
      <c r="AH7" s="7">
        <v>2030</v>
      </c>
      <c r="AI7" s="7">
        <v>2031</v>
      </c>
      <c r="AJ7" s="7">
        <v>2032</v>
      </c>
      <c r="AK7" s="7">
        <v>2033</v>
      </c>
      <c r="AL7" s="7">
        <v>2034</v>
      </c>
      <c r="AM7" s="7">
        <v>2035</v>
      </c>
      <c r="AN7" s="7">
        <v>2036</v>
      </c>
      <c r="AO7" s="7">
        <v>2037</v>
      </c>
      <c r="AP7" s="7">
        <v>2038</v>
      </c>
      <c r="AQ7" s="7">
        <v>2039</v>
      </c>
      <c r="AR7" s="7">
        <v>2040</v>
      </c>
      <c r="AS7" s="7">
        <v>2041</v>
      </c>
      <c r="AT7" s="7">
        <v>2042</v>
      </c>
      <c r="AU7" s="7">
        <v>2043</v>
      </c>
      <c r="AV7" s="7">
        <v>2044</v>
      </c>
      <c r="AW7" s="7">
        <v>2045</v>
      </c>
      <c r="AX7" s="7">
        <v>2046</v>
      </c>
      <c r="AY7" s="7">
        <v>2047</v>
      </c>
      <c r="AZ7" s="7">
        <v>2048</v>
      </c>
      <c r="BA7" s="7">
        <v>2049</v>
      </c>
      <c r="BB7" s="7">
        <v>2050</v>
      </c>
      <c r="BC7" s="7">
        <v>2051</v>
      </c>
      <c r="BD7" s="7">
        <v>2052</v>
      </c>
    </row>
    <row r="8" spans="2:56" x14ac:dyDescent="0.2">
      <c r="B8" s="5" t="s">
        <v>8</v>
      </c>
      <c r="C8" s="11">
        <v>1786</v>
      </c>
      <c r="D8" s="11">
        <v>1932</v>
      </c>
      <c r="E8" s="11">
        <v>2801</v>
      </c>
      <c r="F8" s="11">
        <f>9763-SUM(C8:E8)</f>
        <v>3244</v>
      </c>
      <c r="G8" s="11">
        <v>3445</v>
      </c>
      <c r="H8" s="11">
        <v>3850</v>
      </c>
      <c r="I8" s="11">
        <v>4313</v>
      </c>
      <c r="J8" s="11">
        <f>16434-SUM(G8:I8)</f>
        <v>4826</v>
      </c>
      <c r="K8" s="11">
        <v>5887</v>
      </c>
      <c r="L8" s="11">
        <v>6550</v>
      </c>
      <c r="M8" s="11">
        <v>5565</v>
      </c>
      <c r="N8" s="11">
        <f>23601-SUM(K8:M8)</f>
        <v>5599</v>
      </c>
      <c r="O8" s="11">
        <v>5353</v>
      </c>
      <c r="P8" s="11">
        <v>5359</v>
      </c>
      <c r="Q8" s="11">
        <v>5800</v>
      </c>
      <c r="R8" s="11"/>
      <c r="S8" s="11">
        <v>5473</v>
      </c>
      <c r="T8" s="11"/>
      <c r="U8" s="11"/>
      <c r="V8" s="11"/>
      <c r="X8" s="11">
        <f>SUM(C8:F8)</f>
        <v>9763</v>
      </c>
      <c r="Y8" s="11">
        <f>SUM(G8:J8)</f>
        <v>16434</v>
      </c>
      <c r="Z8" s="11">
        <f>SUM(K8:N8)</f>
        <v>23601</v>
      </c>
      <c r="AA8" s="23">
        <f>Z8*1.4</f>
        <v>33041.4</v>
      </c>
      <c r="AB8" s="23">
        <f t="shared" ref="AB8:AD8" si="0">AA8*1.4</f>
        <v>46257.96</v>
      </c>
      <c r="AC8" s="23">
        <f t="shared" si="0"/>
        <v>64761.143999999993</v>
      </c>
      <c r="AD8" s="23">
        <f t="shared" si="0"/>
        <v>90665.60159999998</v>
      </c>
      <c r="AE8" s="23">
        <f>AD8*1.2</f>
        <v>108798.72191999997</v>
      </c>
      <c r="AF8" s="23">
        <f t="shared" ref="AF8:AM8" si="1">AE8*1.2</f>
        <v>130558.46630399996</v>
      </c>
      <c r="AG8" s="23">
        <f t="shared" si="1"/>
        <v>156670.15956479995</v>
      </c>
      <c r="AH8" s="23">
        <f t="shared" si="1"/>
        <v>188004.19147775994</v>
      </c>
      <c r="AI8" s="23">
        <f t="shared" si="1"/>
        <v>225605.02977331192</v>
      </c>
      <c r="AJ8" s="23">
        <f t="shared" si="1"/>
        <v>270726.03572797432</v>
      </c>
      <c r="AK8" s="23">
        <f t="shared" si="1"/>
        <v>324871.24287356919</v>
      </c>
      <c r="AL8" s="23">
        <f t="shared" si="1"/>
        <v>389845.49144828302</v>
      </c>
      <c r="AM8" s="23">
        <f t="shared" si="1"/>
        <v>467814.58973793959</v>
      </c>
      <c r="AN8" s="24">
        <f>AM8*1.13</f>
        <v>528630.48640387168</v>
      </c>
      <c r="AO8" s="24">
        <f t="shared" ref="AO8:AQ8" si="2">AN8*1.13</f>
        <v>597352.44963637495</v>
      </c>
      <c r="AP8" s="24">
        <f t="shared" si="2"/>
        <v>675008.26808910363</v>
      </c>
      <c r="AQ8" s="24">
        <f t="shared" si="2"/>
        <v>762759.34294068709</v>
      </c>
      <c r="AR8" s="24">
        <f>AQ8*1.02</f>
        <v>778014.52979950083</v>
      </c>
      <c r="AS8" s="24">
        <f t="shared" ref="AS8:BD8" si="3">AR8*1.02</f>
        <v>793574.82039549085</v>
      </c>
      <c r="AT8" s="24">
        <f t="shared" si="3"/>
        <v>809446.31680340064</v>
      </c>
      <c r="AU8" s="24">
        <f t="shared" si="3"/>
        <v>825635.24313946872</v>
      </c>
      <c r="AV8" s="24">
        <f t="shared" si="3"/>
        <v>842147.94800225808</v>
      </c>
      <c r="AW8" s="24">
        <f t="shared" si="3"/>
        <v>858990.90696230321</v>
      </c>
      <c r="AX8" s="24">
        <f t="shared" si="3"/>
        <v>876170.72510154929</v>
      </c>
      <c r="AY8" s="24">
        <f t="shared" si="3"/>
        <v>893694.13960358035</v>
      </c>
      <c r="AZ8" s="24">
        <f t="shared" si="3"/>
        <v>911568.02239565202</v>
      </c>
      <c r="BA8" s="24">
        <f t="shared" si="3"/>
        <v>929799.38284356508</v>
      </c>
      <c r="BB8" s="24">
        <f t="shared" si="3"/>
        <v>948395.3705004364</v>
      </c>
      <c r="BC8" s="24">
        <f t="shared" si="3"/>
        <v>967363.27791044512</v>
      </c>
      <c r="BD8" s="24">
        <f t="shared" si="3"/>
        <v>986710.54346865404</v>
      </c>
    </row>
    <row r="9" spans="2:56" x14ac:dyDescent="0.2">
      <c r="B9" t="s">
        <v>9</v>
      </c>
      <c r="C9" s="8">
        <v>968</v>
      </c>
      <c r="D9" s="8">
        <v>1084</v>
      </c>
      <c r="E9" s="8">
        <v>1571</v>
      </c>
      <c r="F9" s="8">
        <f>5416-SUM(C9:E9)</f>
        <v>1793</v>
      </c>
      <c r="G9" s="8">
        <v>1858</v>
      </c>
      <c r="H9" s="8">
        <v>2020</v>
      </c>
      <c r="I9" s="8">
        <v>2227</v>
      </c>
      <c r="J9" s="8">
        <f>8505-SUM(G9:I9)</f>
        <v>2400</v>
      </c>
      <c r="K9" s="8">
        <v>2883</v>
      </c>
      <c r="L9" s="8">
        <v>3115</v>
      </c>
      <c r="M9" s="8">
        <v>2799</v>
      </c>
      <c r="N9" s="8">
        <f>11550-SUM(K9:M9)</f>
        <v>2753</v>
      </c>
      <c r="O9" s="8">
        <v>2689</v>
      </c>
      <c r="P9" s="8">
        <v>2704</v>
      </c>
      <c r="Q9" s="8">
        <v>2843</v>
      </c>
      <c r="R9" s="8"/>
      <c r="S9" s="8">
        <v>2683</v>
      </c>
      <c r="T9" s="8"/>
      <c r="U9" s="8"/>
      <c r="V9" s="8"/>
      <c r="X9" s="8">
        <f t="shared" ref="X9:Z10" si="4">SUM(C9:F9)</f>
        <v>5416</v>
      </c>
      <c r="Y9" s="8">
        <f>SUM(G9:J9)</f>
        <v>8505</v>
      </c>
      <c r="Z9" s="8">
        <f>SUM(K9:N9)</f>
        <v>11550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</row>
    <row r="10" spans="2:56" x14ac:dyDescent="0.2">
      <c r="B10" t="s">
        <v>10</v>
      </c>
      <c r="C10" s="8"/>
      <c r="D10" s="8"/>
      <c r="E10" s="8"/>
      <c r="F10" s="8"/>
      <c r="G10" s="8"/>
      <c r="H10" s="8"/>
      <c r="I10" s="8"/>
      <c r="J10" s="8"/>
      <c r="K10" s="8">
        <v>186</v>
      </c>
      <c r="L10" s="8">
        <v>407</v>
      </c>
      <c r="M10" s="8">
        <v>412</v>
      </c>
      <c r="N10" s="8">
        <f>1448-SUM(K10:M10)</f>
        <v>443</v>
      </c>
      <c r="O10" s="8">
        <v>305</v>
      </c>
      <c r="P10" s="8">
        <v>212</v>
      </c>
      <c r="Q10" s="8">
        <v>210</v>
      </c>
      <c r="R10" s="8"/>
      <c r="S10" s="8">
        <v>230</v>
      </c>
      <c r="T10" s="8"/>
      <c r="U10" s="8"/>
      <c r="V10" s="8"/>
      <c r="X10" s="8"/>
      <c r="Y10" s="8"/>
      <c r="Z10" s="8">
        <f>SUM(K10:N10)</f>
        <v>1448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2:56" x14ac:dyDescent="0.2">
      <c r="B11" t="s">
        <v>11</v>
      </c>
      <c r="C11" s="8">
        <f>SUM(C9:C10)</f>
        <v>968</v>
      </c>
      <c r="D11" s="8">
        <f t="shared" ref="D11:V12" si="5">SUM(D9:D10)</f>
        <v>1084</v>
      </c>
      <c r="E11" s="8">
        <f t="shared" si="5"/>
        <v>1571</v>
      </c>
      <c r="F11" s="8">
        <f t="shared" si="5"/>
        <v>1793</v>
      </c>
      <c r="G11" s="8">
        <f t="shared" si="5"/>
        <v>1858</v>
      </c>
      <c r="H11" s="8">
        <f t="shared" si="5"/>
        <v>2020</v>
      </c>
      <c r="I11" s="8">
        <f t="shared" si="5"/>
        <v>2227</v>
      </c>
      <c r="J11" s="8">
        <f t="shared" si="5"/>
        <v>2400</v>
      </c>
      <c r="K11" s="8">
        <f t="shared" si="5"/>
        <v>3069</v>
      </c>
      <c r="L11" s="8">
        <f t="shared" si="5"/>
        <v>3522</v>
      </c>
      <c r="M11" s="8">
        <f t="shared" si="5"/>
        <v>3211</v>
      </c>
      <c r="N11" s="8">
        <f t="shared" si="5"/>
        <v>3196</v>
      </c>
      <c r="O11" s="8">
        <f t="shared" si="5"/>
        <v>2994</v>
      </c>
      <c r="P11" s="8">
        <f t="shared" si="5"/>
        <v>2916</v>
      </c>
      <c r="Q11" s="8">
        <f t="shared" si="5"/>
        <v>3053</v>
      </c>
      <c r="R11" s="8">
        <f t="shared" si="5"/>
        <v>0</v>
      </c>
      <c r="S11" s="8">
        <f t="shared" si="5"/>
        <v>2913</v>
      </c>
      <c r="T11" s="8">
        <f t="shared" si="5"/>
        <v>0</v>
      </c>
      <c r="U11" s="8">
        <f t="shared" si="5"/>
        <v>0</v>
      </c>
      <c r="V11" s="8">
        <f t="shared" si="5"/>
        <v>0</v>
      </c>
      <c r="X11" s="8">
        <f t="shared" ref="X11" si="6">SUM(X9:X10)</f>
        <v>5416</v>
      </c>
      <c r="Y11" s="8">
        <f t="shared" ref="Y11" si="7">SUM(Y9:Y10)</f>
        <v>8505</v>
      </c>
      <c r="Z11" s="8">
        <f t="shared" ref="Z11" si="8">SUM(Z9:Z10)</f>
        <v>12998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2:56" x14ac:dyDescent="0.2">
      <c r="B12" s="5" t="s">
        <v>12</v>
      </c>
      <c r="C12" s="11">
        <f>C8-C11</f>
        <v>818</v>
      </c>
      <c r="D12" s="11">
        <f t="shared" ref="D12:V12" si="9">D8-D11</f>
        <v>848</v>
      </c>
      <c r="E12" s="11">
        <f t="shared" si="9"/>
        <v>1230</v>
      </c>
      <c r="F12" s="11">
        <f t="shared" si="9"/>
        <v>1451</v>
      </c>
      <c r="G12" s="11">
        <f t="shared" si="9"/>
        <v>1587</v>
      </c>
      <c r="H12" s="11">
        <f t="shared" si="9"/>
        <v>1830</v>
      </c>
      <c r="I12" s="11">
        <f t="shared" si="9"/>
        <v>2086</v>
      </c>
      <c r="J12" s="11">
        <f t="shared" si="9"/>
        <v>2426</v>
      </c>
      <c r="K12" s="11">
        <f t="shared" si="9"/>
        <v>2818</v>
      </c>
      <c r="L12" s="11">
        <f t="shared" si="9"/>
        <v>3028</v>
      </c>
      <c r="M12" s="11">
        <f t="shared" si="9"/>
        <v>2354</v>
      </c>
      <c r="N12" s="11">
        <f t="shared" si="9"/>
        <v>2403</v>
      </c>
      <c r="O12" s="11">
        <f t="shared" si="9"/>
        <v>2359</v>
      </c>
      <c r="P12" s="11">
        <f t="shared" si="9"/>
        <v>2443</v>
      </c>
      <c r="Q12" s="11">
        <f t="shared" si="9"/>
        <v>2747</v>
      </c>
      <c r="R12" s="11">
        <f t="shared" si="9"/>
        <v>0</v>
      </c>
      <c r="S12" s="11">
        <f t="shared" si="9"/>
        <v>2560</v>
      </c>
      <c r="T12" s="11">
        <f t="shared" si="9"/>
        <v>0</v>
      </c>
      <c r="U12" s="11">
        <f t="shared" si="9"/>
        <v>0</v>
      </c>
      <c r="V12" s="11">
        <f t="shared" si="9"/>
        <v>0</v>
      </c>
      <c r="X12" s="11">
        <f t="shared" ref="X12" si="10">X8-X11</f>
        <v>4347</v>
      </c>
      <c r="Y12" s="11">
        <f t="shared" ref="Y12" si="11">Y8-Y11</f>
        <v>7929</v>
      </c>
      <c r="Z12" s="11">
        <f t="shared" ref="Z12" si="12">Z8-Z11</f>
        <v>10603</v>
      </c>
      <c r="AA12" s="23">
        <f>AA8*0.46</f>
        <v>15199.044000000002</v>
      </c>
      <c r="AB12" s="23">
        <f t="shared" ref="AB12:BD12" si="13">AB8*0.46</f>
        <v>21278.661599999999</v>
      </c>
      <c r="AC12" s="23">
        <f t="shared" si="13"/>
        <v>29790.126239999998</v>
      </c>
      <c r="AD12" s="23">
        <f t="shared" si="13"/>
        <v>41706.176735999994</v>
      </c>
      <c r="AE12" s="23">
        <f t="shared" si="13"/>
        <v>50047.41208319999</v>
      </c>
      <c r="AF12" s="23">
        <f t="shared" si="13"/>
        <v>60056.894499839982</v>
      </c>
      <c r="AG12" s="23">
        <f t="shared" si="13"/>
        <v>72068.273399807978</v>
      </c>
      <c r="AH12" s="23">
        <f t="shared" si="13"/>
        <v>86481.928079769583</v>
      </c>
      <c r="AI12" s="23">
        <f t="shared" si="13"/>
        <v>103778.31369572348</v>
      </c>
      <c r="AJ12" s="23">
        <f t="shared" si="13"/>
        <v>124533.97643486819</v>
      </c>
      <c r="AK12" s="23">
        <f t="shared" si="13"/>
        <v>149440.77172184183</v>
      </c>
      <c r="AL12" s="23">
        <f t="shared" si="13"/>
        <v>179328.9260662102</v>
      </c>
      <c r="AM12" s="23">
        <f t="shared" si="13"/>
        <v>215194.71127945223</v>
      </c>
      <c r="AN12" s="23">
        <f t="shared" si="13"/>
        <v>243170.02374578099</v>
      </c>
      <c r="AO12" s="23">
        <f t="shared" si="13"/>
        <v>274782.12683273247</v>
      </c>
      <c r="AP12" s="23">
        <f t="shared" si="13"/>
        <v>310503.80332098767</v>
      </c>
      <c r="AQ12" s="23">
        <f t="shared" si="13"/>
        <v>350869.29775271605</v>
      </c>
      <c r="AR12" s="23">
        <f t="shared" si="13"/>
        <v>357886.68370777043</v>
      </c>
      <c r="AS12" s="23">
        <f t="shared" si="13"/>
        <v>365044.4173819258</v>
      </c>
      <c r="AT12" s="23">
        <f t="shared" si="13"/>
        <v>372345.30572956434</v>
      </c>
      <c r="AU12" s="23">
        <f t="shared" si="13"/>
        <v>379792.21184415562</v>
      </c>
      <c r="AV12" s="23">
        <f t="shared" si="13"/>
        <v>387388.05608103873</v>
      </c>
      <c r="AW12" s="23">
        <f t="shared" si="13"/>
        <v>395135.8172026595</v>
      </c>
      <c r="AX12" s="23">
        <f t="shared" si="13"/>
        <v>403038.53354671272</v>
      </c>
      <c r="AY12" s="23">
        <f t="shared" si="13"/>
        <v>411099.304217647</v>
      </c>
      <c r="AZ12" s="23">
        <f t="shared" si="13"/>
        <v>419321.29030199995</v>
      </c>
      <c r="BA12" s="23">
        <f t="shared" si="13"/>
        <v>427707.71610803995</v>
      </c>
      <c r="BB12" s="23">
        <f t="shared" si="13"/>
        <v>436261.87043020077</v>
      </c>
      <c r="BC12" s="23">
        <f t="shared" si="13"/>
        <v>444987.10783880478</v>
      </c>
      <c r="BD12" s="23">
        <f t="shared" si="13"/>
        <v>453886.84999558085</v>
      </c>
    </row>
    <row r="13" spans="2:56" x14ac:dyDescent="0.2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X13" s="6"/>
      <c r="Y13" s="6"/>
      <c r="Z13" s="6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2:56" x14ac:dyDescent="0.2">
      <c r="B14" t="s">
        <v>13</v>
      </c>
      <c r="C14" s="8">
        <v>442</v>
      </c>
      <c r="D14" s="8">
        <v>460</v>
      </c>
      <c r="E14" s="8">
        <v>508</v>
      </c>
      <c r="F14" s="8">
        <f>1983-SUM(C14:E14)</f>
        <v>573</v>
      </c>
      <c r="G14" s="8">
        <v>610</v>
      </c>
      <c r="H14" s="8">
        <v>659</v>
      </c>
      <c r="I14" s="8">
        <v>765</v>
      </c>
      <c r="J14" s="8">
        <f>2845-SUM(G14:I14)</f>
        <v>811</v>
      </c>
      <c r="K14" s="8">
        <v>1060</v>
      </c>
      <c r="L14" s="8">
        <v>1300</v>
      </c>
      <c r="M14" s="8">
        <v>1279</v>
      </c>
      <c r="N14" s="8">
        <f>5005-SUM(K14:M14)</f>
        <v>1366</v>
      </c>
      <c r="O14" s="8">
        <v>1411</v>
      </c>
      <c r="P14" s="8">
        <v>1443</v>
      </c>
      <c r="Q14" s="8">
        <v>1507</v>
      </c>
      <c r="R14" s="8"/>
      <c r="S14" s="8">
        <v>1525</v>
      </c>
      <c r="T14" s="8"/>
      <c r="U14" s="8"/>
      <c r="V14" s="8"/>
      <c r="X14" s="8">
        <f>SUM(C14:F14)</f>
        <v>1983</v>
      </c>
      <c r="Y14" s="8">
        <f>SUM(G14:J14)</f>
        <v>2845</v>
      </c>
      <c r="Z14" s="8">
        <f>SUM(K14:N14)</f>
        <v>5005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2:56" x14ac:dyDescent="0.2">
      <c r="B15" t="s">
        <v>14</v>
      </c>
      <c r="C15" s="8">
        <v>199</v>
      </c>
      <c r="D15" s="8">
        <v>215</v>
      </c>
      <c r="E15" s="8">
        <v>273</v>
      </c>
      <c r="F15" s="8">
        <f>995-SUM(C15:E15)</f>
        <v>308</v>
      </c>
      <c r="G15" s="8">
        <v>319</v>
      </c>
      <c r="H15" s="8">
        <v>341</v>
      </c>
      <c r="I15" s="8">
        <v>376</v>
      </c>
      <c r="J15" s="8">
        <f>1448-SUM(G15:I15)</f>
        <v>412</v>
      </c>
      <c r="K15" s="8">
        <v>597</v>
      </c>
      <c r="L15" s="8">
        <v>592</v>
      </c>
      <c r="M15" s="8">
        <v>557</v>
      </c>
      <c r="N15" s="8">
        <f>2336-SUM(K15:M15)</f>
        <v>590</v>
      </c>
      <c r="O15" s="8">
        <v>585</v>
      </c>
      <c r="P15" s="8">
        <v>547</v>
      </c>
      <c r="Q15" s="8">
        <v>576</v>
      </c>
      <c r="R15" s="8"/>
      <c r="S15" s="8">
        <v>620</v>
      </c>
      <c r="T15" s="8"/>
      <c r="U15" s="8"/>
      <c r="V15" s="8"/>
      <c r="X15" s="8">
        <f t="shared" ref="X15:X17" si="14">SUM(C15:F15)</f>
        <v>995</v>
      </c>
      <c r="Y15" s="8">
        <f t="shared" ref="Y15:Y17" si="15">SUM(G15:J15)</f>
        <v>1448</v>
      </c>
      <c r="Z15" s="8">
        <f t="shared" ref="Z15:Z17" si="16">SUM(K15:N15)</f>
        <v>2336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2:56" x14ac:dyDescent="0.2">
      <c r="B16" t="s">
        <v>10</v>
      </c>
      <c r="C16" s="8"/>
      <c r="D16" s="8"/>
      <c r="E16" s="8"/>
      <c r="F16" s="8"/>
      <c r="G16" s="8"/>
      <c r="H16" s="8"/>
      <c r="I16" s="8"/>
      <c r="J16" s="8"/>
      <c r="K16" s="8">
        <v>293</v>
      </c>
      <c r="L16" s="8">
        <v>616</v>
      </c>
      <c r="M16" s="8">
        <v>590</v>
      </c>
      <c r="N16" s="8">
        <f>2100-SUM(K16:M16)</f>
        <v>601</v>
      </c>
      <c r="O16" s="8">
        <v>518</v>
      </c>
      <c r="P16" s="8">
        <v>481</v>
      </c>
      <c r="Q16" s="8">
        <v>450</v>
      </c>
      <c r="R16" s="8"/>
      <c r="S16" s="8">
        <v>392</v>
      </c>
      <c r="T16" s="8"/>
      <c r="U16" s="8"/>
      <c r="V16" s="8"/>
      <c r="X16" s="8">
        <f t="shared" si="14"/>
        <v>0</v>
      </c>
      <c r="Y16" s="8">
        <f t="shared" si="15"/>
        <v>0</v>
      </c>
      <c r="Z16" s="8">
        <f t="shared" si="16"/>
        <v>2100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2:56" x14ac:dyDescent="0.2">
      <c r="B17" t="s">
        <v>15</v>
      </c>
      <c r="C17" s="8"/>
      <c r="D17" s="8"/>
      <c r="E17" s="8"/>
      <c r="F17" s="8"/>
      <c r="G17" s="8">
        <v>4</v>
      </c>
      <c r="H17" s="8">
        <v>1</v>
      </c>
      <c r="I17" s="8">
        <v>3</v>
      </c>
      <c r="J17" s="8">
        <f>12-SUM(G17:I17)</f>
        <v>4</v>
      </c>
      <c r="K17" s="8">
        <v>83</v>
      </c>
      <c r="L17" s="8">
        <v>6</v>
      </c>
      <c r="M17" s="8">
        <v>8</v>
      </c>
      <c r="N17" s="8">
        <f>102-SUM(K17:M17)</f>
        <v>5</v>
      </c>
      <c r="O17" s="8">
        <v>10</v>
      </c>
      <c r="P17" s="8">
        <v>8</v>
      </c>
      <c r="Q17" s="8">
        <v>10</v>
      </c>
      <c r="R17" s="8"/>
      <c r="S17" s="8">
        <v>13</v>
      </c>
      <c r="T17" s="8"/>
      <c r="U17" s="8"/>
      <c r="V17" s="8"/>
      <c r="X17" s="8">
        <f t="shared" si="14"/>
        <v>0</v>
      </c>
      <c r="Y17" s="8">
        <f t="shared" si="15"/>
        <v>12</v>
      </c>
      <c r="Z17" s="8">
        <f t="shared" si="16"/>
        <v>102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2:56" x14ac:dyDescent="0.2">
      <c r="B18" s="5" t="s">
        <v>16</v>
      </c>
      <c r="C18" s="11">
        <f t="shared" ref="C18:P18" si="17">C12-(SUM(C14:C16)-C17)</f>
        <v>177</v>
      </c>
      <c r="D18" s="11">
        <f t="shared" si="17"/>
        <v>173</v>
      </c>
      <c r="E18" s="11">
        <f t="shared" si="17"/>
        <v>449</v>
      </c>
      <c r="F18" s="11">
        <f t="shared" si="17"/>
        <v>570</v>
      </c>
      <c r="G18" s="11">
        <f t="shared" si="17"/>
        <v>662</v>
      </c>
      <c r="H18" s="11">
        <f t="shared" si="17"/>
        <v>831</v>
      </c>
      <c r="I18" s="11">
        <f t="shared" si="17"/>
        <v>948</v>
      </c>
      <c r="J18" s="11">
        <f t="shared" si="17"/>
        <v>1207</v>
      </c>
      <c r="K18" s="11">
        <f t="shared" si="17"/>
        <v>951</v>
      </c>
      <c r="L18" s="11">
        <f t="shared" si="17"/>
        <v>526</v>
      </c>
      <c r="M18" s="11">
        <f t="shared" si="17"/>
        <v>-64</v>
      </c>
      <c r="N18" s="11">
        <f t="shared" si="17"/>
        <v>-149</v>
      </c>
      <c r="O18" s="11">
        <f t="shared" si="17"/>
        <v>-145</v>
      </c>
      <c r="P18" s="11">
        <f t="shared" si="17"/>
        <v>-20</v>
      </c>
      <c r="Q18" s="11">
        <f>Q12-(SUM(Q14:Q16)-Q17)</f>
        <v>224</v>
      </c>
      <c r="R18" s="11">
        <f t="shared" ref="R18:Z18" si="18">R12-(SUM(R14:R16)-R17)</f>
        <v>0</v>
      </c>
      <c r="S18" s="11">
        <f t="shared" si="18"/>
        <v>36</v>
      </c>
      <c r="T18" s="11">
        <f t="shared" si="18"/>
        <v>0</v>
      </c>
      <c r="U18" s="11">
        <f t="shared" si="18"/>
        <v>0</v>
      </c>
      <c r="V18" s="11">
        <f t="shared" si="18"/>
        <v>0</v>
      </c>
      <c r="X18" s="11">
        <f t="shared" si="18"/>
        <v>1369</v>
      </c>
      <c r="Y18" s="11">
        <f t="shared" si="18"/>
        <v>3648</v>
      </c>
      <c r="Z18" s="11">
        <f t="shared" si="18"/>
        <v>1264</v>
      </c>
      <c r="AA18" s="23">
        <f>AA8*0.11</f>
        <v>3634.5540000000001</v>
      </c>
      <c r="AB18" s="23">
        <f t="shared" ref="AB18:BD18" si="19">AB8*0.11</f>
        <v>5088.3756000000003</v>
      </c>
      <c r="AC18" s="23">
        <f t="shared" si="19"/>
        <v>7123.7258399999992</v>
      </c>
      <c r="AD18" s="23">
        <f t="shared" si="19"/>
        <v>9973.2161759999981</v>
      </c>
      <c r="AE18" s="23">
        <f t="shared" si="19"/>
        <v>11967.859411199997</v>
      </c>
      <c r="AF18" s="23">
        <f t="shared" si="19"/>
        <v>14361.431293439995</v>
      </c>
      <c r="AG18" s="23">
        <f t="shared" si="19"/>
        <v>17233.717552127993</v>
      </c>
      <c r="AH18" s="23">
        <f t="shared" si="19"/>
        <v>20680.461062553593</v>
      </c>
      <c r="AI18" s="23">
        <f t="shared" si="19"/>
        <v>24816.553275064311</v>
      </c>
      <c r="AJ18" s="23">
        <f t="shared" si="19"/>
        <v>29779.863930077176</v>
      </c>
      <c r="AK18" s="23">
        <f t="shared" si="19"/>
        <v>35735.836716092614</v>
      </c>
      <c r="AL18" s="23">
        <f t="shared" si="19"/>
        <v>42883.004059311133</v>
      </c>
      <c r="AM18" s="23">
        <f t="shared" si="19"/>
        <v>51459.604871173353</v>
      </c>
      <c r="AN18" s="23">
        <f t="shared" si="19"/>
        <v>58149.353504425882</v>
      </c>
      <c r="AO18" s="23">
        <f t="shared" si="19"/>
        <v>65708.769460001247</v>
      </c>
      <c r="AP18" s="23">
        <f t="shared" si="19"/>
        <v>74250.909489801401</v>
      </c>
      <c r="AQ18" s="23">
        <f t="shared" si="19"/>
        <v>83903.527723475578</v>
      </c>
      <c r="AR18" s="23">
        <f t="shared" si="19"/>
        <v>85581.598277945086</v>
      </c>
      <c r="AS18" s="23">
        <f t="shared" si="19"/>
        <v>87293.230243503989</v>
      </c>
      <c r="AT18" s="23">
        <f t="shared" si="19"/>
        <v>89039.094848374065</v>
      </c>
      <c r="AU18" s="23">
        <f t="shared" si="19"/>
        <v>90819.876745341564</v>
      </c>
      <c r="AV18" s="23">
        <f t="shared" si="19"/>
        <v>92636.274280248384</v>
      </c>
      <c r="AW18" s="23">
        <f t="shared" si="19"/>
        <v>94488.999765853354</v>
      </c>
      <c r="AX18" s="23">
        <f t="shared" si="19"/>
        <v>96378.77976117043</v>
      </c>
      <c r="AY18" s="23">
        <f t="shared" si="19"/>
        <v>98306.355356393833</v>
      </c>
      <c r="AZ18" s="23">
        <f t="shared" si="19"/>
        <v>100272.48246352172</v>
      </c>
      <c r="BA18" s="23">
        <f t="shared" si="19"/>
        <v>102277.93211279216</v>
      </c>
      <c r="BB18" s="23">
        <f t="shared" si="19"/>
        <v>104323.490755048</v>
      </c>
      <c r="BC18" s="23">
        <f t="shared" si="19"/>
        <v>106409.96057014896</v>
      </c>
      <c r="BD18" s="23">
        <f t="shared" si="19"/>
        <v>108538.15978155195</v>
      </c>
    </row>
    <row r="19" spans="2:56" x14ac:dyDescent="0.2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X19" s="6"/>
      <c r="Y19" s="6"/>
      <c r="Z19" s="6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2:56" x14ac:dyDescent="0.2">
      <c r="B20" t="s">
        <v>17</v>
      </c>
      <c r="C20" s="8">
        <v>-13</v>
      </c>
      <c r="D20" s="8">
        <v>-14</v>
      </c>
      <c r="E20" s="8">
        <v>-11</v>
      </c>
      <c r="F20" s="8">
        <f>-47-SUM(C20:E20)</f>
        <v>-9</v>
      </c>
      <c r="G20" s="8">
        <v>-9</v>
      </c>
      <c r="H20" s="8">
        <v>-10</v>
      </c>
      <c r="I20" s="8">
        <v>-7</v>
      </c>
      <c r="J20" s="8">
        <f>-34-SUM(G20:I20)</f>
        <v>-8</v>
      </c>
      <c r="K20" s="8">
        <v>-13</v>
      </c>
      <c r="L20" s="8">
        <v>-25</v>
      </c>
      <c r="M20" s="8">
        <v>-31</v>
      </c>
      <c r="N20" s="8">
        <f>-88-SUM(K20:M20)</f>
        <v>-19</v>
      </c>
      <c r="O20" s="8">
        <v>-25</v>
      </c>
      <c r="P20" s="8">
        <v>-28</v>
      </c>
      <c r="Q20" s="8">
        <v>-26</v>
      </c>
      <c r="R20" s="8"/>
      <c r="S20" s="8">
        <v>-25</v>
      </c>
      <c r="T20" s="8"/>
      <c r="U20" s="8"/>
      <c r="V20" s="8"/>
      <c r="X20" s="8">
        <f t="shared" ref="X20:X24" si="20">SUM(C20:F20)</f>
        <v>-47</v>
      </c>
      <c r="Y20" s="8">
        <f t="shared" ref="Y20:Y24" si="21">SUM(G20:J20)</f>
        <v>-34</v>
      </c>
      <c r="Z20" s="8">
        <f t="shared" ref="Z20:Z24" si="22">SUM(K20:N20)</f>
        <v>-88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2:56" x14ac:dyDescent="0.2">
      <c r="B21" t="s">
        <v>18</v>
      </c>
      <c r="C21" s="8">
        <v>4</v>
      </c>
      <c r="D21" s="8">
        <v>1</v>
      </c>
      <c r="E21" s="8">
        <v>-37</v>
      </c>
      <c r="F21" s="8">
        <f>-47-SUM(C21:E21)</f>
        <v>-15</v>
      </c>
      <c r="G21" s="8">
        <v>-11</v>
      </c>
      <c r="H21" s="8"/>
      <c r="I21" s="8">
        <v>62</v>
      </c>
      <c r="J21" s="8">
        <f>55-SUM(G21:I21)</f>
        <v>4</v>
      </c>
      <c r="K21" s="8">
        <v>-42</v>
      </c>
      <c r="L21" s="8">
        <v>-4</v>
      </c>
      <c r="M21" s="8">
        <v>22</v>
      </c>
      <c r="N21" s="8">
        <f>8-SUM(K21:M21)</f>
        <v>32</v>
      </c>
      <c r="O21" s="8">
        <v>43</v>
      </c>
      <c r="P21" s="8">
        <v>46</v>
      </c>
      <c r="Q21" s="8">
        <v>59</v>
      </c>
      <c r="R21" s="8"/>
      <c r="S21" s="8">
        <v>53</v>
      </c>
      <c r="T21" s="8"/>
      <c r="U21" s="8"/>
      <c r="V21" s="8"/>
      <c r="X21" s="8">
        <f t="shared" si="20"/>
        <v>-47</v>
      </c>
      <c r="Y21" s="8">
        <f t="shared" si="21"/>
        <v>55</v>
      </c>
      <c r="Z21" s="8">
        <f t="shared" si="22"/>
        <v>8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2:56" x14ac:dyDescent="0.2">
      <c r="B22" s="5" t="s">
        <v>19</v>
      </c>
      <c r="C22" s="11">
        <f t="shared" ref="C22:R22" si="23">C18+SUM(C20:C21)</f>
        <v>168</v>
      </c>
      <c r="D22" s="11">
        <f t="shared" si="23"/>
        <v>160</v>
      </c>
      <c r="E22" s="11">
        <f t="shared" si="23"/>
        <v>401</v>
      </c>
      <c r="F22" s="11">
        <f t="shared" si="23"/>
        <v>546</v>
      </c>
      <c r="G22" s="11">
        <f t="shared" si="23"/>
        <v>642</v>
      </c>
      <c r="H22" s="11">
        <f t="shared" si="23"/>
        <v>821</v>
      </c>
      <c r="I22" s="11">
        <f t="shared" si="23"/>
        <v>1003</v>
      </c>
      <c r="J22" s="11">
        <f t="shared" si="23"/>
        <v>1203</v>
      </c>
      <c r="K22" s="11">
        <f t="shared" si="23"/>
        <v>896</v>
      </c>
      <c r="L22" s="11">
        <f t="shared" si="23"/>
        <v>497</v>
      </c>
      <c r="M22" s="11">
        <f t="shared" si="23"/>
        <v>-73</v>
      </c>
      <c r="N22" s="11">
        <f t="shared" si="23"/>
        <v>-136</v>
      </c>
      <c r="O22" s="11">
        <f t="shared" si="23"/>
        <v>-127</v>
      </c>
      <c r="P22" s="11">
        <f t="shared" si="23"/>
        <v>-2</v>
      </c>
      <c r="Q22" s="11">
        <f t="shared" si="23"/>
        <v>257</v>
      </c>
      <c r="R22" s="11">
        <f t="shared" ref="R22:Z22" si="24">R18+SUM(R20:R21)</f>
        <v>0</v>
      </c>
      <c r="S22" s="11">
        <f>S18+SUM(S20:S21)</f>
        <v>64</v>
      </c>
      <c r="T22" s="11">
        <f t="shared" si="24"/>
        <v>0</v>
      </c>
      <c r="U22" s="11">
        <f t="shared" si="24"/>
        <v>0</v>
      </c>
      <c r="V22" s="11">
        <f t="shared" si="24"/>
        <v>0</v>
      </c>
      <c r="X22" s="11">
        <f t="shared" si="24"/>
        <v>1275</v>
      </c>
      <c r="Y22" s="11">
        <f t="shared" si="24"/>
        <v>3669</v>
      </c>
      <c r="Z22" s="11">
        <f t="shared" si="24"/>
        <v>1184</v>
      </c>
      <c r="AA22" s="23">
        <f>AA18*0.96</f>
        <v>3489.17184</v>
      </c>
      <c r="AB22" s="23">
        <f t="shared" ref="AB22:BD22" si="25">AB18*0.96</f>
        <v>4884.8405760000005</v>
      </c>
      <c r="AC22" s="23">
        <f t="shared" si="25"/>
        <v>6838.7768063999993</v>
      </c>
      <c r="AD22" s="23">
        <f t="shared" si="25"/>
        <v>9574.2875289599979</v>
      </c>
      <c r="AE22" s="23">
        <f t="shared" si="25"/>
        <v>11489.145034751997</v>
      </c>
      <c r="AF22" s="23">
        <f t="shared" si="25"/>
        <v>13786.974041702395</v>
      </c>
      <c r="AG22" s="23">
        <f t="shared" si="25"/>
        <v>16544.368850042873</v>
      </c>
      <c r="AH22" s="23">
        <f t="shared" si="25"/>
        <v>19853.242620051449</v>
      </c>
      <c r="AI22" s="23">
        <f t="shared" si="25"/>
        <v>23823.891144061738</v>
      </c>
      <c r="AJ22" s="23">
        <f t="shared" si="25"/>
        <v>28588.669372874087</v>
      </c>
      <c r="AK22" s="23">
        <f t="shared" si="25"/>
        <v>34306.403247448907</v>
      </c>
      <c r="AL22" s="23">
        <f t="shared" si="25"/>
        <v>41167.683896938688</v>
      </c>
      <c r="AM22" s="23">
        <f t="shared" si="25"/>
        <v>49401.220676326418</v>
      </c>
      <c r="AN22" s="23">
        <f t="shared" si="25"/>
        <v>55823.379364248845</v>
      </c>
      <c r="AO22" s="23">
        <f t="shared" si="25"/>
        <v>63080.418681601193</v>
      </c>
      <c r="AP22" s="23">
        <f t="shared" si="25"/>
        <v>71280.873110209344</v>
      </c>
      <c r="AQ22" s="23">
        <f t="shared" si="25"/>
        <v>80547.386614536546</v>
      </c>
      <c r="AR22" s="23">
        <f t="shared" si="25"/>
        <v>82158.33434682728</v>
      </c>
      <c r="AS22" s="23">
        <f t="shared" si="25"/>
        <v>83801.501033763823</v>
      </c>
      <c r="AT22" s="23">
        <f t="shared" si="25"/>
        <v>85477.531054439096</v>
      </c>
      <c r="AU22" s="23">
        <f t="shared" si="25"/>
        <v>87187.081675527894</v>
      </c>
      <c r="AV22" s="23">
        <f t="shared" si="25"/>
        <v>88930.823309038446</v>
      </c>
      <c r="AW22" s="23">
        <f t="shared" si="25"/>
        <v>90709.439775219216</v>
      </c>
      <c r="AX22" s="23">
        <f t="shared" si="25"/>
        <v>92523.628570723609</v>
      </c>
      <c r="AY22" s="23">
        <f t="shared" si="25"/>
        <v>94374.101142138083</v>
      </c>
      <c r="AZ22" s="23">
        <f t="shared" si="25"/>
        <v>96261.583164980853</v>
      </c>
      <c r="BA22" s="23">
        <f t="shared" si="25"/>
        <v>98186.814828280461</v>
      </c>
      <c r="BB22" s="23">
        <f t="shared" si="25"/>
        <v>100150.55112484607</v>
      </c>
      <c r="BC22" s="23">
        <f t="shared" si="25"/>
        <v>102153.56214734301</v>
      </c>
      <c r="BD22" s="23">
        <f t="shared" si="25"/>
        <v>104196.63339028986</v>
      </c>
    </row>
    <row r="23" spans="2:56" x14ac:dyDescent="0.2">
      <c r="B23" t="s">
        <v>20</v>
      </c>
      <c r="C23" s="8">
        <v>6</v>
      </c>
      <c r="D23" s="8">
        <v>4</v>
      </c>
      <c r="E23" s="8">
        <v>12</v>
      </c>
      <c r="F23" s="8">
        <f>-1210-SUM(C23:E23)</f>
        <v>-1232</v>
      </c>
      <c r="G23" s="8">
        <v>89</v>
      </c>
      <c r="H23" s="8">
        <v>113</v>
      </c>
      <c r="I23" s="8">
        <v>82</v>
      </c>
      <c r="J23" s="8">
        <f>513-SUM(G23:I23)</f>
        <v>229</v>
      </c>
      <c r="K23" s="8">
        <v>113</v>
      </c>
      <c r="L23" s="8">
        <v>54</v>
      </c>
      <c r="M23" s="8">
        <v>-135</v>
      </c>
      <c r="N23" s="8">
        <f>122-SUM(K23:M23)</f>
        <v>90</v>
      </c>
      <c r="O23" s="8">
        <v>13</v>
      </c>
      <c r="P23" s="8">
        <v>-23</v>
      </c>
      <c r="Q23" s="8">
        <v>-39</v>
      </c>
      <c r="R23" s="8"/>
      <c r="S23" s="8">
        <v>-52</v>
      </c>
      <c r="T23" s="8"/>
      <c r="U23" s="8"/>
      <c r="V23" s="8"/>
      <c r="X23" s="8">
        <f t="shared" si="20"/>
        <v>-1210</v>
      </c>
      <c r="Y23" s="8">
        <f t="shared" si="21"/>
        <v>513</v>
      </c>
      <c r="Z23" s="8">
        <f t="shared" si="22"/>
        <v>122</v>
      </c>
      <c r="AA23" s="22">
        <f>AA22*0.2</f>
        <v>697.83436800000004</v>
      </c>
      <c r="AB23" s="22">
        <f t="shared" ref="AB23:BD23" si="26">AB22*0.2</f>
        <v>976.96811520000017</v>
      </c>
      <c r="AC23" s="22">
        <f t="shared" si="26"/>
        <v>1367.75536128</v>
      </c>
      <c r="AD23" s="22">
        <f t="shared" si="26"/>
        <v>1914.8575057919998</v>
      </c>
      <c r="AE23" s="22">
        <f t="shared" si="26"/>
        <v>2297.8290069503996</v>
      </c>
      <c r="AF23" s="22">
        <f t="shared" si="26"/>
        <v>2757.3948083404794</v>
      </c>
      <c r="AG23" s="22">
        <f t="shared" si="26"/>
        <v>3308.8737700085749</v>
      </c>
      <c r="AH23" s="22">
        <f t="shared" si="26"/>
        <v>3970.6485240102902</v>
      </c>
      <c r="AI23" s="22">
        <f t="shared" si="26"/>
        <v>4764.7782288123481</v>
      </c>
      <c r="AJ23" s="22">
        <f t="shared" si="26"/>
        <v>5717.7338745748175</v>
      </c>
      <c r="AK23" s="22">
        <f t="shared" si="26"/>
        <v>6861.2806494897814</v>
      </c>
      <c r="AL23" s="22">
        <f t="shared" si="26"/>
        <v>8233.5367793877376</v>
      </c>
      <c r="AM23" s="22">
        <f t="shared" si="26"/>
        <v>9880.2441352652841</v>
      </c>
      <c r="AN23" s="22">
        <f t="shared" si="26"/>
        <v>11164.67587284977</v>
      </c>
      <c r="AO23" s="22">
        <f t="shared" si="26"/>
        <v>12616.083736320239</v>
      </c>
      <c r="AP23" s="22">
        <f t="shared" si="26"/>
        <v>14256.17462204187</v>
      </c>
      <c r="AQ23" s="22">
        <f t="shared" si="26"/>
        <v>16109.477322907311</v>
      </c>
      <c r="AR23" s="22">
        <f t="shared" si="26"/>
        <v>16431.666869365457</v>
      </c>
      <c r="AS23" s="22">
        <f t="shared" si="26"/>
        <v>16760.300206752767</v>
      </c>
      <c r="AT23" s="22">
        <f t="shared" si="26"/>
        <v>17095.506210887819</v>
      </c>
      <c r="AU23" s="22">
        <f t="shared" si="26"/>
        <v>17437.416335105579</v>
      </c>
      <c r="AV23" s="22">
        <f t="shared" si="26"/>
        <v>17786.164661807688</v>
      </c>
      <c r="AW23" s="22">
        <f t="shared" si="26"/>
        <v>18141.887955043843</v>
      </c>
      <c r="AX23" s="22">
        <f t="shared" si="26"/>
        <v>18504.725714144723</v>
      </c>
      <c r="AY23" s="22">
        <f t="shared" si="26"/>
        <v>18874.820228427616</v>
      </c>
      <c r="AZ23" s="22">
        <f t="shared" si="26"/>
        <v>19252.316632996171</v>
      </c>
      <c r="BA23" s="22">
        <f t="shared" si="26"/>
        <v>19637.362965656092</v>
      </c>
      <c r="BB23" s="22">
        <f t="shared" si="26"/>
        <v>20030.110224969216</v>
      </c>
      <c r="BC23" s="22">
        <f t="shared" si="26"/>
        <v>20430.712429468604</v>
      </c>
      <c r="BD23" s="22">
        <f t="shared" si="26"/>
        <v>20839.326678057972</v>
      </c>
    </row>
    <row r="24" spans="2:56" x14ac:dyDescent="0.2">
      <c r="B24" t="s">
        <v>21</v>
      </c>
      <c r="C24" s="8"/>
      <c r="D24" s="8">
        <v>1</v>
      </c>
      <c r="E24" s="8">
        <v>1</v>
      </c>
      <c r="F24" s="8">
        <f>5-SUM(C24:E24)</f>
        <v>3</v>
      </c>
      <c r="G24" s="8">
        <v>2</v>
      </c>
      <c r="H24" s="8">
        <v>2</v>
      </c>
      <c r="I24" s="8">
        <v>2</v>
      </c>
      <c r="J24" s="8">
        <f>6-SUM(G24:I24)</f>
        <v>0</v>
      </c>
      <c r="K24" s="8">
        <v>3</v>
      </c>
      <c r="L24" s="8">
        <v>4</v>
      </c>
      <c r="M24" s="8">
        <v>4</v>
      </c>
      <c r="N24" s="8">
        <f>14-SUM(K24:M24)</f>
        <v>3</v>
      </c>
      <c r="O24" s="8">
        <v>1</v>
      </c>
      <c r="P24" s="8">
        <v>6</v>
      </c>
      <c r="Q24" s="8">
        <v>3</v>
      </c>
      <c r="R24" s="8"/>
      <c r="S24" s="8">
        <v>7</v>
      </c>
      <c r="T24" s="8"/>
      <c r="U24" s="8"/>
      <c r="V24" s="8"/>
      <c r="X24" s="8">
        <f t="shared" si="20"/>
        <v>5</v>
      </c>
      <c r="Y24" s="8">
        <f t="shared" si="21"/>
        <v>6</v>
      </c>
      <c r="Z24" s="8">
        <f t="shared" si="22"/>
        <v>14</v>
      </c>
      <c r="AA24" s="22">
        <f>AA22*0.01</f>
        <v>34.891718400000002</v>
      </c>
      <c r="AB24" s="22">
        <f t="shared" ref="AB24:BD24" si="27">AB22*0.01</f>
        <v>48.848405760000006</v>
      </c>
      <c r="AC24" s="22">
        <f t="shared" si="27"/>
        <v>68.387768063999999</v>
      </c>
      <c r="AD24" s="22">
        <f t="shared" si="27"/>
        <v>95.742875289599979</v>
      </c>
      <c r="AE24" s="22">
        <f t="shared" si="27"/>
        <v>114.89145034751996</v>
      </c>
      <c r="AF24" s="22">
        <f t="shared" si="27"/>
        <v>137.86974041702396</v>
      </c>
      <c r="AG24" s="22">
        <f t="shared" si="27"/>
        <v>165.44368850042872</v>
      </c>
      <c r="AH24" s="22">
        <f t="shared" si="27"/>
        <v>198.53242620051449</v>
      </c>
      <c r="AI24" s="22">
        <f t="shared" si="27"/>
        <v>238.23891144061739</v>
      </c>
      <c r="AJ24" s="22">
        <f t="shared" si="27"/>
        <v>285.88669372874085</v>
      </c>
      <c r="AK24" s="22">
        <f t="shared" si="27"/>
        <v>343.06403247448907</v>
      </c>
      <c r="AL24" s="22">
        <f t="shared" si="27"/>
        <v>411.67683896938689</v>
      </c>
      <c r="AM24" s="22">
        <f t="shared" si="27"/>
        <v>494.0122067632642</v>
      </c>
      <c r="AN24" s="22">
        <f t="shared" si="27"/>
        <v>558.23379364248842</v>
      </c>
      <c r="AO24" s="22">
        <f t="shared" si="27"/>
        <v>630.80418681601191</v>
      </c>
      <c r="AP24" s="22">
        <f t="shared" si="27"/>
        <v>712.80873110209347</v>
      </c>
      <c r="AQ24" s="22">
        <f t="shared" si="27"/>
        <v>805.47386614536549</v>
      </c>
      <c r="AR24" s="22">
        <f t="shared" si="27"/>
        <v>821.5833434682728</v>
      </c>
      <c r="AS24" s="22">
        <f t="shared" si="27"/>
        <v>838.01501033763827</v>
      </c>
      <c r="AT24" s="22">
        <f t="shared" si="27"/>
        <v>854.775310544391</v>
      </c>
      <c r="AU24" s="22">
        <f t="shared" si="27"/>
        <v>871.87081675527895</v>
      </c>
      <c r="AV24" s="22">
        <f t="shared" si="27"/>
        <v>889.30823309038442</v>
      </c>
      <c r="AW24" s="22">
        <f t="shared" si="27"/>
        <v>907.09439775219221</v>
      </c>
      <c r="AX24" s="22">
        <f t="shared" si="27"/>
        <v>925.23628570723611</v>
      </c>
      <c r="AY24" s="22">
        <f t="shared" si="27"/>
        <v>943.74101142138079</v>
      </c>
      <c r="AZ24" s="22">
        <f t="shared" si="27"/>
        <v>962.61583164980857</v>
      </c>
      <c r="BA24" s="22">
        <f t="shared" si="27"/>
        <v>981.86814828280467</v>
      </c>
      <c r="BB24" s="22">
        <f t="shared" si="27"/>
        <v>1001.5055112484607</v>
      </c>
      <c r="BC24" s="22">
        <f t="shared" si="27"/>
        <v>1021.5356214734301</v>
      </c>
      <c r="BD24" s="22">
        <f t="shared" si="27"/>
        <v>1041.9663339028987</v>
      </c>
    </row>
    <row r="25" spans="2:56" x14ac:dyDescent="0.2">
      <c r="B25" s="5" t="s">
        <v>22</v>
      </c>
      <c r="C25" s="11">
        <f t="shared" ref="C25:R25" si="28">C22-C23+C24</f>
        <v>162</v>
      </c>
      <c r="D25" s="11">
        <f t="shared" si="28"/>
        <v>157</v>
      </c>
      <c r="E25" s="11">
        <f t="shared" si="28"/>
        <v>390</v>
      </c>
      <c r="F25" s="11">
        <f t="shared" si="28"/>
        <v>1781</v>
      </c>
      <c r="G25" s="11">
        <f t="shared" si="28"/>
        <v>555</v>
      </c>
      <c r="H25" s="11">
        <f t="shared" si="28"/>
        <v>710</v>
      </c>
      <c r="I25" s="11">
        <f t="shared" si="28"/>
        <v>923</v>
      </c>
      <c r="J25" s="11">
        <f t="shared" si="28"/>
        <v>974</v>
      </c>
      <c r="K25" s="11">
        <f t="shared" si="28"/>
        <v>786</v>
      </c>
      <c r="L25" s="11">
        <f t="shared" si="28"/>
        <v>447</v>
      </c>
      <c r="M25" s="11">
        <f t="shared" si="28"/>
        <v>66</v>
      </c>
      <c r="N25" s="11">
        <f t="shared" si="28"/>
        <v>-223</v>
      </c>
      <c r="O25" s="11">
        <f t="shared" si="28"/>
        <v>-139</v>
      </c>
      <c r="P25" s="11">
        <f t="shared" si="28"/>
        <v>27</v>
      </c>
      <c r="Q25" s="11">
        <f t="shared" si="28"/>
        <v>299</v>
      </c>
      <c r="R25" s="11">
        <f t="shared" ref="R25:Z27" si="29">R22-R23+R24</f>
        <v>0</v>
      </c>
      <c r="S25" s="11">
        <f>S22-S23+S24</f>
        <v>123</v>
      </c>
      <c r="T25" s="11">
        <f t="shared" si="29"/>
        <v>0</v>
      </c>
      <c r="U25" s="11">
        <f t="shared" si="29"/>
        <v>0</v>
      </c>
      <c r="V25" s="11">
        <f t="shared" si="29"/>
        <v>0</v>
      </c>
      <c r="X25" s="11">
        <f t="shared" si="29"/>
        <v>2490</v>
      </c>
      <c r="Y25" s="11">
        <f t="shared" si="29"/>
        <v>3162</v>
      </c>
      <c r="Z25" s="11">
        <f t="shared" si="29"/>
        <v>1076</v>
      </c>
      <c r="AA25" s="23">
        <f t="shared" ref="AA25" si="30">AA22-AA23+AA24</f>
        <v>2826.2291904000003</v>
      </c>
      <c r="AB25" s="23">
        <f t="shared" ref="AB25" si="31">AB22-AB23+AB24</f>
        <v>3956.7208665600001</v>
      </c>
      <c r="AC25" s="23">
        <f t="shared" ref="AC25" si="32">AC22-AC23+AC24</f>
        <v>5539.4092131839989</v>
      </c>
      <c r="AD25" s="23">
        <f t="shared" ref="AD25" si="33">AD22-AD23+AD24</f>
        <v>7755.1728984575984</v>
      </c>
      <c r="AE25" s="23">
        <f t="shared" ref="AE25" si="34">AE22-AE23+AE24</f>
        <v>9306.2074781491174</v>
      </c>
      <c r="AF25" s="23">
        <f t="shared" ref="AF25" si="35">AF22-AF23+AF24</f>
        <v>11167.448973778939</v>
      </c>
      <c r="AG25" s="23">
        <f t="shared" ref="AG25" si="36">AG22-AG23+AG24</f>
        <v>13400.938768534726</v>
      </c>
      <c r="AH25" s="23">
        <f t="shared" ref="AH25" si="37">AH22-AH23+AH24</f>
        <v>16081.126522241673</v>
      </c>
      <c r="AI25" s="23">
        <f t="shared" ref="AI25" si="38">AI22-AI23+AI24</f>
        <v>19297.351826690006</v>
      </c>
      <c r="AJ25" s="23">
        <f t="shared" ref="AJ25" si="39">AJ22-AJ23+AJ24</f>
        <v>23156.822192028012</v>
      </c>
      <c r="AK25" s="23">
        <f t="shared" ref="AK25" si="40">AK22-AK23+AK24</f>
        <v>27788.186630433614</v>
      </c>
      <c r="AL25" s="23">
        <f t="shared" ref="AL25" si="41">AL22-AL23+AL24</f>
        <v>33345.82395652034</v>
      </c>
      <c r="AM25" s="23">
        <f t="shared" ref="AM25" si="42">AM22-AM23+AM24</f>
        <v>40014.988747824398</v>
      </c>
      <c r="AN25" s="23">
        <f t="shared" ref="AN25" si="43">AN22-AN23+AN24</f>
        <v>45216.937285041568</v>
      </c>
      <c r="AO25" s="23">
        <f t="shared" ref="AO25" si="44">AO22-AO23+AO24</f>
        <v>51095.139132096971</v>
      </c>
      <c r="AP25" s="23">
        <f t="shared" ref="AP25" si="45">AP22-AP23+AP24</f>
        <v>57737.507219269566</v>
      </c>
      <c r="AQ25" s="23">
        <f t="shared" ref="AQ25" si="46">AQ22-AQ23+AQ24</f>
        <v>65243.383157774602</v>
      </c>
      <c r="AR25" s="23">
        <f t="shared" ref="AR25" si="47">AR22-AR23+AR24</f>
        <v>66548.250820930101</v>
      </c>
      <c r="AS25" s="23">
        <f t="shared" ref="AS25" si="48">AS22-AS23+AS24</f>
        <v>67879.215837348689</v>
      </c>
      <c r="AT25" s="23">
        <f t="shared" ref="AT25" si="49">AT22-AT23+AT24</f>
        <v>69236.800154095661</v>
      </c>
      <c r="AU25" s="23">
        <f t="shared" ref="AU25" si="50">AU22-AU23+AU24</f>
        <v>70621.536157177601</v>
      </c>
      <c r="AV25" s="23">
        <f t="shared" ref="AV25" si="51">AV22-AV23+AV24</f>
        <v>72033.966880321139</v>
      </c>
      <c r="AW25" s="23">
        <f t="shared" ref="AW25" si="52">AW22-AW23+AW24</f>
        <v>73474.64621792757</v>
      </c>
      <c r="AX25" s="23">
        <f t="shared" ref="AX25" si="53">AX22-AX23+AX24</f>
        <v>74944.13914228612</v>
      </c>
      <c r="AY25" s="23">
        <f t="shared" ref="AY25" si="54">AY22-AY23+AY24</f>
        <v>76443.021925131849</v>
      </c>
      <c r="AZ25" s="23">
        <f t="shared" ref="AZ25" si="55">AZ22-AZ23+AZ24</f>
        <v>77971.88236363449</v>
      </c>
      <c r="BA25" s="23">
        <f t="shared" ref="BA25" si="56">BA22-BA23+BA24</f>
        <v>79531.320010907177</v>
      </c>
      <c r="BB25" s="23">
        <f t="shared" ref="BB25" si="57">BB22-BB23+BB24</f>
        <v>81121.946411125304</v>
      </c>
      <c r="BC25" s="23">
        <f t="shared" ref="BC25" si="58">BC22-BC23+BC24</f>
        <v>82744.385339347835</v>
      </c>
      <c r="BD25" s="23">
        <f t="shared" ref="BD25" si="59">BD22-BD23+BD24</f>
        <v>84399.273046134782</v>
      </c>
    </row>
    <row r="26" spans="2:56" x14ac:dyDescent="0.2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X26" s="6"/>
      <c r="Y26" s="6"/>
      <c r="Z26" s="6"/>
    </row>
    <row r="27" spans="2:56" x14ac:dyDescent="0.2">
      <c r="B27" s="5" t="s">
        <v>23</v>
      </c>
      <c r="C27" s="12">
        <f t="shared" ref="C27:R27" si="60">C25/C28</f>
        <v>0.13846153846153847</v>
      </c>
      <c r="D27" s="12">
        <f t="shared" si="60"/>
        <v>0.13373083475298125</v>
      </c>
      <c r="E27" s="12">
        <f t="shared" si="60"/>
        <v>0.32939189189189189</v>
      </c>
      <c r="F27" s="12">
        <f t="shared" si="60"/>
        <v>1.504222972972973</v>
      </c>
      <c r="G27" s="12">
        <f t="shared" si="60"/>
        <v>0.45754328112118714</v>
      </c>
      <c r="H27" s="12">
        <f t="shared" si="60"/>
        <v>0.58388157894736847</v>
      </c>
      <c r="I27" s="12">
        <f t="shared" si="60"/>
        <v>0.76029654036243821</v>
      </c>
      <c r="J27" s="12">
        <f t="shared" si="60"/>
        <v>0.80296784830997525</v>
      </c>
      <c r="K27" s="12">
        <f t="shared" si="60"/>
        <v>0.56424982053122752</v>
      </c>
      <c r="L27" s="12">
        <f t="shared" si="60"/>
        <v>0.27626699629171819</v>
      </c>
      <c r="M27" s="12">
        <f t="shared" si="60"/>
        <v>4.0866873065015477E-2</v>
      </c>
      <c r="N27" s="12">
        <f t="shared" si="60"/>
        <v>-0.14285714285714285</v>
      </c>
      <c r="O27" s="12">
        <f t="shared" si="60"/>
        <v>-8.6281812538795785E-2</v>
      </c>
      <c r="P27" s="12">
        <f t="shared" si="60"/>
        <v>1.6749379652605458E-2</v>
      </c>
      <c r="Q27" s="12">
        <f t="shared" si="60"/>
        <v>0.18502475247524752</v>
      </c>
      <c r="R27" s="12" t="e">
        <f t="shared" ref="R27:V27" si="61">R25/R28</f>
        <v>#DIV/0!</v>
      </c>
      <c r="S27" s="12">
        <f>S25/S28</f>
        <v>7.6066790352504632E-2</v>
      </c>
      <c r="T27" s="12" t="e">
        <f t="shared" si="61"/>
        <v>#DIV/0!</v>
      </c>
      <c r="U27" s="12" t="e">
        <f t="shared" si="61"/>
        <v>#DIV/0!</v>
      </c>
      <c r="V27" s="12" t="e">
        <f t="shared" si="61"/>
        <v>#DIV/0!</v>
      </c>
      <c r="X27" s="14">
        <f>SUM(C27:F27)</f>
        <v>2.1058072380793846</v>
      </c>
      <c r="Y27" s="14">
        <f t="shared" ref="Y27" si="62">SUM(G27:J27)</f>
        <v>2.6046892487409692</v>
      </c>
      <c r="Z27" s="14">
        <f t="shared" ref="Z27" si="63">SUM(K27:N27)</f>
        <v>0.73852654703081844</v>
      </c>
      <c r="AA27" s="14">
        <f>AA25/AA28</f>
        <v>1.5857024275985454</v>
      </c>
      <c r="AB27" s="14">
        <f t="shared" ref="AB27:BD27" si="64">AB25/AB28</f>
        <v>1.9265672122172723</v>
      </c>
      <c r="AC27" s="14">
        <f t="shared" si="64"/>
        <v>2.3407047618711974</v>
      </c>
      <c r="AD27" s="14">
        <f t="shared" si="64"/>
        <v>2.8438658913648145</v>
      </c>
      <c r="AE27" s="14">
        <f t="shared" si="64"/>
        <v>2.9615890563549225</v>
      </c>
      <c r="AF27" s="14">
        <f t="shared" si="64"/>
        <v>3.0841854270814077</v>
      </c>
      <c r="AG27" s="14">
        <f t="shared" si="64"/>
        <v>3.2118567321857929</v>
      </c>
      <c r="AH27" s="14">
        <f t="shared" si="64"/>
        <v>3.3448130509615126</v>
      </c>
      <c r="AI27" s="14">
        <f t="shared" si="64"/>
        <v>3.483273159033077</v>
      </c>
      <c r="AJ27" s="14">
        <f t="shared" si="64"/>
        <v>3.6274648883447824</v>
      </c>
      <c r="AK27" s="14">
        <f t="shared" si="64"/>
        <v>3.7776255020513219</v>
      </c>
      <c r="AL27" s="14">
        <f t="shared" si="64"/>
        <v>3.9340020849271768</v>
      </c>
      <c r="AM27" s="14">
        <f t="shared" si="64"/>
        <v>4.0968519499371778</v>
      </c>
      <c r="AN27" s="14">
        <f t="shared" si="64"/>
        <v>4.0175672163750855</v>
      </c>
      <c r="AO27" s="14">
        <f t="shared" si="64"/>
        <v>3.9398168484802967</v>
      </c>
      <c r="AP27" s="14">
        <f t="shared" si="64"/>
        <v>3.8635711522891039</v>
      </c>
      <c r="AQ27" s="14">
        <f t="shared" si="64"/>
        <v>3.7888010084931758</v>
      </c>
      <c r="AR27" s="14">
        <f t="shared" si="64"/>
        <v>3.3537941757034098</v>
      </c>
      <c r="AS27" s="14">
        <f t="shared" si="64"/>
        <v>2.9687321524060373</v>
      </c>
      <c r="AT27" s="14">
        <f t="shared" si="64"/>
        <v>2.6278805827077649</v>
      </c>
      <c r="AU27" s="14">
        <f t="shared" si="64"/>
        <v>2.3261634941958875</v>
      </c>
      <c r="AV27" s="14">
        <f t="shared" si="64"/>
        <v>2.0590877063957342</v>
      </c>
      <c r="AW27" s="14">
        <f t="shared" si="64"/>
        <v>1.8226759181841958</v>
      </c>
      <c r="AX27" s="14">
        <f t="shared" si="64"/>
        <v>1.6134074776949401</v>
      </c>
      <c r="AY27" s="14">
        <f t="shared" si="64"/>
        <v>1.4281659526588901</v>
      </c>
      <c r="AZ27" s="14">
        <f t="shared" si="64"/>
        <v>1.264192720395789</v>
      </c>
      <c r="BA27" s="14">
        <f t="shared" si="64"/>
        <v>1.119045886317543</v>
      </c>
      <c r="BB27" s="14">
        <f t="shared" si="64"/>
        <v>0.99056391915637709</v>
      </c>
      <c r="BC27" s="14">
        <f t="shared" si="64"/>
        <v>0.87683346137247664</v>
      </c>
      <c r="BD27" s="14">
        <f t="shared" si="64"/>
        <v>0.77616083537266856</v>
      </c>
    </row>
    <row r="28" spans="2:56" x14ac:dyDescent="0.2">
      <c r="B28" t="s">
        <v>24</v>
      </c>
      <c r="C28" s="13">
        <v>1170</v>
      </c>
      <c r="D28" s="13">
        <v>1174</v>
      </c>
      <c r="E28" s="13">
        <v>1184</v>
      </c>
      <c r="F28" s="13">
        <v>1184</v>
      </c>
      <c r="G28" s="13">
        <v>1213</v>
      </c>
      <c r="H28" s="13">
        <v>1216</v>
      </c>
      <c r="I28" s="13">
        <v>1214</v>
      </c>
      <c r="J28" s="13">
        <v>1213</v>
      </c>
      <c r="K28" s="13">
        <v>1393</v>
      </c>
      <c r="L28" s="13">
        <v>1618</v>
      </c>
      <c r="M28" s="13">
        <v>1615</v>
      </c>
      <c r="N28" s="13">
        <v>1561</v>
      </c>
      <c r="O28" s="13">
        <v>1611</v>
      </c>
      <c r="P28" s="13">
        <v>1612</v>
      </c>
      <c r="Q28" s="13">
        <v>1616</v>
      </c>
      <c r="R28" s="13"/>
      <c r="S28" s="13">
        <v>1617</v>
      </c>
      <c r="T28" s="13"/>
      <c r="U28" s="13"/>
      <c r="V28" s="13"/>
      <c r="X28" s="13">
        <f>AVERAGE(C28:F28)</f>
        <v>1178</v>
      </c>
      <c r="Y28" s="13">
        <f>AVERAGE(G28:J28)</f>
        <v>1214</v>
      </c>
      <c r="Z28" s="13">
        <f>AVERAGE(K28:N28)</f>
        <v>1546.75</v>
      </c>
      <c r="AA28" s="26">
        <f>Z28*1.1523</f>
        <v>1782.3200250000002</v>
      </c>
      <c r="AB28" s="26">
        <f t="shared" ref="AB28:BD28" si="65">AA28*1.1523</f>
        <v>2053.7673648075006</v>
      </c>
      <c r="AC28" s="26">
        <f t="shared" si="65"/>
        <v>2366.556134467683</v>
      </c>
      <c r="AD28" s="26">
        <f t="shared" si="65"/>
        <v>2726.9826337471113</v>
      </c>
      <c r="AE28" s="26">
        <f t="shared" si="65"/>
        <v>3142.3020888667966</v>
      </c>
      <c r="AF28" s="26">
        <f t="shared" si="65"/>
        <v>3620.8746970012098</v>
      </c>
      <c r="AG28" s="26">
        <f t="shared" si="65"/>
        <v>4172.3339133544941</v>
      </c>
      <c r="AH28" s="26">
        <f t="shared" si="65"/>
        <v>4807.7803683583843</v>
      </c>
      <c r="AI28" s="26">
        <f t="shared" si="65"/>
        <v>5540.0053184593671</v>
      </c>
      <c r="AJ28" s="26">
        <f t="shared" si="65"/>
        <v>6383.7481284607293</v>
      </c>
      <c r="AK28" s="26">
        <f t="shared" si="65"/>
        <v>7355.9929684252993</v>
      </c>
      <c r="AL28" s="26">
        <f t="shared" si="65"/>
        <v>8476.3106975164737</v>
      </c>
      <c r="AM28" s="26">
        <f t="shared" si="65"/>
        <v>9767.2528167482342</v>
      </c>
      <c r="AN28" s="26">
        <f t="shared" si="65"/>
        <v>11254.805420738991</v>
      </c>
      <c r="AO28" s="26">
        <f t="shared" si="65"/>
        <v>12968.91228631754</v>
      </c>
      <c r="AP28" s="26">
        <f t="shared" si="65"/>
        <v>14944.077627523702</v>
      </c>
      <c r="AQ28" s="26">
        <f t="shared" si="65"/>
        <v>17220.060650195563</v>
      </c>
      <c r="AR28" s="26">
        <f t="shared" si="65"/>
        <v>19842.67588722035</v>
      </c>
      <c r="AS28" s="26">
        <f t="shared" si="65"/>
        <v>22864.715424844013</v>
      </c>
      <c r="AT28" s="26">
        <f t="shared" si="65"/>
        <v>26347.011584047759</v>
      </c>
      <c r="AU28" s="26">
        <f t="shared" si="65"/>
        <v>30359.661448298237</v>
      </c>
      <c r="AV28" s="26">
        <f t="shared" si="65"/>
        <v>34983.43788687406</v>
      </c>
      <c r="AW28" s="26">
        <f t="shared" si="65"/>
        <v>40311.415477044982</v>
      </c>
      <c r="AX28" s="26">
        <f t="shared" si="65"/>
        <v>46450.84405419894</v>
      </c>
      <c r="AY28" s="26">
        <f t="shared" si="65"/>
        <v>53525.30760365344</v>
      </c>
      <c r="AZ28" s="26">
        <f t="shared" si="65"/>
        <v>61677.211951689867</v>
      </c>
      <c r="BA28" s="26">
        <f t="shared" si="65"/>
        <v>71070.65133193224</v>
      </c>
      <c r="BB28" s="26">
        <f t="shared" si="65"/>
        <v>81894.711529785534</v>
      </c>
      <c r="BC28" s="26">
        <f t="shared" si="65"/>
        <v>94367.276095771886</v>
      </c>
      <c r="BD28" s="26">
        <f t="shared" si="65"/>
        <v>108739.41224515796</v>
      </c>
    </row>
    <row r="29" spans="2:56" x14ac:dyDescent="0.2">
      <c r="X29" s="10"/>
      <c r="Y29" s="16"/>
      <c r="Z29" s="16"/>
      <c r="AA29" s="9"/>
    </row>
    <row r="30" spans="2:56" x14ac:dyDescent="0.2">
      <c r="B30" t="s">
        <v>49</v>
      </c>
      <c r="C30" s="10">
        <f>C12/C8</f>
        <v>0.45800671892497202</v>
      </c>
      <c r="D30" s="10">
        <f t="shared" ref="D30:V30" si="66">D12/D8</f>
        <v>0.43892339544513459</v>
      </c>
      <c r="E30" s="10">
        <f t="shared" si="66"/>
        <v>0.43912888254194932</v>
      </c>
      <c r="F30" s="10">
        <f t="shared" si="66"/>
        <v>0.44728729963008629</v>
      </c>
      <c r="G30" s="10">
        <f t="shared" si="66"/>
        <v>0.46066763425253993</v>
      </c>
      <c r="H30" s="10">
        <f t="shared" si="66"/>
        <v>0.47532467532467532</v>
      </c>
      <c r="I30" s="10">
        <f t="shared" si="66"/>
        <v>0.48365406909343844</v>
      </c>
      <c r="J30" s="10">
        <f t="shared" si="66"/>
        <v>0.50269374222958974</v>
      </c>
      <c r="K30" s="10">
        <f t="shared" si="66"/>
        <v>0.4786818413453372</v>
      </c>
      <c r="L30" s="10">
        <f t="shared" si="66"/>
        <v>0.46229007633587788</v>
      </c>
      <c r="M30" s="10">
        <f t="shared" si="66"/>
        <v>0.42300089847259659</v>
      </c>
      <c r="N30" s="10">
        <f t="shared" si="66"/>
        <v>0.42918378281836045</v>
      </c>
      <c r="O30" s="10">
        <f t="shared" si="66"/>
        <v>0.44068746497291239</v>
      </c>
      <c r="P30" s="10">
        <f t="shared" si="66"/>
        <v>0.4558686322075014</v>
      </c>
      <c r="Q30" s="10">
        <f t="shared" si="66"/>
        <v>0.4736206896551724</v>
      </c>
      <c r="R30" s="10" t="e">
        <f t="shared" si="66"/>
        <v>#DIV/0!</v>
      </c>
      <c r="S30" s="10">
        <f t="shared" si="66"/>
        <v>0.46775077653937513</v>
      </c>
      <c r="T30" s="10" t="e">
        <f t="shared" si="66"/>
        <v>#DIV/0!</v>
      </c>
      <c r="U30" s="10" t="e">
        <f t="shared" si="66"/>
        <v>#DIV/0!</v>
      </c>
      <c r="V30" s="10" t="e">
        <f t="shared" si="66"/>
        <v>#DIV/0!</v>
      </c>
      <c r="X30" s="10">
        <f t="shared" ref="X30:Z30" si="67">X12/X8</f>
        <v>0.44525248386766364</v>
      </c>
      <c r="Y30" s="10">
        <f t="shared" si="67"/>
        <v>0.48247535596933189</v>
      </c>
      <c r="Z30" s="10">
        <f t="shared" si="67"/>
        <v>0.4492606245498072</v>
      </c>
      <c r="AA30" s="10">
        <f t="shared" ref="AA30:BD30" si="68">AA12/AA8</f>
        <v>0.46</v>
      </c>
      <c r="AB30" s="10">
        <f t="shared" si="68"/>
        <v>0.46</v>
      </c>
      <c r="AC30" s="10">
        <f t="shared" si="68"/>
        <v>0.46</v>
      </c>
      <c r="AD30" s="10">
        <f t="shared" si="68"/>
        <v>0.46</v>
      </c>
      <c r="AE30" s="10">
        <f t="shared" si="68"/>
        <v>0.46</v>
      </c>
      <c r="AF30" s="10">
        <f t="shared" si="68"/>
        <v>0.46</v>
      </c>
      <c r="AG30" s="10">
        <f t="shared" si="68"/>
        <v>0.46</v>
      </c>
      <c r="AH30" s="10">
        <f t="shared" si="68"/>
        <v>0.46</v>
      </c>
      <c r="AI30" s="10">
        <f t="shared" si="68"/>
        <v>0.45999999999999996</v>
      </c>
      <c r="AJ30" s="10">
        <f t="shared" si="68"/>
        <v>0.46</v>
      </c>
      <c r="AK30" s="10">
        <f t="shared" si="68"/>
        <v>0.45999999999999996</v>
      </c>
      <c r="AL30" s="10">
        <f t="shared" si="68"/>
        <v>0.46</v>
      </c>
      <c r="AM30" s="10">
        <f t="shared" si="68"/>
        <v>0.46</v>
      </c>
      <c r="AN30" s="10">
        <f t="shared" si="68"/>
        <v>0.46</v>
      </c>
      <c r="AO30" s="10">
        <f t="shared" si="68"/>
        <v>0.45999999999999996</v>
      </c>
      <c r="AP30" s="10">
        <f t="shared" si="68"/>
        <v>0.46</v>
      </c>
      <c r="AQ30" s="10">
        <f t="shared" si="68"/>
        <v>0.46</v>
      </c>
      <c r="AR30" s="10">
        <f t="shared" si="68"/>
        <v>0.46000000000000008</v>
      </c>
      <c r="AS30" s="10">
        <f t="shared" si="68"/>
        <v>0.46</v>
      </c>
      <c r="AT30" s="10">
        <f t="shared" si="68"/>
        <v>0.46000000000000008</v>
      </c>
      <c r="AU30" s="10">
        <f t="shared" si="68"/>
        <v>0.46</v>
      </c>
      <c r="AV30" s="10">
        <f t="shared" si="68"/>
        <v>0.46</v>
      </c>
      <c r="AW30" s="10">
        <f t="shared" si="68"/>
        <v>0.46</v>
      </c>
      <c r="AX30" s="10">
        <f t="shared" si="68"/>
        <v>0.46</v>
      </c>
      <c r="AY30" s="10">
        <f t="shared" si="68"/>
        <v>0.46000000000000008</v>
      </c>
      <c r="AZ30" s="10">
        <f t="shared" si="68"/>
        <v>0.46</v>
      </c>
      <c r="BA30" s="10">
        <f t="shared" si="68"/>
        <v>0.46</v>
      </c>
      <c r="BB30" s="10">
        <f t="shared" si="68"/>
        <v>0.46</v>
      </c>
      <c r="BC30" s="10">
        <f t="shared" si="68"/>
        <v>0.46</v>
      </c>
      <c r="BD30" s="10">
        <f t="shared" si="68"/>
        <v>0.46</v>
      </c>
    </row>
    <row r="31" spans="2:56" x14ac:dyDescent="0.2">
      <c r="B31" t="s">
        <v>50</v>
      </c>
      <c r="C31" s="10">
        <f>C23/C22</f>
        <v>3.5714285714285712E-2</v>
      </c>
      <c r="D31" s="10">
        <f t="shared" ref="D31:V31" si="69">D23/D22</f>
        <v>2.5000000000000001E-2</v>
      </c>
      <c r="E31" s="10">
        <f t="shared" si="69"/>
        <v>2.9925187032418952E-2</v>
      </c>
      <c r="F31" s="10">
        <f t="shared" si="69"/>
        <v>-2.2564102564102564</v>
      </c>
      <c r="G31" s="10">
        <f t="shared" si="69"/>
        <v>0.13862928348909656</v>
      </c>
      <c r="H31" s="10">
        <f t="shared" si="69"/>
        <v>0.13763702801461633</v>
      </c>
      <c r="I31" s="10">
        <f t="shared" si="69"/>
        <v>8.175473579262213E-2</v>
      </c>
      <c r="J31" s="10">
        <f t="shared" si="69"/>
        <v>0.19035743973399832</v>
      </c>
      <c r="K31" s="10">
        <f t="shared" si="69"/>
        <v>0.12611607142857142</v>
      </c>
      <c r="L31" s="10">
        <f t="shared" si="69"/>
        <v>0.10865191146881288</v>
      </c>
      <c r="M31" s="10">
        <f t="shared" si="69"/>
        <v>1.8493150684931507</v>
      </c>
      <c r="N31" s="10">
        <f t="shared" si="69"/>
        <v>-0.66176470588235292</v>
      </c>
      <c r="O31" s="10">
        <f t="shared" si="69"/>
        <v>-0.10236220472440945</v>
      </c>
      <c r="P31" s="10">
        <f t="shared" si="69"/>
        <v>11.5</v>
      </c>
      <c r="Q31" s="10">
        <f t="shared" si="69"/>
        <v>-0.1517509727626459</v>
      </c>
      <c r="R31" s="10" t="e">
        <f t="shared" si="69"/>
        <v>#DIV/0!</v>
      </c>
      <c r="S31" s="10">
        <f t="shared" si="69"/>
        <v>-0.8125</v>
      </c>
      <c r="T31" s="10" t="e">
        <f t="shared" si="69"/>
        <v>#DIV/0!</v>
      </c>
      <c r="U31" s="10" t="e">
        <f t="shared" si="69"/>
        <v>#DIV/0!</v>
      </c>
      <c r="V31" s="10" t="e">
        <f t="shared" si="69"/>
        <v>#DIV/0!</v>
      </c>
      <c r="X31" s="10">
        <f t="shared" ref="X31:Z31" si="70">X23/X22</f>
        <v>-0.94901960784313721</v>
      </c>
      <c r="Y31" s="10">
        <f t="shared" si="70"/>
        <v>0.13982011447260834</v>
      </c>
      <c r="Z31" s="10">
        <f t="shared" si="70"/>
        <v>0.10304054054054054</v>
      </c>
      <c r="AA31" s="10">
        <f t="shared" ref="AA31:BD31" si="71">AA23/AA22</f>
        <v>0.2</v>
      </c>
      <c r="AB31" s="10">
        <f t="shared" si="71"/>
        <v>0.2</v>
      </c>
      <c r="AC31" s="10">
        <f t="shared" si="71"/>
        <v>0.2</v>
      </c>
      <c r="AD31" s="10">
        <f t="shared" si="71"/>
        <v>0.2</v>
      </c>
      <c r="AE31" s="10">
        <f t="shared" si="71"/>
        <v>0.2</v>
      </c>
      <c r="AF31" s="10">
        <f t="shared" si="71"/>
        <v>0.20000000000000004</v>
      </c>
      <c r="AG31" s="10">
        <f t="shared" si="71"/>
        <v>0.2</v>
      </c>
      <c r="AH31" s="10">
        <f t="shared" si="71"/>
        <v>0.2</v>
      </c>
      <c r="AI31" s="10">
        <f t="shared" si="71"/>
        <v>0.2</v>
      </c>
      <c r="AJ31" s="10">
        <f t="shared" si="71"/>
        <v>0.2</v>
      </c>
      <c r="AK31" s="10">
        <f t="shared" si="71"/>
        <v>0.2</v>
      </c>
      <c r="AL31" s="10">
        <f t="shared" si="71"/>
        <v>0.2</v>
      </c>
      <c r="AM31" s="10">
        <f t="shared" si="71"/>
        <v>0.2</v>
      </c>
      <c r="AN31" s="10">
        <f t="shared" si="71"/>
        <v>0.2</v>
      </c>
      <c r="AO31" s="10">
        <f t="shared" si="71"/>
        <v>0.2</v>
      </c>
      <c r="AP31" s="10">
        <f t="shared" si="71"/>
        <v>0.2</v>
      </c>
      <c r="AQ31" s="10">
        <f t="shared" si="71"/>
        <v>0.2</v>
      </c>
      <c r="AR31" s="10">
        <f t="shared" si="71"/>
        <v>0.2</v>
      </c>
      <c r="AS31" s="10">
        <f t="shared" si="71"/>
        <v>0.20000000000000004</v>
      </c>
      <c r="AT31" s="10">
        <f t="shared" si="71"/>
        <v>0.2</v>
      </c>
      <c r="AU31" s="10">
        <f t="shared" si="71"/>
        <v>0.2</v>
      </c>
      <c r="AV31" s="10">
        <f t="shared" si="71"/>
        <v>0.19999999999999998</v>
      </c>
      <c r="AW31" s="10">
        <f t="shared" si="71"/>
        <v>0.2</v>
      </c>
      <c r="AX31" s="10">
        <f t="shared" si="71"/>
        <v>0.2</v>
      </c>
      <c r="AY31" s="10">
        <f t="shared" si="71"/>
        <v>0.19999999999999998</v>
      </c>
      <c r="AZ31" s="10">
        <f t="shared" si="71"/>
        <v>0.2</v>
      </c>
      <c r="BA31" s="10">
        <f t="shared" si="71"/>
        <v>0.19999999999999998</v>
      </c>
      <c r="BB31" s="10">
        <f t="shared" si="71"/>
        <v>0.2</v>
      </c>
      <c r="BC31" s="10">
        <f t="shared" si="71"/>
        <v>0.2</v>
      </c>
      <c r="BD31" s="10">
        <f t="shared" si="71"/>
        <v>0.2</v>
      </c>
    </row>
    <row r="32" spans="2:56" x14ac:dyDescent="0.2">
      <c r="B32" t="s">
        <v>51</v>
      </c>
      <c r="C32" s="10"/>
      <c r="D32" s="10"/>
      <c r="E32" s="10"/>
      <c r="F32" s="10"/>
      <c r="G32" s="10">
        <f>G8/C8-1</f>
        <v>0.92889137737961924</v>
      </c>
      <c r="H32" s="10"/>
      <c r="I32" s="10"/>
      <c r="J32" s="10"/>
      <c r="K32" s="10">
        <f>K8/G8-1</f>
        <v>0.70885341074020314</v>
      </c>
      <c r="L32" s="10"/>
      <c r="M32" s="10"/>
      <c r="N32" s="10"/>
      <c r="O32" s="10">
        <f>O8/K8-1</f>
        <v>-9.0708340411075228E-2</v>
      </c>
      <c r="P32" s="10"/>
      <c r="Q32" s="10"/>
      <c r="R32" s="10"/>
      <c r="S32" s="10">
        <f>S8/O8-1</f>
        <v>2.2417336073230043E-2</v>
      </c>
      <c r="T32" s="10"/>
      <c r="U32" s="10"/>
      <c r="V32" s="10"/>
      <c r="X32" s="10"/>
      <c r="Y32" s="10">
        <f t="shared" ref="X32:Z32" si="72">Y8/X8-1</f>
        <v>0.68329406944586712</v>
      </c>
      <c r="Z32" s="10">
        <f>Z8/Y8-1</f>
        <v>0.43610806863818907</v>
      </c>
      <c r="AA32" s="10">
        <f t="shared" ref="AA32:BD32" si="73">AA8/Z8-1</f>
        <v>0.40000000000000013</v>
      </c>
      <c r="AB32" s="10">
        <f t="shared" si="73"/>
        <v>0.39999999999999991</v>
      </c>
      <c r="AC32" s="10">
        <f t="shared" si="73"/>
        <v>0.39999999999999991</v>
      </c>
      <c r="AD32" s="10">
        <f t="shared" si="73"/>
        <v>0.39999999999999991</v>
      </c>
      <c r="AE32" s="10">
        <f t="shared" si="73"/>
        <v>0.19999999999999996</v>
      </c>
      <c r="AF32" s="10">
        <f t="shared" si="73"/>
        <v>0.19999999999999996</v>
      </c>
      <c r="AG32" s="10">
        <f t="shared" si="73"/>
        <v>0.19999999999999996</v>
      </c>
      <c r="AH32" s="10">
        <f t="shared" si="73"/>
        <v>0.19999999999999996</v>
      </c>
      <c r="AI32" s="10">
        <f t="shared" si="73"/>
        <v>0.19999999999999996</v>
      </c>
      <c r="AJ32" s="10">
        <f t="shared" si="73"/>
        <v>0.19999999999999996</v>
      </c>
      <c r="AK32" s="10">
        <f t="shared" si="73"/>
        <v>0.19999999999999996</v>
      </c>
      <c r="AL32" s="10">
        <f t="shared" si="73"/>
        <v>0.19999999999999996</v>
      </c>
      <c r="AM32" s="10">
        <f t="shared" si="73"/>
        <v>0.19999999999999996</v>
      </c>
      <c r="AN32" s="10">
        <f t="shared" si="73"/>
        <v>0.12999999999999989</v>
      </c>
      <c r="AO32" s="10">
        <f t="shared" si="73"/>
        <v>0.12999999999999989</v>
      </c>
      <c r="AP32" s="10">
        <f t="shared" si="73"/>
        <v>0.12999999999999989</v>
      </c>
      <c r="AQ32" s="10">
        <f t="shared" si="73"/>
        <v>0.12999999999999989</v>
      </c>
      <c r="AR32" s="10">
        <f t="shared" si="73"/>
        <v>2.0000000000000018E-2</v>
      </c>
      <c r="AS32" s="10">
        <f t="shared" si="73"/>
        <v>2.0000000000000018E-2</v>
      </c>
      <c r="AT32" s="10">
        <f t="shared" si="73"/>
        <v>2.0000000000000018E-2</v>
      </c>
      <c r="AU32" s="10">
        <f t="shared" si="73"/>
        <v>2.0000000000000018E-2</v>
      </c>
      <c r="AV32" s="10">
        <f t="shared" si="73"/>
        <v>2.0000000000000018E-2</v>
      </c>
      <c r="AW32" s="10">
        <f t="shared" si="73"/>
        <v>2.0000000000000018E-2</v>
      </c>
      <c r="AX32" s="10">
        <f t="shared" si="73"/>
        <v>2.0000000000000018E-2</v>
      </c>
      <c r="AY32" s="10">
        <f t="shared" si="73"/>
        <v>2.0000000000000018E-2</v>
      </c>
      <c r="AZ32" s="10">
        <f t="shared" si="73"/>
        <v>2.0000000000000018E-2</v>
      </c>
      <c r="BA32" s="10">
        <f t="shared" si="73"/>
        <v>2.0000000000000018E-2</v>
      </c>
      <c r="BB32" s="10">
        <f t="shared" si="73"/>
        <v>2.0000000000000018E-2</v>
      </c>
      <c r="BC32" s="10">
        <f t="shared" si="73"/>
        <v>2.0000000000000018E-2</v>
      </c>
      <c r="BD32" s="10">
        <f t="shared" si="73"/>
        <v>2.0000000000000018E-2</v>
      </c>
    </row>
    <row r="33" spans="2:56" x14ac:dyDescent="0.2">
      <c r="B33" t="s">
        <v>52</v>
      </c>
      <c r="C33" s="10">
        <f>C18/C8</f>
        <v>9.9104143337066075E-2</v>
      </c>
      <c r="D33" s="10">
        <f t="shared" ref="D33:V33" si="74">D18/D8</f>
        <v>8.9544513457556929E-2</v>
      </c>
      <c r="E33" s="10">
        <f t="shared" si="74"/>
        <v>0.16029989289539451</v>
      </c>
      <c r="F33" s="10">
        <f t="shared" si="74"/>
        <v>0.17570900123304561</v>
      </c>
      <c r="G33" s="10">
        <f t="shared" si="74"/>
        <v>0.19216255442670538</v>
      </c>
      <c r="H33" s="10">
        <f t="shared" si="74"/>
        <v>0.21584415584415584</v>
      </c>
      <c r="I33" s="10">
        <f t="shared" si="74"/>
        <v>0.21980060282865754</v>
      </c>
      <c r="J33" s="10">
        <f t="shared" si="74"/>
        <v>0.25010360547036886</v>
      </c>
      <c r="K33" s="10">
        <f t="shared" si="74"/>
        <v>0.16154238151860031</v>
      </c>
      <c r="L33" s="10">
        <f t="shared" si="74"/>
        <v>8.0305343511450383E-2</v>
      </c>
      <c r="M33" s="10">
        <f t="shared" si="74"/>
        <v>-1.1500449236298293E-2</v>
      </c>
      <c r="N33" s="10">
        <f t="shared" si="74"/>
        <v>-2.661189498124665E-2</v>
      </c>
      <c r="O33" s="10">
        <f t="shared" si="74"/>
        <v>-2.7087614421819541E-2</v>
      </c>
      <c r="P33" s="10">
        <f t="shared" si="74"/>
        <v>-3.7320395596193321E-3</v>
      </c>
      <c r="Q33" s="10">
        <f t="shared" si="74"/>
        <v>3.8620689655172416E-2</v>
      </c>
      <c r="R33" s="10" t="e">
        <f t="shared" si="74"/>
        <v>#DIV/0!</v>
      </c>
      <c r="S33" s="10">
        <f t="shared" si="74"/>
        <v>6.5777452950849628E-3</v>
      </c>
      <c r="T33" s="10" t="e">
        <f t="shared" si="74"/>
        <v>#DIV/0!</v>
      </c>
      <c r="U33" s="10" t="e">
        <f t="shared" si="74"/>
        <v>#DIV/0!</v>
      </c>
      <c r="V33" s="10" t="e">
        <f t="shared" si="74"/>
        <v>#DIV/0!</v>
      </c>
      <c r="X33" s="10">
        <f t="shared" ref="X33:BD33" si="75">X18/X8</f>
        <v>0.14022329202089523</v>
      </c>
      <c r="Y33" s="10">
        <f t="shared" si="75"/>
        <v>0.22197882438846295</v>
      </c>
      <c r="Z33" s="10">
        <f t="shared" si="75"/>
        <v>5.3557052667259859E-2</v>
      </c>
      <c r="AA33" s="10">
        <f t="shared" si="75"/>
        <v>0.11</v>
      </c>
      <c r="AB33" s="10">
        <f t="shared" si="75"/>
        <v>0.11000000000000001</v>
      </c>
      <c r="AC33" s="10">
        <f t="shared" si="75"/>
        <v>0.11</v>
      </c>
      <c r="AD33" s="10">
        <f t="shared" si="75"/>
        <v>0.11</v>
      </c>
      <c r="AE33" s="10">
        <f t="shared" si="75"/>
        <v>0.11000000000000001</v>
      </c>
      <c r="AF33" s="10">
        <f t="shared" si="75"/>
        <v>0.11</v>
      </c>
      <c r="AG33" s="10">
        <f t="shared" si="75"/>
        <v>0.10999999999999999</v>
      </c>
      <c r="AH33" s="10">
        <f t="shared" si="75"/>
        <v>0.11</v>
      </c>
      <c r="AI33" s="10">
        <f t="shared" si="75"/>
        <v>0.11</v>
      </c>
      <c r="AJ33" s="10">
        <f t="shared" si="75"/>
        <v>0.11</v>
      </c>
      <c r="AK33" s="10">
        <f t="shared" si="75"/>
        <v>0.11</v>
      </c>
      <c r="AL33" s="10">
        <f t="shared" si="75"/>
        <v>0.11</v>
      </c>
      <c r="AM33" s="10">
        <f t="shared" si="75"/>
        <v>0.11</v>
      </c>
      <c r="AN33" s="10">
        <f t="shared" si="75"/>
        <v>0.11</v>
      </c>
      <c r="AO33" s="10">
        <f t="shared" si="75"/>
        <v>0.11</v>
      </c>
      <c r="AP33" s="10">
        <f t="shared" si="75"/>
        <v>0.11</v>
      </c>
      <c r="AQ33" s="10">
        <f t="shared" si="75"/>
        <v>0.11</v>
      </c>
      <c r="AR33" s="10">
        <f t="shared" si="75"/>
        <v>0.10999999999999999</v>
      </c>
      <c r="AS33" s="10">
        <f t="shared" si="75"/>
        <v>0.11</v>
      </c>
      <c r="AT33" s="10">
        <f t="shared" si="75"/>
        <v>0.10999999999999999</v>
      </c>
      <c r="AU33" s="10">
        <f t="shared" si="75"/>
        <v>0.11</v>
      </c>
      <c r="AV33" s="10">
        <f t="shared" si="75"/>
        <v>0.11</v>
      </c>
      <c r="AW33" s="10">
        <f t="shared" si="75"/>
        <v>0.11</v>
      </c>
      <c r="AX33" s="10">
        <f t="shared" si="75"/>
        <v>0.11000000000000001</v>
      </c>
      <c r="AY33" s="10">
        <f t="shared" si="75"/>
        <v>0.11</v>
      </c>
      <c r="AZ33" s="10">
        <f t="shared" si="75"/>
        <v>0.11</v>
      </c>
      <c r="BA33" s="10">
        <f t="shared" si="75"/>
        <v>0.11</v>
      </c>
      <c r="BB33" s="10">
        <f t="shared" si="75"/>
        <v>0.11</v>
      </c>
      <c r="BC33" s="10">
        <f t="shared" si="75"/>
        <v>0.11</v>
      </c>
      <c r="BD33" s="10">
        <f t="shared" si="75"/>
        <v>0.11</v>
      </c>
    </row>
    <row r="34" spans="2:56" x14ac:dyDescent="0.2">
      <c r="C34" s="9"/>
    </row>
    <row r="35" spans="2:56" x14ac:dyDescent="0.2">
      <c r="AA35" s="25"/>
    </row>
    <row r="36" spans="2:56" x14ac:dyDescent="0.2">
      <c r="X36" t="s">
        <v>53</v>
      </c>
      <c r="Y36" t="s">
        <v>54</v>
      </c>
    </row>
    <row r="37" spans="2:56" x14ac:dyDescent="0.2">
      <c r="X37" t="s">
        <v>55</v>
      </c>
      <c r="Y37" s="10">
        <f t="shared" ref="Y37:Y41" si="76">AVERAGE(Y32:Z32)</f>
        <v>0.5597010690420281</v>
      </c>
    </row>
    <row r="38" spans="2:56" x14ac:dyDescent="0.2">
      <c r="X38" t="s">
        <v>56</v>
      </c>
      <c r="Y38" s="10">
        <f>AVERAGE(C30:Q30)</f>
        <v>0.45793465355000956</v>
      </c>
    </row>
    <row r="39" spans="2:56" x14ac:dyDescent="0.2">
      <c r="X39" t="s">
        <v>57</v>
      </c>
      <c r="Y39" s="10"/>
    </row>
    <row r="40" spans="2:56" x14ac:dyDescent="0.2">
      <c r="Y40" s="8"/>
    </row>
    <row r="41" spans="2:56" x14ac:dyDescent="0.2">
      <c r="X41" t="s">
        <v>58</v>
      </c>
      <c r="Y41" s="10">
        <v>0.12</v>
      </c>
    </row>
    <row r="43" spans="2:56" x14ac:dyDescent="0.2">
      <c r="X43" t="s">
        <v>59</v>
      </c>
      <c r="Y43" t="s">
        <v>54</v>
      </c>
    </row>
    <row r="44" spans="2:56" x14ac:dyDescent="0.2">
      <c r="X44" t="s">
        <v>60</v>
      </c>
      <c r="Y44" s="16">
        <v>4.7800000000000002E-2</v>
      </c>
    </row>
    <row r="45" spans="2:56" x14ac:dyDescent="0.2">
      <c r="X45" t="s">
        <v>61</v>
      </c>
      <c r="Y45" s="17">
        <v>0.08</v>
      </c>
    </row>
    <row r="46" spans="2:56" x14ac:dyDescent="0.2">
      <c r="X46" t="s">
        <v>62</v>
      </c>
      <c r="Y46" s="27">
        <f>NPV(Y45,X25:BD25)</f>
        <v>267364.12372575834</v>
      </c>
    </row>
    <row r="47" spans="2:56" x14ac:dyDescent="0.2">
      <c r="X47" t="s">
        <v>5</v>
      </c>
      <c r="Y47" s="8">
        <f>Info!C7</f>
        <v>5773</v>
      </c>
    </row>
    <row r="48" spans="2:56" x14ac:dyDescent="0.2">
      <c r="X48" s="18" t="s">
        <v>63</v>
      </c>
      <c r="Y48" s="28">
        <f>Y47+Y46</f>
        <v>273137.12372575834</v>
      </c>
    </row>
    <row r="49" spans="24:25" x14ac:dyDescent="0.2">
      <c r="X49" s="18" t="s">
        <v>64</v>
      </c>
      <c r="Y49" s="19">
        <f>Y48/Info!C5</f>
        <v>169.02049735504849</v>
      </c>
    </row>
    <row r="50" spans="24:25" x14ac:dyDescent="0.2">
      <c r="X50" s="18" t="s">
        <v>65</v>
      </c>
      <c r="Y50" s="20">
        <f>Info!C4</f>
        <v>177.55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Mutlu</dc:creator>
  <cp:lastModifiedBy>Ihsan Mutlu</cp:lastModifiedBy>
  <dcterms:created xsi:type="dcterms:W3CDTF">2024-07-17T07:54:15Z</dcterms:created>
  <dcterms:modified xsi:type="dcterms:W3CDTF">2024-07-17T09:01:44Z</dcterms:modified>
</cp:coreProperties>
</file>