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sanmutlu/Desktop/Kangal_Capital/"/>
    </mc:Choice>
  </mc:AlternateContent>
  <xr:revisionPtr revIDLastSave="0" documentId="13_ncr:1_{9AD17342-7807-7F4D-8E19-F33DA83803A8}" xr6:coauthVersionLast="47" xr6:coauthVersionMax="47" xr10:uidLastSave="{00000000-0000-0000-0000-000000000000}"/>
  <bookViews>
    <workbookView xWindow="120" yWindow="740" windowWidth="29280" windowHeight="16700" activeTab="1" xr2:uid="{BF3F7043-180A-6F4E-86C9-B1B3CEF0077D}"/>
  </bookViews>
  <sheets>
    <sheet name="Info" sheetId="1" r:id="rId1"/>
    <sheet name="Ma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7" i="2" l="1"/>
  <c r="BG7" i="2" s="1"/>
  <c r="BH7" i="2" s="1"/>
  <c r="BE7" i="2"/>
  <c r="AY7" i="2"/>
  <c r="AZ7" i="2" s="1"/>
  <c r="BA7" i="2" s="1"/>
  <c r="BB7" i="2" s="1"/>
  <c r="BC7" i="2" s="1"/>
  <c r="BD7" i="2" s="1"/>
  <c r="AX7" i="2"/>
  <c r="AP7" i="2"/>
  <c r="AQ7" i="2" s="1"/>
  <c r="AR7" i="2" s="1"/>
  <c r="AS7" i="2" s="1"/>
  <c r="AT7" i="2" s="1"/>
  <c r="AU7" i="2" s="1"/>
  <c r="AV7" i="2" s="1"/>
  <c r="AW7" i="2" s="1"/>
  <c r="AO7" i="2"/>
  <c r="AN7" i="2"/>
  <c r="AF7" i="2"/>
  <c r="AG7" i="2" s="1"/>
  <c r="AH7" i="2" s="1"/>
  <c r="AI7" i="2" s="1"/>
  <c r="AJ7" i="2" s="1"/>
  <c r="AK7" i="2" s="1"/>
  <c r="AL7" i="2" s="1"/>
  <c r="AM7" i="2" s="1"/>
  <c r="AE7" i="2"/>
  <c r="AD7" i="2"/>
  <c r="Z43" i="2"/>
  <c r="AD25" i="2"/>
  <c r="AC23" i="2"/>
  <c r="AD15" i="2"/>
  <c r="AD13" i="2"/>
  <c r="AD14" i="2" s="1"/>
  <c r="Z31" i="2"/>
  <c r="Z30" i="2"/>
  <c r="Z21" i="2"/>
  <c r="AC7" i="2"/>
  <c r="AA7" i="2"/>
  <c r="Z18" i="2"/>
  <c r="Z17" i="2"/>
  <c r="Z16" i="2"/>
  <c r="Z15" i="2"/>
  <c r="Z9" i="2"/>
  <c r="Z7" i="2"/>
  <c r="G17" i="2"/>
  <c r="G15" i="2"/>
  <c r="G12" i="2"/>
  <c r="Z12" i="2" s="1"/>
  <c r="G11" i="2"/>
  <c r="G10" i="2"/>
  <c r="G9" i="2"/>
  <c r="G7" i="2"/>
  <c r="Z11" i="2"/>
  <c r="K17" i="2"/>
  <c r="K15" i="2"/>
  <c r="K12" i="2"/>
  <c r="K11" i="2"/>
  <c r="K10" i="2"/>
  <c r="K9" i="2"/>
  <c r="AA9" i="2" s="1"/>
  <c r="K7" i="2"/>
  <c r="AA15" i="2"/>
  <c r="K13" i="2"/>
  <c r="O17" i="2"/>
  <c r="O15" i="2"/>
  <c r="AB15" i="2" s="1"/>
  <c r="O12" i="2"/>
  <c r="O11" i="2"/>
  <c r="O10" i="2"/>
  <c r="AB10" i="2" s="1"/>
  <c r="O9" i="2"/>
  <c r="AB9" i="2" s="1"/>
  <c r="O7" i="2"/>
  <c r="AB7" i="2" s="1"/>
  <c r="AB11" i="2"/>
  <c r="S17" i="2"/>
  <c r="S15" i="2"/>
  <c r="AC15" i="2" s="1"/>
  <c r="S12" i="2"/>
  <c r="S11" i="2"/>
  <c r="S10" i="2"/>
  <c r="S9" i="2"/>
  <c r="S7" i="2"/>
  <c r="H25" i="2"/>
  <c r="L25" i="2"/>
  <c r="P25" i="2"/>
  <c r="T25" i="2"/>
  <c r="V24" i="2"/>
  <c r="U24" i="2"/>
  <c r="T24" i="2"/>
  <c r="R24" i="2"/>
  <c r="Q24" i="2"/>
  <c r="P24" i="2"/>
  <c r="N24" i="2"/>
  <c r="M24" i="2"/>
  <c r="L24" i="2"/>
  <c r="J24" i="2"/>
  <c r="I24" i="2"/>
  <c r="H24" i="2"/>
  <c r="F24" i="2"/>
  <c r="E24" i="2"/>
  <c r="D24" i="2"/>
  <c r="W24" i="2"/>
  <c r="V23" i="2"/>
  <c r="U23" i="2"/>
  <c r="T23" i="2"/>
  <c r="R23" i="2"/>
  <c r="Q23" i="2"/>
  <c r="P23" i="2"/>
  <c r="N23" i="2"/>
  <c r="M23" i="2"/>
  <c r="L23" i="2"/>
  <c r="J23" i="2"/>
  <c r="I23" i="2"/>
  <c r="H23" i="2"/>
  <c r="F23" i="2"/>
  <c r="E23" i="2"/>
  <c r="D23" i="2"/>
  <c r="W23" i="2"/>
  <c r="AC17" i="2"/>
  <c r="AC12" i="2"/>
  <c r="AC11" i="2"/>
  <c r="AC10" i="2"/>
  <c r="AC9" i="2"/>
  <c r="AB17" i="2"/>
  <c r="AB12" i="2"/>
  <c r="AA17" i="2"/>
  <c r="AA12" i="2"/>
  <c r="AA11" i="2"/>
  <c r="AA10" i="2"/>
  <c r="W14" i="2"/>
  <c r="W16" i="2" s="1"/>
  <c r="W18" i="2" s="1"/>
  <c r="W20" i="2" s="1"/>
  <c r="V14" i="2"/>
  <c r="V16" i="2" s="1"/>
  <c r="V18" i="2" s="1"/>
  <c r="V20" i="2" s="1"/>
  <c r="W13" i="2"/>
  <c r="V13" i="2"/>
  <c r="R13" i="2"/>
  <c r="R14" i="2" s="1"/>
  <c r="R16" i="2" s="1"/>
  <c r="R18" i="2" s="1"/>
  <c r="R20" i="2" s="1"/>
  <c r="Q13" i="2"/>
  <c r="Q14" i="2" s="1"/>
  <c r="Q16" i="2" s="1"/>
  <c r="Q18" i="2" s="1"/>
  <c r="Q20" i="2" s="1"/>
  <c r="P13" i="2"/>
  <c r="P14" i="2" s="1"/>
  <c r="N13" i="2"/>
  <c r="N14" i="2" s="1"/>
  <c r="N16" i="2" s="1"/>
  <c r="N18" i="2" s="1"/>
  <c r="N20" i="2" s="1"/>
  <c r="M13" i="2"/>
  <c r="M14" i="2" s="1"/>
  <c r="M16" i="2" s="1"/>
  <c r="M18" i="2" s="1"/>
  <c r="M20" i="2" s="1"/>
  <c r="L13" i="2"/>
  <c r="L14" i="2" s="1"/>
  <c r="J13" i="2"/>
  <c r="J14" i="2" s="1"/>
  <c r="J16" i="2" s="1"/>
  <c r="J18" i="2" s="1"/>
  <c r="J20" i="2" s="1"/>
  <c r="I13" i="2"/>
  <c r="I14" i="2" s="1"/>
  <c r="I16" i="2" s="1"/>
  <c r="I18" i="2" s="1"/>
  <c r="I20" i="2" s="1"/>
  <c r="H13" i="2"/>
  <c r="H14" i="2" s="1"/>
  <c r="F13" i="2"/>
  <c r="F14" i="2" s="1"/>
  <c r="F16" i="2" s="1"/>
  <c r="F18" i="2" s="1"/>
  <c r="F20" i="2" s="1"/>
  <c r="E13" i="2"/>
  <c r="E14" i="2" s="1"/>
  <c r="E16" i="2" s="1"/>
  <c r="E18" i="2" s="1"/>
  <c r="E20" i="2" s="1"/>
  <c r="D13" i="2"/>
  <c r="D14" i="2" s="1"/>
  <c r="T13" i="2"/>
  <c r="T14" i="2" s="1"/>
  <c r="T16" i="2" s="1"/>
  <c r="U13" i="2"/>
  <c r="U14" i="2" s="1"/>
  <c r="U16" i="2" s="1"/>
  <c r="C10" i="1"/>
  <c r="C9" i="1"/>
  <c r="C7" i="1"/>
  <c r="AC21" i="2"/>
  <c r="AB21" i="2"/>
  <c r="AA21" i="2"/>
  <c r="Z10" i="2"/>
  <c r="AD23" i="2" l="1"/>
  <c r="AD16" i="2"/>
  <c r="Z13" i="2"/>
  <c r="Z14" i="2" s="1"/>
  <c r="G13" i="2"/>
  <c r="G14" i="2" s="1"/>
  <c r="K14" i="2"/>
  <c r="K23" i="2"/>
  <c r="K16" i="2"/>
  <c r="O13" i="2"/>
  <c r="O14" i="2"/>
  <c r="O16" i="2" s="1"/>
  <c r="S13" i="2"/>
  <c r="S14" i="2" s="1"/>
  <c r="S16" i="2" s="1"/>
  <c r="S18" i="2" s="1"/>
  <c r="S20" i="2" s="1"/>
  <c r="AA13" i="2"/>
  <c r="AB13" i="2"/>
  <c r="AB14" i="2" s="1"/>
  <c r="AC13" i="2"/>
  <c r="AC25" i="2"/>
  <c r="L16" i="2"/>
  <c r="D16" i="2"/>
  <c r="H16" i="2"/>
  <c r="P16" i="2"/>
  <c r="U18" i="2"/>
  <c r="U20" i="2" s="1"/>
  <c r="T18" i="2"/>
  <c r="T20" i="2" s="1"/>
  <c r="AD17" i="2" l="1"/>
  <c r="AD24" i="2" s="1"/>
  <c r="AD18" i="2"/>
  <c r="AD20" i="2" s="1"/>
  <c r="Z20" i="2"/>
  <c r="G23" i="2"/>
  <c r="G16" i="2"/>
  <c r="K18" i="2"/>
  <c r="K20" i="2" s="1"/>
  <c r="K24" i="2"/>
  <c r="AA14" i="2"/>
  <c r="AA16" i="2" s="1"/>
  <c r="O18" i="2"/>
  <c r="O20" i="2" s="1"/>
  <c r="O24" i="2"/>
  <c r="O23" i="2"/>
  <c r="AB16" i="2"/>
  <c r="AB18" i="2" s="1"/>
  <c r="AB20" i="2" s="1"/>
  <c r="S24" i="2"/>
  <c r="S23" i="2"/>
  <c r="AC14" i="2"/>
  <c r="AC16" i="2" s="1"/>
  <c r="Z23" i="2"/>
  <c r="Z24" i="2"/>
  <c r="AA25" i="2"/>
  <c r="AB25" i="2"/>
  <c r="AB23" i="2"/>
  <c r="AB24" i="2"/>
  <c r="P18" i="2"/>
  <c r="P20" i="2" s="1"/>
  <c r="H18" i="2"/>
  <c r="H20" i="2" s="1"/>
  <c r="D18" i="2"/>
  <c r="L18" i="2"/>
  <c r="AE25" i="2" l="1"/>
  <c r="AE15" i="2"/>
  <c r="AE13" i="2"/>
  <c r="AE14" i="2" s="1"/>
  <c r="G18" i="2"/>
  <c r="G20" i="2" s="1"/>
  <c r="G24" i="2"/>
  <c r="AA23" i="2"/>
  <c r="AA24" i="2"/>
  <c r="AA18" i="2"/>
  <c r="AA20" i="2" s="1"/>
  <c r="AC24" i="2"/>
  <c r="AC18" i="2"/>
  <c r="AC20" i="2" s="1"/>
  <c r="D20" i="2"/>
  <c r="L20" i="2"/>
  <c r="Z34" i="2"/>
  <c r="AE16" i="2" l="1"/>
  <c r="AE23" i="2"/>
  <c r="AF25" i="2"/>
  <c r="AF15" i="2"/>
  <c r="AF13" i="2"/>
  <c r="AF14" i="2" s="1"/>
  <c r="AF16" i="2" l="1"/>
  <c r="AF23" i="2"/>
  <c r="AG13" i="2"/>
  <c r="AG14" i="2" s="1"/>
  <c r="AG25" i="2"/>
  <c r="AG15" i="2"/>
  <c r="AE17" i="2"/>
  <c r="AE24" i="2" s="1"/>
  <c r="AG23" i="2" l="1"/>
  <c r="AG16" i="2"/>
  <c r="AH15" i="2"/>
  <c r="AH25" i="2"/>
  <c r="AH13" i="2"/>
  <c r="AH14" i="2" s="1"/>
  <c r="AE18" i="2"/>
  <c r="AE20" i="2" s="1"/>
  <c r="AF17" i="2"/>
  <c r="AF24" i="2" s="1"/>
  <c r="AH23" i="2" l="1"/>
  <c r="AH16" i="2"/>
  <c r="AI25" i="2"/>
  <c r="AI13" i="2"/>
  <c r="AI14" i="2" s="1"/>
  <c r="AI15" i="2"/>
  <c r="AG17" i="2"/>
  <c r="AG24" i="2" s="1"/>
  <c r="AF18" i="2"/>
  <c r="AF20" i="2" s="1"/>
  <c r="AG18" i="2" l="1"/>
  <c r="AG20" i="2" s="1"/>
  <c r="AH17" i="2"/>
  <c r="AH24" i="2" s="1"/>
  <c r="AI23" i="2"/>
  <c r="AI16" i="2"/>
  <c r="AJ15" i="2"/>
  <c r="AJ25" i="2"/>
  <c r="AJ13" i="2"/>
  <c r="AJ14" i="2" s="1"/>
  <c r="AI17" i="2" l="1"/>
  <c r="AI24" i="2" s="1"/>
  <c r="AI18" i="2"/>
  <c r="AI20" i="2" s="1"/>
  <c r="AJ23" i="2"/>
  <c r="AJ16" i="2"/>
  <c r="AJ17" i="2" s="1"/>
  <c r="AJ24" i="2" s="1"/>
  <c r="AK13" i="2"/>
  <c r="AK14" i="2" s="1"/>
  <c r="AK15" i="2"/>
  <c r="AK25" i="2"/>
  <c r="AH18" i="2"/>
  <c r="AH20" i="2" s="1"/>
  <c r="AK23" i="2" l="1"/>
  <c r="AK16" i="2"/>
  <c r="AK17" i="2" s="1"/>
  <c r="AK24" i="2" s="1"/>
  <c r="AL25" i="2"/>
  <c r="AL15" i="2"/>
  <c r="AL13" i="2"/>
  <c r="AL14" i="2" s="1"/>
  <c r="AJ18" i="2"/>
  <c r="AK18" i="2"/>
  <c r="AK20" i="2" s="1"/>
  <c r="AJ20" i="2"/>
  <c r="AL16" i="2" l="1"/>
  <c r="AL23" i="2"/>
  <c r="AM25" i="2"/>
  <c r="AM13" i="2"/>
  <c r="AM14" i="2" s="1"/>
  <c r="AM15" i="2"/>
  <c r="AM16" i="2" l="1"/>
  <c r="AM17" i="2" s="1"/>
  <c r="AM24" i="2" s="1"/>
  <c r="AM23" i="2"/>
  <c r="AN13" i="2"/>
  <c r="AN25" i="2"/>
  <c r="AN15" i="2"/>
  <c r="AN14" i="2"/>
  <c r="AL18" i="2"/>
  <c r="AL20" i="2" s="1"/>
  <c r="AL17" i="2"/>
  <c r="AL24" i="2" s="1"/>
  <c r="AM18" i="2"/>
  <c r="AM20" i="2" s="1"/>
  <c r="AN23" i="2" l="1"/>
  <c r="AN16" i="2"/>
  <c r="AO13" i="2"/>
  <c r="AO14" i="2" s="1"/>
  <c r="AO15" i="2"/>
  <c r="AO25" i="2"/>
  <c r="AO23" i="2" l="1"/>
  <c r="AO16" i="2"/>
  <c r="AO17" i="2" s="1"/>
  <c r="AO24" i="2" s="1"/>
  <c r="AP13" i="2"/>
  <c r="AP14" i="2" s="1"/>
  <c r="AP15" i="2"/>
  <c r="AP25" i="2"/>
  <c r="AN17" i="2"/>
  <c r="AN24" i="2" s="1"/>
  <c r="AN18" i="2"/>
  <c r="AN20" i="2" s="1"/>
  <c r="AO18" i="2" l="1"/>
  <c r="AO20" i="2" s="1"/>
  <c r="AP16" i="2"/>
  <c r="AP17" i="2" s="1"/>
  <c r="AP24" i="2" s="1"/>
  <c r="AP23" i="2"/>
  <c r="AQ15" i="2"/>
  <c r="AQ25" i="2"/>
  <c r="AQ13" i="2"/>
  <c r="AQ14" i="2" s="1"/>
  <c r="AP18" i="2"/>
  <c r="AP20" i="2" s="1"/>
  <c r="AQ23" i="2" l="1"/>
  <c r="AQ16" i="2"/>
  <c r="AQ17" i="2" s="1"/>
  <c r="AQ24" i="2" s="1"/>
  <c r="AR15" i="2"/>
  <c r="AR25" i="2"/>
  <c r="AR13" i="2"/>
  <c r="AR14" i="2" s="1"/>
  <c r="AQ18" i="2"/>
  <c r="AQ20" i="2" s="1"/>
  <c r="AR16" i="2" l="1"/>
  <c r="AR23" i="2"/>
  <c r="AS25" i="2"/>
  <c r="AS15" i="2"/>
  <c r="AS13" i="2"/>
  <c r="AS14" i="2"/>
  <c r="AS23" i="2" l="1"/>
  <c r="AS16" i="2"/>
  <c r="AS17" i="2" s="1"/>
  <c r="AS24" i="2" s="1"/>
  <c r="AT25" i="2"/>
  <c r="AT15" i="2"/>
  <c r="AT13" i="2"/>
  <c r="AT14" i="2" s="1"/>
  <c r="AR17" i="2"/>
  <c r="AR24" i="2" s="1"/>
  <c r="AS18" i="2"/>
  <c r="AS20" i="2" s="1"/>
  <c r="AT16" i="2" l="1"/>
  <c r="AT23" i="2"/>
  <c r="AU25" i="2"/>
  <c r="AU13" i="2"/>
  <c r="AU15" i="2"/>
  <c r="AU14" i="2"/>
  <c r="AR18" i="2"/>
  <c r="AR20" i="2" s="1"/>
  <c r="AU23" i="2" l="1"/>
  <c r="AU16" i="2"/>
  <c r="AU17" i="2" s="1"/>
  <c r="AU24" i="2" s="1"/>
  <c r="AV15" i="2"/>
  <c r="AV13" i="2"/>
  <c r="AV14" i="2" s="1"/>
  <c r="AV25" i="2"/>
  <c r="AT17" i="2"/>
  <c r="AT24" i="2" s="1"/>
  <c r="AT18" i="2"/>
  <c r="AT20" i="2" s="1"/>
  <c r="AU18" i="2" l="1"/>
  <c r="AU20" i="2" s="1"/>
  <c r="AV16" i="2"/>
  <c r="AV23" i="2"/>
  <c r="AW15" i="2"/>
  <c r="AW13" i="2"/>
  <c r="AW14" i="2" s="1"/>
  <c r="AW25" i="2"/>
  <c r="AX13" i="2" l="1"/>
  <c r="AX14" i="2" s="1"/>
  <c r="AX15" i="2"/>
  <c r="AX25" i="2"/>
  <c r="AW23" i="2"/>
  <c r="AW16" i="2"/>
  <c r="AW17" i="2" s="1"/>
  <c r="AW24" i="2" s="1"/>
  <c r="AV17" i="2"/>
  <c r="AV24" i="2" s="1"/>
  <c r="AX23" i="2" l="1"/>
  <c r="AX16" i="2"/>
  <c r="AW18" i="2"/>
  <c r="AW20" i="2" s="1"/>
  <c r="AV18" i="2"/>
  <c r="AV20" i="2" s="1"/>
  <c r="AY15" i="2"/>
  <c r="AY25" i="2"/>
  <c r="AY13" i="2"/>
  <c r="AY14" i="2" s="1"/>
  <c r="AY23" i="2" l="1"/>
  <c r="AY16" i="2"/>
  <c r="AZ13" i="2"/>
  <c r="AZ14" i="2" s="1"/>
  <c r="AZ15" i="2"/>
  <c r="AZ25" i="2"/>
  <c r="AX17" i="2"/>
  <c r="AX24" i="2" s="1"/>
  <c r="AX18" i="2"/>
  <c r="AX20" i="2" s="1"/>
  <c r="BA25" i="2" l="1"/>
  <c r="BA15" i="2"/>
  <c r="BA13" i="2"/>
  <c r="BA14" i="2" s="1"/>
  <c r="AZ23" i="2"/>
  <c r="AZ16" i="2"/>
  <c r="AY17" i="2"/>
  <c r="AY24" i="2" s="1"/>
  <c r="AY18" i="2"/>
  <c r="AY20" i="2" s="1"/>
  <c r="AZ17" i="2" l="1"/>
  <c r="AZ24" i="2" s="1"/>
  <c r="AZ18" i="2"/>
  <c r="AZ20" i="2" s="1"/>
  <c r="BB25" i="2"/>
  <c r="BB15" i="2"/>
  <c r="BB13" i="2"/>
  <c r="BB14" i="2" s="1"/>
  <c r="BA23" i="2"/>
  <c r="BA16" i="2"/>
  <c r="BA17" i="2" s="1"/>
  <c r="BA24" i="2" s="1"/>
  <c r="BB16" i="2" l="1"/>
  <c r="BB17" i="2" s="1"/>
  <c r="BB24" i="2" s="1"/>
  <c r="BB23" i="2"/>
  <c r="BC25" i="2"/>
  <c r="BC15" i="2"/>
  <c r="BC13" i="2"/>
  <c r="BC14" i="2" s="1"/>
  <c r="BA18" i="2"/>
  <c r="BA20" i="2" s="1"/>
  <c r="BB18" i="2"/>
  <c r="BB20" i="2" s="1"/>
  <c r="BC16" i="2" l="1"/>
  <c r="BC17" i="2" s="1"/>
  <c r="BC24" i="2" s="1"/>
  <c r="BC23" i="2"/>
  <c r="BD13" i="2"/>
  <c r="BD14" i="2"/>
  <c r="BD15" i="2"/>
  <c r="BD25" i="2"/>
  <c r="BC18" i="2"/>
  <c r="BC20" i="2" s="1"/>
  <c r="BD23" i="2" l="1"/>
  <c r="BD16" i="2"/>
  <c r="BD17" i="2" s="1"/>
  <c r="BD24" i="2" s="1"/>
  <c r="BE13" i="2"/>
  <c r="BE14" i="2" s="1"/>
  <c r="BE15" i="2"/>
  <c r="BE25" i="2"/>
  <c r="BD18" i="2"/>
  <c r="BD20" i="2" s="1"/>
  <c r="BF13" i="2" l="1"/>
  <c r="BF14" i="2" s="1"/>
  <c r="BF15" i="2"/>
  <c r="BF25" i="2"/>
  <c r="BE23" i="2"/>
  <c r="BE16" i="2"/>
  <c r="BE17" i="2" s="1"/>
  <c r="BE24" i="2" s="1"/>
  <c r="BG25" i="2" l="1"/>
  <c r="BG15" i="2"/>
  <c r="BG13" i="2"/>
  <c r="BG14" i="2" s="1"/>
  <c r="BF16" i="2"/>
  <c r="BF23" i="2"/>
  <c r="BE18" i="2"/>
  <c r="BE20" i="2" s="1"/>
  <c r="BF17" i="2" l="1"/>
  <c r="BF24" i="2" s="1"/>
  <c r="BF18" i="2"/>
  <c r="BF20" i="2" s="1"/>
  <c r="BH15" i="2"/>
  <c r="BH25" i="2"/>
  <c r="BH13" i="2"/>
  <c r="BH14" i="2" s="1"/>
  <c r="BG16" i="2"/>
  <c r="BG17" i="2" s="1"/>
  <c r="BG24" i="2" s="1"/>
  <c r="BG23" i="2"/>
  <c r="BG18" i="2"/>
  <c r="BG20" i="2" s="1"/>
  <c r="BH16" i="2" l="1"/>
  <c r="BH23" i="2"/>
  <c r="BH17" i="2" l="1"/>
  <c r="BH24" i="2" s="1"/>
  <c r="BH18" i="2" l="1"/>
  <c r="BH20" i="2" s="1"/>
  <c r="Z39" i="2"/>
  <c r="Z41" i="2" s="1"/>
  <c r="Z42" i="2" s="1"/>
</calcChain>
</file>

<file path=xl/sharedStrings.xml><?xml version="1.0" encoding="utf-8"?>
<sst xmlns="http://schemas.openxmlformats.org/spreadsheetml/2006/main" count="85" uniqueCount="61">
  <si>
    <t>March</t>
  </si>
  <si>
    <t xml:space="preserve">June </t>
  </si>
  <si>
    <t>Sep</t>
  </si>
  <si>
    <t xml:space="preserve">Dec 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</si>
  <si>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</si>
  <si>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</si>
  <si>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</si>
  <si>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</si>
  <si>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</si>
  <si>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</si>
  <si>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</si>
  <si>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</si>
  <si>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</si>
  <si>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</si>
  <si>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</si>
  <si>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</si>
  <si>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</si>
  <si>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</si>
  <si>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</si>
  <si>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</si>
  <si>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</si>
  <si>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</si>
  <si>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</si>
  <si>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</si>
  <si>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 xml:space="preserve">Revenue </t>
  </si>
  <si>
    <t>Taxes</t>
  </si>
  <si>
    <t xml:space="preserve">Net Income </t>
  </si>
  <si>
    <t xml:space="preserve">EPS </t>
  </si>
  <si>
    <t xml:space="preserve">Shares </t>
  </si>
  <si>
    <t>Gross Margin</t>
  </si>
  <si>
    <t>Revenue Y/Y</t>
  </si>
  <si>
    <t>Assumptions</t>
  </si>
  <si>
    <t>Data</t>
  </si>
  <si>
    <t>Revenue YoY</t>
  </si>
  <si>
    <t>Margin</t>
  </si>
  <si>
    <t>Operating Expenses</t>
  </si>
  <si>
    <t xml:space="preserve">Tax Rate </t>
  </si>
  <si>
    <t>What the Market Thinks</t>
  </si>
  <si>
    <t xml:space="preserve">Maturity </t>
  </si>
  <si>
    <t xml:space="preserve">Discount Rate </t>
  </si>
  <si>
    <t>NPV</t>
  </si>
  <si>
    <t xml:space="preserve">Cash </t>
  </si>
  <si>
    <t>Net NPV</t>
  </si>
  <si>
    <t>Share Price</t>
  </si>
  <si>
    <t xml:space="preserve">Current Price </t>
  </si>
  <si>
    <t>Costs &amp; Expenses</t>
  </si>
  <si>
    <t xml:space="preserve">Cost of Revenue </t>
  </si>
  <si>
    <t>R&amp;D</t>
  </si>
  <si>
    <t>M&amp;S</t>
  </si>
  <si>
    <t>G&amp;A</t>
  </si>
  <si>
    <t>Total Costs &amp; Expenses</t>
  </si>
  <si>
    <t>Income from Operations</t>
  </si>
  <si>
    <t xml:space="preserve">Interest and other income </t>
  </si>
  <si>
    <t>Income before taxes</t>
  </si>
  <si>
    <t xml:space="preserve">Ticker </t>
  </si>
  <si>
    <t xml:space="preserve">Stock Price </t>
  </si>
  <si>
    <t xml:space="preserve">Shares Outstanding </t>
  </si>
  <si>
    <t xml:space="preserve">Market Cap </t>
  </si>
  <si>
    <t xml:space="preserve">Debt </t>
  </si>
  <si>
    <t>META</t>
  </si>
  <si>
    <t>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</si>
</sst>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_);[Red]\(&quot;£&quot;#,##0.00\)"/>
    <numFmt numFmtId="164" formatCode="[$$-409]#,##0"/>
    <numFmt numFmtId="165" formatCode="[$$-409]#,##0.00"/>
    <numFmt numFmtId="166" formatCode="0.0%"/>
    <numFmt numFmtId="167" formatCode="[$$-409]#,##0.00_);[Red]\([$$-409]#,##0.00\)"/>
    <numFmt numFmtId="172" formatCode="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9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/>
    <xf numFmtId="1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4" borderId="0" xfId="0" applyFill="1"/>
    <xf numFmtId="8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1">
    <dxf>
      <numFmt numFmtId="164" formatCode="[$$-409]#,##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054609-8AEE-1343-9129-58F1FD4F1010}" name="Table1" displayName="Table1" ref="Y36:Z45" totalsRowShown="0">
  <autoFilter ref="Y36:Z45" xr:uid="{42054609-8AEE-1343-9129-58F1FD4F1010}"/>
  <tableColumns count="2">
    <tableColumn id="1" xr3:uid="{EDF72C74-95FD-434A-9A9C-8AF9D3C1C65B}" name="What the Market Thinks"/>
    <tableColumn id="2" xr3:uid="{6AC11A1C-8E5E-6E4E-9157-7B58C0DC93FC}" name="Dat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02095-6042-3D4F-8034-3C4629DD5C2A}" name="Table2" displayName="Table2" ref="Y29:Z34" totalsRowShown="0">
  <autoFilter ref="Y29:Z34" xr:uid="{F9702095-6042-3D4F-8034-3C4629DD5C2A}"/>
  <tableColumns count="2">
    <tableColumn id="1" xr3:uid="{ED302088-BDC5-7648-91F5-703A4D89ECA7}" name="Assumptions"/>
    <tableColumn id="2" xr3:uid="{F2BB7E42-16CC-A94A-B432-A3CFDA1458ED}" name="Data" dataDxfId="0">
      <calculatedColumnFormula>AVERAGE(D23:S23)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1FB6-02AC-6340-8AF8-1D87DDB25603}">
  <dimension ref="B4:D10"/>
  <sheetViews>
    <sheetView workbookViewId="0">
      <selection activeCell="E9" sqref="E9"/>
    </sheetView>
  </sheetViews>
  <sheetFormatPr baseColWidth="10" defaultRowHeight="16" x14ac:dyDescent="0.2"/>
  <cols>
    <col min="2" max="2" width="17.33203125" bestFit="1" customWidth="1"/>
    <col min="3" max="3" width="12.6640625" bestFit="1" customWidth="1"/>
  </cols>
  <sheetData>
    <row r="4" spans="2:4" x14ac:dyDescent="0.2">
      <c r="B4" t="s">
        <v>54</v>
      </c>
      <c r="C4" s="31" t="s">
        <v>59</v>
      </c>
    </row>
    <row r="5" spans="2:4" x14ac:dyDescent="0.2">
      <c r="B5" t="s">
        <v>55</v>
      </c>
      <c r="C5">
        <v>502.46</v>
      </c>
    </row>
    <row r="6" spans="2:4" x14ac:dyDescent="0.2">
      <c r="B6" t="s">
        <v>56</v>
      </c>
      <c r="C6" s="29">
        <v>2529</v>
      </c>
      <c r="D6" t="s">
        <v>60</v>
      </c>
    </row>
    <row r="7" spans="2:4" x14ac:dyDescent="0.2">
      <c r="B7" t="s">
        <v>57</v>
      </c>
      <c r="C7" s="30">
        <f>C6*C5</f>
        <v>1270721.3399999999</v>
      </c>
      <c r="D7" t="s">
        <v>60</v>
      </c>
    </row>
    <row r="8" spans="2:4" x14ac:dyDescent="0.2">
      <c r="B8" t="s">
        <v>41</v>
      </c>
      <c r="C8" s="30">
        <v>41862</v>
      </c>
      <c r="D8" t="s">
        <v>60</v>
      </c>
    </row>
    <row r="9" spans="2:4" x14ac:dyDescent="0.2">
      <c r="B9" t="s">
        <v>58</v>
      </c>
      <c r="C9" s="30">
        <f>4849+18385</f>
        <v>23234</v>
      </c>
      <c r="D9" t="s">
        <v>60</v>
      </c>
    </row>
    <row r="10" spans="2:4" x14ac:dyDescent="0.2">
      <c r="B10" t="s">
        <v>40</v>
      </c>
      <c r="C10" s="30">
        <f>C7-C9+C8</f>
        <v>1289349.3399999999</v>
      </c>
      <c r="D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3D45-B39E-0948-BE91-0B1256095AF5}">
  <dimension ref="C5:BH46"/>
  <sheetViews>
    <sheetView tabSelected="1" workbookViewId="0">
      <pane xSplit="3" ySplit="6" topLeftCell="T22" activePane="bottomRight" state="frozen"/>
      <selection pane="topRight" activeCell="D1" sqref="D1"/>
      <selection pane="bottomLeft" activeCell="A7" sqref="A7"/>
      <selection pane="bottomRight" activeCell="AB41" sqref="AB41"/>
    </sheetView>
  </sheetViews>
  <sheetFormatPr baseColWidth="10" defaultRowHeight="16" x14ac:dyDescent="0.2"/>
  <cols>
    <col min="3" max="3" width="40.33203125" bestFit="1" customWidth="1"/>
    <col min="25" max="25" width="20" bestFit="1" customWidth="1"/>
    <col min="26" max="26" width="17.1640625" bestFit="1" customWidth="1"/>
    <col min="43" max="43" width="11.1640625" bestFit="1" customWidth="1"/>
    <col min="49" max="49" width="11.1640625" bestFit="1" customWidth="1"/>
    <col min="56" max="56" width="11.1640625" bestFit="1" customWidth="1"/>
  </cols>
  <sheetData>
    <row r="5" spans="3:60" x14ac:dyDescent="0.2">
      <c r="D5" s="1" t="s">
        <v>0</v>
      </c>
      <c r="E5" s="1" t="s">
        <v>1</v>
      </c>
      <c r="F5" s="1" t="s">
        <v>2</v>
      </c>
      <c r="G5" s="1" t="s">
        <v>3</v>
      </c>
      <c r="H5" s="1" t="s">
        <v>0</v>
      </c>
      <c r="I5" s="1" t="s">
        <v>1</v>
      </c>
      <c r="J5" s="1" t="s">
        <v>2</v>
      </c>
      <c r="K5" s="1" t="s">
        <v>3</v>
      </c>
      <c r="L5" s="1" t="s">
        <v>0</v>
      </c>
      <c r="M5" s="1" t="s">
        <v>1</v>
      </c>
      <c r="N5" s="1" t="s">
        <v>2</v>
      </c>
      <c r="O5" s="1" t="s">
        <v>3</v>
      </c>
      <c r="P5" s="1" t="s">
        <v>0</v>
      </c>
      <c r="Q5" s="1" t="s">
        <v>1</v>
      </c>
      <c r="R5" s="1" t="s">
        <v>2</v>
      </c>
      <c r="S5" s="1" t="s">
        <v>3</v>
      </c>
      <c r="T5" s="1" t="s">
        <v>0</v>
      </c>
      <c r="U5" s="1" t="s">
        <v>1</v>
      </c>
      <c r="V5" s="1" t="s">
        <v>2</v>
      </c>
      <c r="W5" s="1" t="s">
        <v>3</v>
      </c>
    </row>
    <row r="6" spans="3:60" x14ac:dyDescent="0.2"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20</v>
      </c>
      <c r="U6" s="2" t="s">
        <v>21</v>
      </c>
      <c r="V6" s="2" t="s">
        <v>22</v>
      </c>
      <c r="W6" s="2" t="s">
        <v>23</v>
      </c>
      <c r="Z6" s="2">
        <v>2020</v>
      </c>
      <c r="AA6" s="2">
        <v>2021</v>
      </c>
      <c r="AB6" s="2">
        <v>2022</v>
      </c>
      <c r="AC6" s="2">
        <v>2023</v>
      </c>
      <c r="AD6" s="2">
        <v>2024</v>
      </c>
      <c r="AE6" s="2">
        <v>2025</v>
      </c>
      <c r="AF6" s="2">
        <v>2026</v>
      </c>
      <c r="AG6" s="2">
        <v>2027</v>
      </c>
      <c r="AH6" s="2">
        <v>2028</v>
      </c>
      <c r="AI6" s="2">
        <v>2029</v>
      </c>
      <c r="AJ6" s="2">
        <v>2030</v>
      </c>
      <c r="AK6" s="2">
        <v>2031</v>
      </c>
      <c r="AL6" s="2">
        <v>2032</v>
      </c>
      <c r="AM6" s="2">
        <v>2033</v>
      </c>
      <c r="AN6" s="2">
        <v>2034</v>
      </c>
      <c r="AO6" s="2">
        <v>2035</v>
      </c>
      <c r="AP6" s="2">
        <v>2036</v>
      </c>
      <c r="AQ6" s="2">
        <v>2037</v>
      </c>
      <c r="AR6" s="2">
        <v>2038</v>
      </c>
      <c r="AS6" s="2">
        <v>2039</v>
      </c>
      <c r="AT6" s="2">
        <v>2040</v>
      </c>
      <c r="AU6" s="2">
        <v>2041</v>
      </c>
      <c r="AV6" s="2">
        <v>2042</v>
      </c>
      <c r="AW6" s="2">
        <v>2043</v>
      </c>
      <c r="AX6" s="2">
        <v>2044</v>
      </c>
      <c r="AY6" s="2">
        <v>2045</v>
      </c>
      <c r="AZ6" s="2">
        <v>2046</v>
      </c>
      <c r="BA6" s="2">
        <v>2047</v>
      </c>
      <c r="BB6" s="2">
        <v>2048</v>
      </c>
      <c r="BC6" s="2">
        <v>2049</v>
      </c>
      <c r="BD6" s="2">
        <v>2050</v>
      </c>
      <c r="BE6" s="2">
        <v>2051</v>
      </c>
      <c r="BF6" s="2">
        <v>2052</v>
      </c>
      <c r="BG6" s="2">
        <v>2053</v>
      </c>
      <c r="BH6" s="2">
        <v>2054</v>
      </c>
    </row>
    <row r="7" spans="3:60" x14ac:dyDescent="0.2">
      <c r="C7" s="3" t="s">
        <v>24</v>
      </c>
      <c r="D7" s="4">
        <v>17737</v>
      </c>
      <c r="E7" s="4">
        <v>18687</v>
      </c>
      <c r="F7" s="4">
        <v>21470</v>
      </c>
      <c r="G7" s="4">
        <f>85965-SUM(D7:F7)</f>
        <v>28071</v>
      </c>
      <c r="H7" s="4">
        <v>26171</v>
      </c>
      <c r="I7" s="4">
        <v>29077</v>
      </c>
      <c r="J7" s="4">
        <v>29010</v>
      </c>
      <c r="K7" s="4">
        <f>117912-SUM(H7:J7)</f>
        <v>33654</v>
      </c>
      <c r="L7" s="4">
        <v>27908</v>
      </c>
      <c r="M7" s="4">
        <v>28822</v>
      </c>
      <c r="N7" s="4">
        <v>27714</v>
      </c>
      <c r="O7" s="4">
        <f>116609-SUM(L7:N7)</f>
        <v>32165</v>
      </c>
      <c r="P7" s="4">
        <v>28645</v>
      </c>
      <c r="Q7" s="4">
        <v>31999</v>
      </c>
      <c r="R7" s="4">
        <v>34146</v>
      </c>
      <c r="S7" s="4">
        <f>134902-SUM(P7:R7)</f>
        <v>40112</v>
      </c>
      <c r="T7" s="4">
        <v>36455</v>
      </c>
      <c r="U7" s="4">
        <v>39071</v>
      </c>
      <c r="V7" s="4">
        <v>0</v>
      </c>
      <c r="W7" s="4">
        <v>0</v>
      </c>
      <c r="Z7" s="4">
        <f>SUM(D7:G7)</f>
        <v>85965</v>
      </c>
      <c r="AA7" s="4">
        <f>SUM(H7:K7)</f>
        <v>117912</v>
      </c>
      <c r="AB7" s="4">
        <f>SUM(L7:O7)</f>
        <v>116609</v>
      </c>
      <c r="AC7" s="4">
        <f>SUM(P7:S7)</f>
        <v>134902</v>
      </c>
      <c r="AD7" s="5">
        <f>AC7*1.08</f>
        <v>145694.16</v>
      </c>
      <c r="AE7" s="5">
        <f t="shared" ref="AE7:AM7" si="0">AD7*1.08</f>
        <v>157349.69280000002</v>
      </c>
      <c r="AF7" s="5">
        <f t="shared" si="0"/>
        <v>169937.66822400002</v>
      </c>
      <c r="AG7" s="5">
        <f t="shared" si="0"/>
        <v>183532.68168192005</v>
      </c>
      <c r="AH7" s="5">
        <f t="shared" si="0"/>
        <v>198215.29621647365</v>
      </c>
      <c r="AI7" s="5">
        <f t="shared" si="0"/>
        <v>214072.51991379156</v>
      </c>
      <c r="AJ7" s="5">
        <f t="shared" si="0"/>
        <v>231198.32150689489</v>
      </c>
      <c r="AK7" s="5">
        <f t="shared" si="0"/>
        <v>249694.1872274465</v>
      </c>
      <c r="AL7" s="5">
        <f t="shared" si="0"/>
        <v>269669.72220564226</v>
      </c>
      <c r="AM7" s="5">
        <f t="shared" si="0"/>
        <v>291243.29998209368</v>
      </c>
      <c r="AN7" s="5">
        <f>AM7*1.05</f>
        <v>305805.46498119837</v>
      </c>
      <c r="AO7" s="5">
        <f t="shared" ref="AO7:AW7" si="1">AN7*1.05</f>
        <v>321095.73823025828</v>
      </c>
      <c r="AP7" s="5">
        <f t="shared" si="1"/>
        <v>337150.52514177118</v>
      </c>
      <c r="AQ7" s="5">
        <f t="shared" si="1"/>
        <v>354008.05139885977</v>
      </c>
      <c r="AR7" s="5">
        <f t="shared" si="1"/>
        <v>371708.45396880276</v>
      </c>
      <c r="AS7" s="5">
        <f t="shared" si="1"/>
        <v>390293.8766672429</v>
      </c>
      <c r="AT7" s="5">
        <f t="shared" si="1"/>
        <v>409808.57050060504</v>
      </c>
      <c r="AU7" s="5">
        <f t="shared" si="1"/>
        <v>430298.9990256353</v>
      </c>
      <c r="AV7" s="5">
        <f t="shared" si="1"/>
        <v>451813.94897691708</v>
      </c>
      <c r="AW7" s="5">
        <f t="shared" si="1"/>
        <v>474404.64642576297</v>
      </c>
      <c r="AX7" s="5">
        <f>AW7*1.02</f>
        <v>483892.73935427825</v>
      </c>
      <c r="AY7" s="5">
        <f t="shared" ref="AY7:BD7" si="2">AX7*1.02</f>
        <v>493570.59414136381</v>
      </c>
      <c r="AZ7" s="5">
        <f t="shared" si="2"/>
        <v>503442.0060241911</v>
      </c>
      <c r="BA7" s="5">
        <f t="shared" si="2"/>
        <v>513510.84614467493</v>
      </c>
      <c r="BB7" s="5">
        <f t="shared" si="2"/>
        <v>523781.06306756841</v>
      </c>
      <c r="BC7" s="5">
        <f t="shared" si="2"/>
        <v>534256.68432891974</v>
      </c>
      <c r="BD7" s="5">
        <f t="shared" si="2"/>
        <v>544941.81801549811</v>
      </c>
      <c r="BE7" s="5">
        <f>BD7*1.01</f>
        <v>550391.23619565309</v>
      </c>
      <c r="BF7" s="5">
        <f t="shared" ref="BF7:BH7" si="3">BE7*1.01</f>
        <v>555895.14855760965</v>
      </c>
      <c r="BG7" s="5">
        <f t="shared" si="3"/>
        <v>561454.10004318575</v>
      </c>
      <c r="BH7" s="5">
        <f t="shared" si="3"/>
        <v>567068.64104361762</v>
      </c>
    </row>
    <row r="8" spans="3:60" x14ac:dyDescent="0.2">
      <c r="C8" s="3" t="s">
        <v>45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Z8" s="1"/>
      <c r="AA8" s="1"/>
      <c r="AB8" s="1"/>
      <c r="AC8" s="1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3:60" x14ac:dyDescent="0.2">
      <c r="C9" s="8" t="s">
        <v>46</v>
      </c>
      <c r="D9" s="6">
        <v>3459</v>
      </c>
      <c r="E9" s="6">
        <v>3829</v>
      </c>
      <c r="F9" s="6">
        <v>4194</v>
      </c>
      <c r="G9" s="6">
        <f>16692-SUM(D9:F9)</f>
        <v>5210</v>
      </c>
      <c r="H9" s="6">
        <v>5131</v>
      </c>
      <c r="I9" s="6">
        <v>5399</v>
      </c>
      <c r="J9" s="6">
        <v>5771</v>
      </c>
      <c r="K9" s="6">
        <f>22649-SUM(H9:J9)</f>
        <v>6348</v>
      </c>
      <c r="L9" s="6">
        <v>6005</v>
      </c>
      <c r="M9" s="6">
        <v>5192</v>
      </c>
      <c r="N9" s="6">
        <v>5716</v>
      </c>
      <c r="O9" s="6">
        <f>25249-SUM(L9:N9)</f>
        <v>8336</v>
      </c>
      <c r="P9" s="6">
        <v>6108</v>
      </c>
      <c r="Q9" s="6">
        <v>5945</v>
      </c>
      <c r="R9" s="6">
        <v>6210</v>
      </c>
      <c r="S9" s="6">
        <f>25959-SUM(P9:R9)</f>
        <v>7696</v>
      </c>
      <c r="T9" s="6">
        <v>6640</v>
      </c>
      <c r="U9" s="6">
        <v>7308</v>
      </c>
      <c r="V9" s="6">
        <v>0</v>
      </c>
      <c r="W9" s="6">
        <v>0</v>
      </c>
      <c r="Z9" s="6">
        <f>SUM(D9:G9)</f>
        <v>16692</v>
      </c>
      <c r="AA9" s="32">
        <f t="shared" ref="AA9:AA12" si="4">SUM(H9:K9)</f>
        <v>22649</v>
      </c>
      <c r="AB9" s="32">
        <f t="shared" ref="AB9:AB12" si="5">SUM(L9:O9)</f>
        <v>25249</v>
      </c>
      <c r="AC9" s="32">
        <f t="shared" ref="AC9:AC12" si="6">SUM(P9:S9)</f>
        <v>25959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3:60" x14ac:dyDescent="0.2">
      <c r="C10" s="8" t="s">
        <v>47</v>
      </c>
      <c r="D10" s="6">
        <v>4015</v>
      </c>
      <c r="E10" s="6">
        <v>4462</v>
      </c>
      <c r="F10" s="6">
        <v>4763</v>
      </c>
      <c r="G10" s="6">
        <f>18447-SUM(D10:F10)</f>
        <v>5207</v>
      </c>
      <c r="H10" s="6">
        <v>5197</v>
      </c>
      <c r="I10" s="6">
        <v>6096</v>
      </c>
      <c r="J10" s="6">
        <v>6316</v>
      </c>
      <c r="K10" s="6">
        <f>24655-SUM(H10:J10)</f>
        <v>7046</v>
      </c>
      <c r="L10" s="6">
        <v>7707</v>
      </c>
      <c r="M10" s="6">
        <v>8690</v>
      </c>
      <c r="N10" s="6">
        <v>9170</v>
      </c>
      <c r="O10" s="6">
        <f>35338-SUM(L10:N10)</f>
        <v>9771</v>
      </c>
      <c r="P10" s="6">
        <v>9381</v>
      </c>
      <c r="Q10" s="6">
        <v>9344</v>
      </c>
      <c r="R10" s="6">
        <v>9241</v>
      </c>
      <c r="S10" s="6">
        <f>38483-SUM(P10:R10)</f>
        <v>10517</v>
      </c>
      <c r="T10" s="6">
        <v>9978</v>
      </c>
      <c r="U10" s="6">
        <v>10537</v>
      </c>
      <c r="V10" s="6">
        <v>0</v>
      </c>
      <c r="W10" s="6">
        <v>0</v>
      </c>
      <c r="Z10" s="6">
        <f>SUM(D10:G10)</f>
        <v>18447</v>
      </c>
      <c r="AA10" s="32">
        <f t="shared" si="4"/>
        <v>24655</v>
      </c>
      <c r="AB10" s="32">
        <f t="shared" si="5"/>
        <v>35338</v>
      </c>
      <c r="AC10" s="32">
        <f t="shared" si="6"/>
        <v>38483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3:60" x14ac:dyDescent="0.2">
      <c r="C11" s="8" t="s">
        <v>48</v>
      </c>
      <c r="D11" s="6">
        <v>2787</v>
      </c>
      <c r="E11" s="6">
        <v>2840</v>
      </c>
      <c r="F11" s="6">
        <v>2683</v>
      </c>
      <c r="G11" s="6">
        <f>11591-SUM(D11:F11)</f>
        <v>3281</v>
      </c>
      <c r="H11" s="6">
        <v>2843</v>
      </c>
      <c r="I11" s="6">
        <v>3259</v>
      </c>
      <c r="J11" s="6">
        <v>3554</v>
      </c>
      <c r="K11" s="6">
        <f>14043-SUM(H11:J11)</f>
        <v>4387</v>
      </c>
      <c r="L11" s="6">
        <v>3312</v>
      </c>
      <c r="M11" s="6">
        <v>3595</v>
      </c>
      <c r="N11" s="6">
        <v>3780</v>
      </c>
      <c r="O11" s="6">
        <f>15262-SUM(L11:N11)</f>
        <v>4575</v>
      </c>
      <c r="P11" s="6">
        <v>3044</v>
      </c>
      <c r="Q11" s="6">
        <v>3154</v>
      </c>
      <c r="R11" s="6">
        <v>2877</v>
      </c>
      <c r="S11" s="6">
        <f>12301-SUM(P11:R11)</f>
        <v>3226</v>
      </c>
      <c r="T11" s="6">
        <v>2564</v>
      </c>
      <c r="U11" s="6">
        <v>2721</v>
      </c>
      <c r="V11" s="6">
        <v>0</v>
      </c>
      <c r="W11" s="6">
        <v>0</v>
      </c>
      <c r="Z11" s="6">
        <f>SUM(D11:G11)</f>
        <v>11591</v>
      </c>
      <c r="AA11" s="32">
        <f t="shared" si="4"/>
        <v>14043</v>
      </c>
      <c r="AB11" s="32">
        <f t="shared" si="5"/>
        <v>15262</v>
      </c>
      <c r="AC11" s="32">
        <f t="shared" si="6"/>
        <v>12301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3:60" x14ac:dyDescent="0.2">
      <c r="C12" s="8" t="s">
        <v>49</v>
      </c>
      <c r="D12" s="6">
        <v>1583</v>
      </c>
      <c r="E12" s="6">
        <v>1593</v>
      </c>
      <c r="F12" s="6">
        <v>1790</v>
      </c>
      <c r="G12" s="6">
        <f>6564-SUM(D12:F12)</f>
        <v>1598</v>
      </c>
      <c r="H12" s="6">
        <v>1622</v>
      </c>
      <c r="I12" s="6">
        <v>1956</v>
      </c>
      <c r="J12" s="6">
        <v>2946</v>
      </c>
      <c r="K12" s="6">
        <f>9829-SUM(H12:J12)</f>
        <v>3305</v>
      </c>
      <c r="L12" s="6">
        <v>2360</v>
      </c>
      <c r="M12" s="6">
        <v>2987</v>
      </c>
      <c r="N12" s="6">
        <v>3384</v>
      </c>
      <c r="O12" s="6">
        <f>11816-SUM(L12:N12)</f>
        <v>3085</v>
      </c>
      <c r="P12" s="6">
        <v>2885</v>
      </c>
      <c r="Q12" s="6">
        <v>4164</v>
      </c>
      <c r="R12" s="6">
        <v>2070</v>
      </c>
      <c r="S12" s="6">
        <f>11408-SUM(P12:R12)</f>
        <v>2289</v>
      </c>
      <c r="T12" s="6">
        <v>3455</v>
      </c>
      <c r="U12" s="6">
        <v>3658</v>
      </c>
      <c r="V12" s="6">
        <v>0</v>
      </c>
      <c r="W12" s="6">
        <v>0</v>
      </c>
      <c r="Z12" s="6">
        <f>SUM(D12:G12)</f>
        <v>6564</v>
      </c>
      <c r="AA12" s="32">
        <f t="shared" si="4"/>
        <v>9829</v>
      </c>
      <c r="AB12" s="32">
        <f t="shared" si="5"/>
        <v>11816</v>
      </c>
      <c r="AC12" s="32">
        <f t="shared" si="6"/>
        <v>11408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3:60" x14ac:dyDescent="0.2">
      <c r="C13" s="3" t="s">
        <v>50</v>
      </c>
      <c r="D13" s="4">
        <f t="shared" ref="D13" si="7">SUM(D9:D12)</f>
        <v>11844</v>
      </c>
      <c r="E13" s="4">
        <f t="shared" ref="E13" si="8">SUM(E9:E12)</f>
        <v>12724</v>
      </c>
      <c r="F13" s="4">
        <f t="shared" ref="F13:G13" si="9">SUM(F9:F12)</f>
        <v>13430</v>
      </c>
      <c r="G13" s="4">
        <f t="shared" si="9"/>
        <v>15296</v>
      </c>
      <c r="H13" s="4">
        <f t="shared" ref="H13" si="10">SUM(H9:H12)</f>
        <v>14793</v>
      </c>
      <c r="I13" s="4">
        <f t="shared" ref="I13" si="11">SUM(I9:I12)</f>
        <v>16710</v>
      </c>
      <c r="J13" s="4">
        <f t="shared" ref="J13:K13" si="12">SUM(J9:J12)</f>
        <v>18587</v>
      </c>
      <c r="K13" s="4">
        <f t="shared" si="12"/>
        <v>21086</v>
      </c>
      <c r="L13" s="4">
        <f t="shared" ref="L13" si="13">SUM(L9:L12)</f>
        <v>19384</v>
      </c>
      <c r="M13" s="4">
        <f t="shared" ref="M13" si="14">SUM(M9:M12)</f>
        <v>20464</v>
      </c>
      <c r="N13" s="4">
        <f t="shared" ref="N13:O13" si="15">SUM(N9:N12)</f>
        <v>22050</v>
      </c>
      <c r="O13" s="4">
        <f t="shared" si="15"/>
        <v>25767</v>
      </c>
      <c r="P13" s="4">
        <f t="shared" ref="P13" si="16">SUM(P9:P12)</f>
        <v>21418</v>
      </c>
      <c r="Q13" s="4">
        <f t="shared" ref="Q13" si="17">SUM(Q9:Q12)</f>
        <v>22607</v>
      </c>
      <c r="R13" s="4">
        <f t="shared" ref="R13" si="18">SUM(R9:R12)</f>
        <v>20398</v>
      </c>
      <c r="S13" s="4">
        <f t="shared" ref="S13" si="19">SUM(S9:S12)</f>
        <v>23728</v>
      </c>
      <c r="T13" s="4">
        <f t="shared" ref="T13" si="20">SUM(T9:T12)</f>
        <v>22637</v>
      </c>
      <c r="U13" s="4">
        <f>SUM(U9:U12)</f>
        <v>24224</v>
      </c>
      <c r="V13" s="4">
        <f t="shared" ref="V13" si="21">SUM(V9:V12)</f>
        <v>0</v>
      </c>
      <c r="W13" s="4">
        <f t="shared" ref="W13" si="22">SUM(W9:W12)</f>
        <v>0</v>
      </c>
      <c r="Z13" s="4">
        <f>SUM(Z9:Z12)</f>
        <v>53294</v>
      </c>
      <c r="AA13" s="4">
        <f>SUM(AA9:AA12)</f>
        <v>71176</v>
      </c>
      <c r="AB13" s="4">
        <f>SUM(AB9:AB12)</f>
        <v>87665</v>
      </c>
      <c r="AC13" s="4">
        <f>SUM(AC9:AC12)</f>
        <v>88151</v>
      </c>
      <c r="AD13" s="5">
        <f>AD7*0.66</f>
        <v>96158.145600000003</v>
      </c>
      <c r="AE13" s="5">
        <f t="shared" ref="AE13:BH13" si="23">AE7*0.66</f>
        <v>103850.79724800002</v>
      </c>
      <c r="AF13" s="5">
        <f t="shared" si="23"/>
        <v>112158.86102784002</v>
      </c>
      <c r="AG13" s="5">
        <f t="shared" si="23"/>
        <v>121131.56991006724</v>
      </c>
      <c r="AH13" s="5">
        <f t="shared" si="23"/>
        <v>130822.09550287262</v>
      </c>
      <c r="AI13" s="5">
        <f t="shared" si="23"/>
        <v>141287.86314310244</v>
      </c>
      <c r="AJ13" s="5">
        <f t="shared" si="23"/>
        <v>152590.89219455063</v>
      </c>
      <c r="AK13" s="5">
        <f t="shared" si="23"/>
        <v>164798.1635701147</v>
      </c>
      <c r="AL13" s="5">
        <f t="shared" si="23"/>
        <v>177982.01665572391</v>
      </c>
      <c r="AM13" s="5">
        <f t="shared" si="23"/>
        <v>192220.57798818185</v>
      </c>
      <c r="AN13" s="5">
        <f t="shared" si="23"/>
        <v>201831.60688759093</v>
      </c>
      <c r="AO13" s="5">
        <f t="shared" si="23"/>
        <v>211923.18723197049</v>
      </c>
      <c r="AP13" s="5">
        <f t="shared" si="23"/>
        <v>222519.346593569</v>
      </c>
      <c r="AQ13" s="5">
        <f t="shared" si="23"/>
        <v>233645.31392324745</v>
      </c>
      <c r="AR13" s="5">
        <f t="shared" si="23"/>
        <v>245327.57961940984</v>
      </c>
      <c r="AS13" s="5">
        <f t="shared" si="23"/>
        <v>257593.95860038034</v>
      </c>
      <c r="AT13" s="5">
        <f t="shared" si="23"/>
        <v>270473.65653039934</v>
      </c>
      <c r="AU13" s="5">
        <f t="shared" si="23"/>
        <v>283997.33935691934</v>
      </c>
      <c r="AV13" s="5">
        <f t="shared" si="23"/>
        <v>298197.20632476528</v>
      </c>
      <c r="AW13" s="5">
        <f t="shared" si="23"/>
        <v>313107.06664100359</v>
      </c>
      <c r="AX13" s="5">
        <f t="shared" si="23"/>
        <v>319369.20797382365</v>
      </c>
      <c r="AY13" s="5">
        <f t="shared" si="23"/>
        <v>325756.59213330015</v>
      </c>
      <c r="AZ13" s="5">
        <f t="shared" si="23"/>
        <v>332271.72397596616</v>
      </c>
      <c r="BA13" s="5">
        <f t="shared" si="23"/>
        <v>338917.15845548548</v>
      </c>
      <c r="BB13" s="5">
        <f t="shared" si="23"/>
        <v>345695.50162459514</v>
      </c>
      <c r="BC13" s="5">
        <f t="shared" si="23"/>
        <v>352609.41165708704</v>
      </c>
      <c r="BD13" s="5">
        <f t="shared" si="23"/>
        <v>359661.59989022877</v>
      </c>
      <c r="BE13" s="5">
        <f t="shared" si="23"/>
        <v>363258.21588913107</v>
      </c>
      <c r="BF13" s="5">
        <f t="shared" si="23"/>
        <v>366890.79804802238</v>
      </c>
      <c r="BG13" s="5">
        <f t="shared" si="23"/>
        <v>370559.70602850261</v>
      </c>
      <c r="BH13" s="5">
        <f t="shared" si="23"/>
        <v>374265.30308878765</v>
      </c>
    </row>
    <row r="14" spans="3:60" x14ac:dyDescent="0.2">
      <c r="C14" s="10" t="s">
        <v>51</v>
      </c>
      <c r="D14" s="4">
        <f t="shared" ref="D14" si="24">D7-D13</f>
        <v>5893</v>
      </c>
      <c r="E14" s="4">
        <f t="shared" ref="E14" si="25">E7-E13</f>
        <v>5963</v>
      </c>
      <c r="F14" s="4">
        <f t="shared" ref="F14:G14" si="26">F7-F13</f>
        <v>8040</v>
      </c>
      <c r="G14" s="4">
        <f t="shared" si="26"/>
        <v>12775</v>
      </c>
      <c r="H14" s="4">
        <f t="shared" ref="H14" si="27">H7-H13</f>
        <v>11378</v>
      </c>
      <c r="I14" s="4">
        <f t="shared" ref="I14" si="28">I7-I13</f>
        <v>12367</v>
      </c>
      <c r="J14" s="4">
        <f t="shared" ref="J14:K14" si="29">J7-J13</f>
        <v>10423</v>
      </c>
      <c r="K14" s="4">
        <f t="shared" si="29"/>
        <v>12568</v>
      </c>
      <c r="L14" s="4">
        <f t="shared" ref="L14" si="30">L7-L13</f>
        <v>8524</v>
      </c>
      <c r="M14" s="4">
        <f t="shared" ref="M14" si="31">M7-M13</f>
        <v>8358</v>
      </c>
      <c r="N14" s="4">
        <f t="shared" ref="N14:O14" si="32">N7-N13</f>
        <v>5664</v>
      </c>
      <c r="O14" s="4">
        <f t="shared" si="32"/>
        <v>6398</v>
      </c>
      <c r="P14" s="4">
        <f t="shared" ref="P14" si="33">P7-P13</f>
        <v>7227</v>
      </c>
      <c r="Q14" s="4">
        <f t="shared" ref="Q14" si="34">Q7-Q13</f>
        <v>9392</v>
      </c>
      <c r="R14" s="4">
        <f t="shared" ref="R14" si="35">R7-R13</f>
        <v>13748</v>
      </c>
      <c r="S14" s="4">
        <f t="shared" ref="S14" si="36">S7-S13</f>
        <v>16384</v>
      </c>
      <c r="T14" s="4">
        <f t="shared" ref="T14" si="37">T7-T13</f>
        <v>13818</v>
      </c>
      <c r="U14" s="4">
        <f>U7-U13</f>
        <v>14847</v>
      </c>
      <c r="V14" s="4">
        <f t="shared" ref="V14" si="38">V7-V13</f>
        <v>0</v>
      </c>
      <c r="W14" s="4">
        <f t="shared" ref="W14" si="39">W7-W13</f>
        <v>0</v>
      </c>
      <c r="Z14" s="4">
        <f>Z7-Z13</f>
        <v>32671</v>
      </c>
      <c r="AA14" s="4">
        <f t="shared" ref="AA14:AC14" si="40">AA7-AA13</f>
        <v>46736</v>
      </c>
      <c r="AB14" s="4">
        <f t="shared" si="40"/>
        <v>28944</v>
      </c>
      <c r="AC14" s="4">
        <f t="shared" si="40"/>
        <v>46751</v>
      </c>
      <c r="AD14" s="5">
        <f>AD7-AD13</f>
        <v>49536.0144</v>
      </c>
      <c r="AE14" s="5">
        <f t="shared" ref="AE14:BH14" si="41">AE7-AE13</f>
        <v>53498.895552000002</v>
      </c>
      <c r="AF14" s="5">
        <f t="shared" si="41"/>
        <v>57778.807196160007</v>
      </c>
      <c r="AG14" s="5">
        <f t="shared" si="41"/>
        <v>62401.111771852811</v>
      </c>
      <c r="AH14" s="5">
        <f t="shared" si="41"/>
        <v>67393.200713601036</v>
      </c>
      <c r="AI14" s="5">
        <f t="shared" si="41"/>
        <v>72784.656770689122</v>
      </c>
      <c r="AJ14" s="5">
        <f t="shared" si="41"/>
        <v>78607.429312344262</v>
      </c>
      <c r="AK14" s="5">
        <f t="shared" si="41"/>
        <v>84896.023657331796</v>
      </c>
      <c r="AL14" s="5">
        <f t="shared" si="41"/>
        <v>91687.705549918348</v>
      </c>
      <c r="AM14" s="5">
        <f t="shared" si="41"/>
        <v>99022.721993911837</v>
      </c>
      <c r="AN14" s="5">
        <f t="shared" si="41"/>
        <v>103973.85809360744</v>
      </c>
      <c r="AO14" s="5">
        <f t="shared" si="41"/>
        <v>109172.5509982878</v>
      </c>
      <c r="AP14" s="5">
        <f t="shared" si="41"/>
        <v>114631.17854820218</v>
      </c>
      <c r="AQ14" s="5">
        <f t="shared" si="41"/>
        <v>120362.73747561232</v>
      </c>
      <c r="AR14" s="5">
        <f t="shared" si="41"/>
        <v>126380.87434939292</v>
      </c>
      <c r="AS14" s="5">
        <f t="shared" si="41"/>
        <v>132699.91806686256</v>
      </c>
      <c r="AT14" s="5">
        <f t="shared" si="41"/>
        <v>139334.9139702057</v>
      </c>
      <c r="AU14" s="5">
        <f t="shared" si="41"/>
        <v>146301.65966871596</v>
      </c>
      <c r="AV14" s="5">
        <f t="shared" si="41"/>
        <v>153616.74265215179</v>
      </c>
      <c r="AW14" s="5">
        <f t="shared" si="41"/>
        <v>161297.57978475938</v>
      </c>
      <c r="AX14" s="5">
        <f t="shared" si="41"/>
        <v>164523.5313804546</v>
      </c>
      <c r="AY14" s="5">
        <f t="shared" si="41"/>
        <v>167814.00200806366</v>
      </c>
      <c r="AZ14" s="5">
        <f t="shared" si="41"/>
        <v>171170.28204822494</v>
      </c>
      <c r="BA14" s="5">
        <f t="shared" si="41"/>
        <v>174593.68768918945</v>
      </c>
      <c r="BB14" s="5">
        <f t="shared" si="41"/>
        <v>178085.56144297327</v>
      </c>
      <c r="BC14" s="5">
        <f t="shared" si="41"/>
        <v>181647.2726718327</v>
      </c>
      <c r="BD14" s="5">
        <f t="shared" si="41"/>
        <v>185280.21812526934</v>
      </c>
      <c r="BE14" s="5">
        <f t="shared" si="41"/>
        <v>187133.02030652203</v>
      </c>
      <c r="BF14" s="5">
        <f t="shared" si="41"/>
        <v>189004.35050958727</v>
      </c>
      <c r="BG14" s="5">
        <f t="shared" si="41"/>
        <v>190894.39401468314</v>
      </c>
      <c r="BH14" s="5">
        <f t="shared" si="41"/>
        <v>192803.33795482997</v>
      </c>
    </row>
    <row r="15" spans="3:60" x14ac:dyDescent="0.2">
      <c r="C15" s="28" t="s">
        <v>52</v>
      </c>
      <c r="D15" s="32">
        <v>-32</v>
      </c>
      <c r="E15" s="32">
        <v>168</v>
      </c>
      <c r="F15" s="32">
        <v>93</v>
      </c>
      <c r="G15" s="32">
        <f>509-SUM(D15:F15)</f>
        <v>280</v>
      </c>
      <c r="H15" s="32">
        <v>125</v>
      </c>
      <c r="I15" s="32">
        <v>146</v>
      </c>
      <c r="J15" s="32">
        <v>142</v>
      </c>
      <c r="K15" s="32">
        <f>531-SUM(H15:J15)</f>
        <v>118</v>
      </c>
      <c r="L15" s="32">
        <v>384</v>
      </c>
      <c r="M15" s="32">
        <v>-172</v>
      </c>
      <c r="N15" s="32">
        <v>-88</v>
      </c>
      <c r="O15" s="32">
        <f>-125-SUM(L15:N15)</f>
        <v>-249</v>
      </c>
      <c r="P15" s="32">
        <v>80</v>
      </c>
      <c r="Q15" s="32">
        <v>-99</v>
      </c>
      <c r="R15" s="32">
        <v>272</v>
      </c>
      <c r="S15" s="32">
        <f>677-SUM(P15:R15)</f>
        <v>424</v>
      </c>
      <c r="T15" s="32">
        <v>365</v>
      </c>
      <c r="U15" s="32">
        <v>259</v>
      </c>
      <c r="V15" s="32">
        <v>0</v>
      </c>
      <c r="W15" s="32">
        <v>0</v>
      </c>
      <c r="Z15" s="32">
        <f>SUM(D15:G15)</f>
        <v>509</v>
      </c>
      <c r="AA15" s="32">
        <f t="shared" ref="AA15:AA17" si="42">SUM(H15:K15)</f>
        <v>531</v>
      </c>
      <c r="AB15" s="32">
        <f t="shared" ref="AB15:AB17" si="43">SUM(L15:O15)</f>
        <v>-125</v>
      </c>
      <c r="AC15" s="32">
        <f t="shared" ref="AC15:AC17" si="44">SUM(P15:S15)</f>
        <v>677</v>
      </c>
      <c r="AD15" s="34">
        <f>AD7*0.004</f>
        <v>582.77664000000004</v>
      </c>
      <c r="AE15" s="34">
        <f t="shared" ref="AE15:BH15" si="45">AE7*0.004</f>
        <v>629.39877120000006</v>
      </c>
      <c r="AF15" s="34">
        <f t="shared" si="45"/>
        <v>679.75067289600008</v>
      </c>
      <c r="AG15" s="34">
        <f t="shared" si="45"/>
        <v>734.13072672768021</v>
      </c>
      <c r="AH15" s="34">
        <f t="shared" si="45"/>
        <v>792.86118486589464</v>
      </c>
      <c r="AI15" s="34">
        <f t="shared" si="45"/>
        <v>856.29007965516632</v>
      </c>
      <c r="AJ15" s="34">
        <f t="shared" si="45"/>
        <v>924.7932860275796</v>
      </c>
      <c r="AK15" s="34">
        <f t="shared" si="45"/>
        <v>998.77674890978597</v>
      </c>
      <c r="AL15" s="34">
        <f t="shared" si="45"/>
        <v>1078.678888822569</v>
      </c>
      <c r="AM15" s="34">
        <f t="shared" si="45"/>
        <v>1164.9731999283747</v>
      </c>
      <c r="AN15" s="34">
        <f t="shared" si="45"/>
        <v>1223.2218599247935</v>
      </c>
      <c r="AO15" s="34">
        <f t="shared" si="45"/>
        <v>1284.3829529210332</v>
      </c>
      <c r="AP15" s="34">
        <f t="shared" si="45"/>
        <v>1348.6021005670848</v>
      </c>
      <c r="AQ15" s="34">
        <f t="shared" si="45"/>
        <v>1416.0322055954391</v>
      </c>
      <c r="AR15" s="34">
        <f t="shared" si="45"/>
        <v>1486.833815875211</v>
      </c>
      <c r="AS15" s="34">
        <f t="shared" si="45"/>
        <v>1561.1755066689716</v>
      </c>
      <c r="AT15" s="34">
        <f t="shared" si="45"/>
        <v>1639.2342820024203</v>
      </c>
      <c r="AU15" s="34">
        <f t="shared" si="45"/>
        <v>1721.1959961025414</v>
      </c>
      <c r="AV15" s="34">
        <f t="shared" si="45"/>
        <v>1807.2557959076682</v>
      </c>
      <c r="AW15" s="34">
        <f t="shared" si="45"/>
        <v>1897.6185857030518</v>
      </c>
      <c r="AX15" s="34">
        <f t="shared" si="45"/>
        <v>1935.570957417113</v>
      </c>
      <c r="AY15" s="34">
        <f t="shared" si="45"/>
        <v>1974.2823765654553</v>
      </c>
      <c r="AZ15" s="34">
        <f t="shared" si="45"/>
        <v>2013.7680240967645</v>
      </c>
      <c r="BA15" s="34">
        <f t="shared" si="45"/>
        <v>2054.0433845786997</v>
      </c>
      <c r="BB15" s="34">
        <f t="shared" si="45"/>
        <v>2095.1242522702737</v>
      </c>
      <c r="BC15" s="34">
        <f t="shared" si="45"/>
        <v>2137.0267373156789</v>
      </c>
      <c r="BD15" s="34">
        <f t="shared" si="45"/>
        <v>2179.7672720619926</v>
      </c>
      <c r="BE15" s="34">
        <f t="shared" si="45"/>
        <v>2201.5649447826122</v>
      </c>
      <c r="BF15" s="34">
        <f t="shared" si="45"/>
        <v>2223.5805942304387</v>
      </c>
      <c r="BG15" s="34">
        <f t="shared" si="45"/>
        <v>2245.8164001727432</v>
      </c>
      <c r="BH15" s="34">
        <f t="shared" si="45"/>
        <v>2268.2745641744705</v>
      </c>
    </row>
    <row r="16" spans="3:60" x14ac:dyDescent="0.2">
      <c r="C16" s="10" t="s">
        <v>53</v>
      </c>
      <c r="D16" s="4">
        <f t="shared" ref="D16" si="46">D14+D15</f>
        <v>5861</v>
      </c>
      <c r="E16" s="4">
        <f t="shared" ref="E16" si="47">E14+E15</f>
        <v>6131</v>
      </c>
      <c r="F16" s="4">
        <f t="shared" ref="F16:G16" si="48">F14+F15</f>
        <v>8133</v>
      </c>
      <c r="G16" s="4">
        <f t="shared" si="48"/>
        <v>13055</v>
      </c>
      <c r="H16" s="4">
        <f t="shared" ref="H16" si="49">H14+H15</f>
        <v>11503</v>
      </c>
      <c r="I16" s="4">
        <f t="shared" ref="I16" si="50">I14+I15</f>
        <v>12513</v>
      </c>
      <c r="J16" s="4">
        <f t="shared" ref="J16:K16" si="51">J14+J15</f>
        <v>10565</v>
      </c>
      <c r="K16" s="4">
        <f t="shared" si="51"/>
        <v>12686</v>
      </c>
      <c r="L16" s="4">
        <f t="shared" ref="L16" si="52">L14+L15</f>
        <v>8908</v>
      </c>
      <c r="M16" s="4">
        <f t="shared" ref="M16" si="53">M14+M15</f>
        <v>8186</v>
      </c>
      <c r="N16" s="4">
        <f t="shared" ref="N16:O16" si="54">N14+N15</f>
        <v>5576</v>
      </c>
      <c r="O16" s="4">
        <f t="shared" si="54"/>
        <v>6149</v>
      </c>
      <c r="P16" s="4">
        <f t="shared" ref="P16" si="55">P14+P15</f>
        <v>7307</v>
      </c>
      <c r="Q16" s="4">
        <f t="shared" ref="Q16" si="56">Q14+Q15</f>
        <v>9293</v>
      </c>
      <c r="R16" s="4">
        <f t="shared" ref="R16" si="57">R14+R15</f>
        <v>14020</v>
      </c>
      <c r="S16" s="4">
        <f t="shared" ref="S16" si="58">S14+S15</f>
        <v>16808</v>
      </c>
      <c r="T16" s="4">
        <f t="shared" ref="T16" si="59">T14+T15</f>
        <v>14183</v>
      </c>
      <c r="U16" s="4">
        <f>U14+U15</f>
        <v>15106</v>
      </c>
      <c r="V16" s="4">
        <f t="shared" ref="V16" si="60">V14+V15</f>
        <v>0</v>
      </c>
      <c r="W16" s="4">
        <f t="shared" ref="W16" si="61">W14+W15</f>
        <v>0</v>
      </c>
      <c r="Z16" s="4">
        <f>Z14+Z15</f>
        <v>33180</v>
      </c>
      <c r="AA16" s="4">
        <f>AA14+AA15</f>
        <v>47267</v>
      </c>
      <c r="AB16" s="4">
        <f>AB14+AB15</f>
        <v>28819</v>
      </c>
      <c r="AC16" s="4">
        <f>AC14+AC15</f>
        <v>47428</v>
      </c>
      <c r="AD16" s="5">
        <f>AD14+AD15</f>
        <v>50118.791039999996</v>
      </c>
      <c r="AE16" s="5">
        <f t="shared" ref="AE16:BH16" si="62">AE14+AE15</f>
        <v>54128.294323200003</v>
      </c>
      <c r="AF16" s="5">
        <f t="shared" si="62"/>
        <v>58458.557869056007</v>
      </c>
      <c r="AG16" s="5">
        <f t="shared" si="62"/>
        <v>63135.24249858049</v>
      </c>
      <c r="AH16" s="5">
        <f t="shared" si="62"/>
        <v>68186.061898466927</v>
      </c>
      <c r="AI16" s="5">
        <f t="shared" si="62"/>
        <v>73640.946850344291</v>
      </c>
      <c r="AJ16" s="5">
        <f t="shared" si="62"/>
        <v>79532.222598371838</v>
      </c>
      <c r="AK16" s="5">
        <f t="shared" si="62"/>
        <v>85894.800406241586</v>
      </c>
      <c r="AL16" s="5">
        <f t="shared" si="62"/>
        <v>92766.384438740919</v>
      </c>
      <c r="AM16" s="5">
        <f t="shared" si="62"/>
        <v>100187.69519384021</v>
      </c>
      <c r="AN16" s="5">
        <f t="shared" si="62"/>
        <v>105197.07995353223</v>
      </c>
      <c r="AO16" s="5">
        <f t="shared" si="62"/>
        <v>110456.93395120883</v>
      </c>
      <c r="AP16" s="5">
        <f t="shared" si="62"/>
        <v>115979.78064876927</v>
      </c>
      <c r="AQ16" s="5">
        <f t="shared" si="62"/>
        <v>121778.76968120776</v>
      </c>
      <c r="AR16" s="5">
        <f t="shared" si="62"/>
        <v>127867.70816526814</v>
      </c>
      <c r="AS16" s="5">
        <f t="shared" si="62"/>
        <v>134261.09357353154</v>
      </c>
      <c r="AT16" s="5">
        <f t="shared" si="62"/>
        <v>140974.14825220811</v>
      </c>
      <c r="AU16" s="5">
        <f t="shared" si="62"/>
        <v>148022.85566481849</v>
      </c>
      <c r="AV16" s="5">
        <f t="shared" si="62"/>
        <v>155423.99844805946</v>
      </c>
      <c r="AW16" s="5">
        <f t="shared" si="62"/>
        <v>163195.19837046243</v>
      </c>
      <c r="AX16" s="5">
        <f t="shared" si="62"/>
        <v>166459.10233787171</v>
      </c>
      <c r="AY16" s="5">
        <f t="shared" si="62"/>
        <v>169788.28438462911</v>
      </c>
      <c r="AZ16" s="5">
        <f t="shared" si="62"/>
        <v>173184.0500723217</v>
      </c>
      <c r="BA16" s="5">
        <f t="shared" si="62"/>
        <v>176647.73107376814</v>
      </c>
      <c r="BB16" s="5">
        <f t="shared" si="62"/>
        <v>180180.68569524353</v>
      </c>
      <c r="BC16" s="5">
        <f t="shared" si="62"/>
        <v>183784.29940914837</v>
      </c>
      <c r="BD16" s="5">
        <f t="shared" si="62"/>
        <v>187459.98539733133</v>
      </c>
      <c r="BE16" s="5">
        <f t="shared" si="62"/>
        <v>189334.58525130464</v>
      </c>
      <c r="BF16" s="5">
        <f t="shared" si="62"/>
        <v>191227.93110381771</v>
      </c>
      <c r="BG16" s="5">
        <f t="shared" si="62"/>
        <v>193140.21041485589</v>
      </c>
      <c r="BH16" s="5">
        <f t="shared" si="62"/>
        <v>195071.61251900444</v>
      </c>
    </row>
    <row r="17" spans="3:60" x14ac:dyDescent="0.2">
      <c r="C17" s="9" t="s">
        <v>25</v>
      </c>
      <c r="D17" s="6">
        <v>959</v>
      </c>
      <c r="E17" s="6">
        <v>953</v>
      </c>
      <c r="F17" s="6">
        <v>287</v>
      </c>
      <c r="G17" s="6">
        <f>4034-SUM(D17:F17)</f>
        <v>1835</v>
      </c>
      <c r="H17" s="6">
        <v>2006</v>
      </c>
      <c r="I17" s="6">
        <v>2119</v>
      </c>
      <c r="J17" s="6">
        <v>1371</v>
      </c>
      <c r="K17" s="6">
        <f>7914-SUM(H17:J17)</f>
        <v>2418</v>
      </c>
      <c r="L17" s="6">
        <v>1443</v>
      </c>
      <c r="M17" s="6">
        <v>1499</v>
      </c>
      <c r="N17" s="6">
        <v>1181</v>
      </c>
      <c r="O17" s="6">
        <f>5619-SUM(L17:N17)</f>
        <v>1496</v>
      </c>
      <c r="P17" s="6">
        <v>1598</v>
      </c>
      <c r="Q17" s="6">
        <v>1505</v>
      </c>
      <c r="R17" s="6">
        <v>2437</v>
      </c>
      <c r="S17" s="6">
        <f>8330-SUM(P17:R17)</f>
        <v>2790</v>
      </c>
      <c r="T17" s="6">
        <v>1814</v>
      </c>
      <c r="U17" s="6">
        <v>1641</v>
      </c>
      <c r="V17" s="6">
        <v>0</v>
      </c>
      <c r="W17" s="6">
        <v>0</v>
      </c>
      <c r="Z17" s="6">
        <f>SUM(D17:G17)</f>
        <v>4034</v>
      </c>
      <c r="AA17" s="32">
        <f t="shared" si="42"/>
        <v>7914</v>
      </c>
      <c r="AB17" s="32">
        <f t="shared" si="43"/>
        <v>5619</v>
      </c>
      <c r="AC17" s="32">
        <f t="shared" si="44"/>
        <v>8330</v>
      </c>
      <c r="AD17" s="11">
        <f>AD16*0.16</f>
        <v>8019.0065663999994</v>
      </c>
      <c r="AE17" s="11">
        <f t="shared" ref="AE17:BH17" si="63">AE16*0.16</f>
        <v>8660.5270917120015</v>
      </c>
      <c r="AF17" s="11">
        <f t="shared" si="63"/>
        <v>9353.3692590489609</v>
      </c>
      <c r="AG17" s="11">
        <f t="shared" si="63"/>
        <v>10101.638799772878</v>
      </c>
      <c r="AH17" s="11">
        <f t="shared" si="63"/>
        <v>10909.769903754708</v>
      </c>
      <c r="AI17" s="11">
        <f t="shared" si="63"/>
        <v>11782.551496055086</v>
      </c>
      <c r="AJ17" s="11">
        <f t="shared" si="63"/>
        <v>12725.155615739495</v>
      </c>
      <c r="AK17" s="11">
        <f t="shared" si="63"/>
        <v>13743.168064998654</v>
      </c>
      <c r="AL17" s="11">
        <f t="shared" si="63"/>
        <v>14842.621510198547</v>
      </c>
      <c r="AM17" s="11">
        <f t="shared" si="63"/>
        <v>16030.031231014433</v>
      </c>
      <c r="AN17" s="11">
        <f t="shared" si="63"/>
        <v>16831.532792565158</v>
      </c>
      <c r="AO17" s="11">
        <f t="shared" si="63"/>
        <v>17673.109432193414</v>
      </c>
      <c r="AP17" s="11">
        <f t="shared" si="63"/>
        <v>18556.764903803083</v>
      </c>
      <c r="AQ17" s="11">
        <f t="shared" si="63"/>
        <v>19484.603148993243</v>
      </c>
      <c r="AR17" s="11">
        <f t="shared" si="63"/>
        <v>20458.833306442903</v>
      </c>
      <c r="AS17" s="11">
        <f t="shared" si="63"/>
        <v>21481.774971765048</v>
      </c>
      <c r="AT17" s="11">
        <f t="shared" si="63"/>
        <v>22555.863720353296</v>
      </c>
      <c r="AU17" s="11">
        <f t="shared" si="63"/>
        <v>23683.656906370958</v>
      </c>
      <c r="AV17" s="11">
        <f t="shared" si="63"/>
        <v>24867.839751689513</v>
      </c>
      <c r="AW17" s="11">
        <f t="shared" si="63"/>
        <v>26111.23173927399</v>
      </c>
      <c r="AX17" s="11">
        <f t="shared" si="63"/>
        <v>26633.456374059475</v>
      </c>
      <c r="AY17" s="11">
        <f t="shared" si="63"/>
        <v>27166.125501540657</v>
      </c>
      <c r="AZ17" s="11">
        <f t="shared" si="63"/>
        <v>27709.448011571472</v>
      </c>
      <c r="BA17" s="11">
        <f t="shared" si="63"/>
        <v>28263.636971802902</v>
      </c>
      <c r="BB17" s="11">
        <f t="shared" si="63"/>
        <v>28828.909711238965</v>
      </c>
      <c r="BC17" s="11">
        <f t="shared" si="63"/>
        <v>29405.487905463739</v>
      </c>
      <c r="BD17" s="11">
        <f t="shared" si="63"/>
        <v>29993.597663573015</v>
      </c>
      <c r="BE17" s="11">
        <f t="shared" si="63"/>
        <v>30293.533640208741</v>
      </c>
      <c r="BF17" s="11">
        <f t="shared" si="63"/>
        <v>30596.468976610835</v>
      </c>
      <c r="BG17" s="11">
        <f t="shared" si="63"/>
        <v>30902.433666376943</v>
      </c>
      <c r="BH17" s="11">
        <f t="shared" si="63"/>
        <v>31211.458003040712</v>
      </c>
    </row>
    <row r="18" spans="3:60" x14ac:dyDescent="0.2">
      <c r="C18" s="10" t="s">
        <v>26</v>
      </c>
      <c r="D18" s="4">
        <f t="shared" ref="D18" si="64">D16-D17</f>
        <v>4902</v>
      </c>
      <c r="E18" s="4">
        <f t="shared" ref="E18" si="65">E16-E17</f>
        <v>5178</v>
      </c>
      <c r="F18" s="4">
        <f t="shared" ref="F18:G18" si="66">F16-F17</f>
        <v>7846</v>
      </c>
      <c r="G18" s="4">
        <f t="shared" si="66"/>
        <v>11220</v>
      </c>
      <c r="H18" s="4">
        <f t="shared" ref="H18" si="67">H16-H17</f>
        <v>9497</v>
      </c>
      <c r="I18" s="4">
        <f t="shared" ref="I18" si="68">I16-I17</f>
        <v>10394</v>
      </c>
      <c r="J18" s="4">
        <f t="shared" ref="J18:K18" si="69">J16-J17</f>
        <v>9194</v>
      </c>
      <c r="K18" s="4">
        <f t="shared" si="69"/>
        <v>10268</v>
      </c>
      <c r="L18" s="4">
        <f t="shared" ref="L18" si="70">L16-L17</f>
        <v>7465</v>
      </c>
      <c r="M18" s="4">
        <f t="shared" ref="M18" si="71">M16-M17</f>
        <v>6687</v>
      </c>
      <c r="N18" s="4">
        <f t="shared" ref="N18:O18" si="72">N16-N17</f>
        <v>4395</v>
      </c>
      <c r="O18" s="4">
        <f t="shared" si="72"/>
        <v>4653</v>
      </c>
      <c r="P18" s="4">
        <f t="shared" ref="P18" si="73">P16-P17</f>
        <v>5709</v>
      </c>
      <c r="Q18" s="4">
        <f t="shared" ref="Q18" si="74">Q16-Q17</f>
        <v>7788</v>
      </c>
      <c r="R18" s="4">
        <f t="shared" ref="R18" si="75">R16-R17</f>
        <v>11583</v>
      </c>
      <c r="S18" s="4">
        <f t="shared" ref="S18" si="76">S16-S17</f>
        <v>14018</v>
      </c>
      <c r="T18" s="4">
        <f t="shared" ref="T18" si="77">T16-T17</f>
        <v>12369</v>
      </c>
      <c r="U18" s="4">
        <f>U16-U17</f>
        <v>13465</v>
      </c>
      <c r="V18" s="4">
        <f t="shared" ref="V18" si="78">V16-V17</f>
        <v>0</v>
      </c>
      <c r="W18" s="4">
        <f t="shared" ref="W18" si="79">W16-W17</f>
        <v>0</v>
      </c>
      <c r="Z18" s="4">
        <f>Z16-Z17</f>
        <v>29146</v>
      </c>
      <c r="AA18" s="4">
        <f>AA16-AA17</f>
        <v>39353</v>
      </c>
      <c r="AB18" s="4">
        <f>AB16-AB17</f>
        <v>23200</v>
      </c>
      <c r="AC18" s="4">
        <f>AC16-AC17</f>
        <v>39098</v>
      </c>
      <c r="AD18" s="5">
        <f>AD16-AD17</f>
        <v>42099.784473599997</v>
      </c>
      <c r="AE18" s="5">
        <f t="shared" ref="AE18:BH18" si="80">AE16-AE17</f>
        <v>45467.767231488004</v>
      </c>
      <c r="AF18" s="5">
        <f t="shared" si="80"/>
        <v>49105.188610007048</v>
      </c>
      <c r="AG18" s="5">
        <f t="shared" si="80"/>
        <v>53033.603698807608</v>
      </c>
      <c r="AH18" s="5">
        <f t="shared" si="80"/>
        <v>57276.291994712221</v>
      </c>
      <c r="AI18" s="5">
        <f t="shared" si="80"/>
        <v>61858.395354289205</v>
      </c>
      <c r="AJ18" s="5">
        <f t="shared" si="80"/>
        <v>66807.066982632343</v>
      </c>
      <c r="AK18" s="5">
        <f t="shared" si="80"/>
        <v>72151.632341242934</v>
      </c>
      <c r="AL18" s="5">
        <f t="shared" si="80"/>
        <v>77923.762928542375</v>
      </c>
      <c r="AM18" s="5">
        <f t="shared" si="80"/>
        <v>84157.663962825769</v>
      </c>
      <c r="AN18" s="5">
        <f t="shared" si="80"/>
        <v>88365.547160967079</v>
      </c>
      <c r="AO18" s="5">
        <f t="shared" si="80"/>
        <v>92783.824519015412</v>
      </c>
      <c r="AP18" s="5">
        <f t="shared" si="80"/>
        <v>97423.015744966193</v>
      </c>
      <c r="AQ18" s="5">
        <f t="shared" si="80"/>
        <v>102294.16653221453</v>
      </c>
      <c r="AR18" s="5">
        <f t="shared" si="80"/>
        <v>107408.87485882523</v>
      </c>
      <c r="AS18" s="5">
        <f t="shared" si="80"/>
        <v>112779.3186017665</v>
      </c>
      <c r="AT18" s="5">
        <f t="shared" si="80"/>
        <v>118418.28453185481</v>
      </c>
      <c r="AU18" s="5">
        <f t="shared" si="80"/>
        <v>124339.19875844753</v>
      </c>
      <c r="AV18" s="5">
        <f t="shared" si="80"/>
        <v>130556.15869636994</v>
      </c>
      <c r="AW18" s="5">
        <f t="shared" si="80"/>
        <v>137083.96663118844</v>
      </c>
      <c r="AX18" s="5">
        <f t="shared" si="80"/>
        <v>139825.64596381225</v>
      </c>
      <c r="AY18" s="5">
        <f t="shared" si="80"/>
        <v>142622.15888308844</v>
      </c>
      <c r="AZ18" s="5">
        <f t="shared" si="80"/>
        <v>145474.60206075021</v>
      </c>
      <c r="BA18" s="5">
        <f t="shared" si="80"/>
        <v>148384.09410196525</v>
      </c>
      <c r="BB18" s="5">
        <f t="shared" si="80"/>
        <v>151351.77598400458</v>
      </c>
      <c r="BC18" s="5">
        <f t="shared" si="80"/>
        <v>154378.81150368464</v>
      </c>
      <c r="BD18" s="5">
        <f t="shared" si="80"/>
        <v>157466.38773375831</v>
      </c>
      <c r="BE18" s="5">
        <f t="shared" si="80"/>
        <v>159041.0516110959</v>
      </c>
      <c r="BF18" s="5">
        <f t="shared" si="80"/>
        <v>160631.46212720688</v>
      </c>
      <c r="BG18" s="5">
        <f t="shared" si="80"/>
        <v>162237.77674847894</v>
      </c>
      <c r="BH18" s="5">
        <f t="shared" si="80"/>
        <v>163860.15451596372</v>
      </c>
    </row>
    <row r="19" spans="3:60" x14ac:dyDescent="0.2">
      <c r="Z19" s="1"/>
      <c r="AA19" s="1"/>
      <c r="AB19" s="1"/>
      <c r="AC19" s="1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3:60" x14ac:dyDescent="0.2">
      <c r="C20" s="9" t="s">
        <v>27</v>
      </c>
      <c r="D20" s="12">
        <f t="shared" ref="D20" si="81">D18/D21</f>
        <v>1.7193967029112591</v>
      </c>
      <c r="E20" s="12">
        <f t="shared" ref="E20" si="82">E18/E21</f>
        <v>1.8168421052631578</v>
      </c>
      <c r="F20" s="12">
        <f t="shared" ref="F20" si="83">F18/F21</f>
        <v>2.7529824561403511</v>
      </c>
      <c r="G20" s="12">
        <f t="shared" ref="G20" si="84">G18/G21</f>
        <v>3.9354612416695898</v>
      </c>
      <c r="H20" s="12">
        <f t="shared" ref="H20" si="85">H18/H21</f>
        <v>3.335792061819459</v>
      </c>
      <c r="I20" s="12">
        <f t="shared" ref="I20" si="86">I18/I21</f>
        <v>3.667607621736062</v>
      </c>
      <c r="J20" s="12">
        <f t="shared" ref="J20" si="87">J18/J21</f>
        <v>3.2672352523098791</v>
      </c>
      <c r="K20" s="12">
        <f t="shared" ref="K20" si="88">K18/K21</f>
        <v>3.6476021314387213</v>
      </c>
      <c r="L20" s="12">
        <f t="shared" ref="L20" si="89">L18/L21</f>
        <v>2.7394495412844035</v>
      </c>
      <c r="M20" s="12">
        <f t="shared" ref="M20" si="90">M18/M21</f>
        <v>2.4730029585798818</v>
      </c>
      <c r="N20" s="12">
        <f t="shared" ref="N20" si="91">N18/N21</f>
        <v>1.638702460850112</v>
      </c>
      <c r="O20" s="12">
        <f t="shared" ref="O20" si="92">O18/O21</f>
        <v>1.731671008559732</v>
      </c>
      <c r="P20" s="12">
        <f t="shared" ref="P20" si="93">P18/P21</f>
        <v>2.206803247004252</v>
      </c>
      <c r="Q20" s="12">
        <f t="shared" ref="Q20" si="94">Q18/Q21</f>
        <v>3.0327102803738319</v>
      </c>
      <c r="R20" s="12">
        <f t="shared" ref="R20" si="95">R18/R21</f>
        <v>4.4965062111801242</v>
      </c>
      <c r="S20" s="12">
        <f t="shared" ref="S20" si="96">S18/S21</f>
        <v>5.4459984459984456</v>
      </c>
      <c r="T20" s="12">
        <f t="shared" ref="T20" si="97">T18/T21</f>
        <v>4.8601178781925345</v>
      </c>
      <c r="U20" s="12">
        <f>U18/U21</f>
        <v>5.3137332280978686</v>
      </c>
      <c r="V20" s="12" t="e">
        <f t="shared" ref="V20" si="98">V18/V21</f>
        <v>#DIV/0!</v>
      </c>
      <c r="W20" s="12" t="e">
        <f t="shared" ref="W20" si="99">W18/W21</f>
        <v>#DIV/0!</v>
      </c>
      <c r="Z20" s="12">
        <f>Z18/Z21</f>
        <v>10.224872829328188</v>
      </c>
      <c r="AA20" s="12">
        <f t="shared" ref="AA20:AC20" si="100">AA18/AA21</f>
        <v>13.917948717948718</v>
      </c>
      <c r="AB20" s="12">
        <f t="shared" si="100"/>
        <v>8.5941841081681787</v>
      </c>
      <c r="AC20" s="12">
        <f t="shared" si="100"/>
        <v>15.176322173702086</v>
      </c>
      <c r="AD20" s="11">
        <f>AD18/AD21</f>
        <v>15.373862282208588</v>
      </c>
      <c r="AE20" s="11">
        <f t="shared" ref="AE20:BH20" si="101">AE18/AE21</f>
        <v>16.603771264785276</v>
      </c>
      <c r="AF20" s="11">
        <f t="shared" si="101"/>
        <v>17.9320729659681</v>
      </c>
      <c r="AG20" s="11">
        <f t="shared" si="101"/>
        <v>19.366638803245547</v>
      </c>
      <c r="AH20" s="11">
        <f t="shared" si="101"/>
        <v>20.915969907505193</v>
      </c>
      <c r="AI20" s="11">
        <f t="shared" si="101"/>
        <v>22.589247500105611</v>
      </c>
      <c r="AJ20" s="11">
        <f t="shared" si="101"/>
        <v>24.396387300114061</v>
      </c>
      <c r="AK20" s="11">
        <f t="shared" si="101"/>
        <v>26.348098284123186</v>
      </c>
      <c r="AL20" s="11">
        <f t="shared" si="101"/>
        <v>28.455946146853044</v>
      </c>
      <c r="AM20" s="11">
        <f t="shared" si="101"/>
        <v>30.732421838601287</v>
      </c>
      <c r="AN20" s="11">
        <f t="shared" si="101"/>
        <v>32.269042930531363</v>
      </c>
      <c r="AO20" s="11">
        <f t="shared" si="101"/>
        <v>33.882495077057918</v>
      </c>
      <c r="AP20" s="11">
        <f t="shared" si="101"/>
        <v>35.576619830910822</v>
      </c>
      <c r="AQ20" s="11">
        <f t="shared" si="101"/>
        <v>37.355450822456369</v>
      </c>
      <c r="AR20" s="11">
        <f t="shared" si="101"/>
        <v>39.22322336357918</v>
      </c>
      <c r="AS20" s="11">
        <f t="shared" si="101"/>
        <v>41.184384531758141</v>
      </c>
      <c r="AT20" s="11">
        <f t="shared" si="101"/>
        <v>43.24360375834604</v>
      </c>
      <c r="AU20" s="11">
        <f t="shared" si="101"/>
        <v>45.405783946263341</v>
      </c>
      <c r="AV20" s="11">
        <f t="shared" si="101"/>
        <v>47.676073143576517</v>
      </c>
      <c r="AW20" s="11">
        <f t="shared" si="101"/>
        <v>50.05987680075534</v>
      </c>
      <c r="AX20" s="11">
        <f t="shared" si="101"/>
        <v>51.061074336770467</v>
      </c>
      <c r="AY20" s="11">
        <f t="shared" si="101"/>
        <v>52.082295823505859</v>
      </c>
      <c r="AZ20" s="11">
        <f t="shared" si="101"/>
        <v>53.123941739975976</v>
      </c>
      <c r="BA20" s="11">
        <f t="shared" si="101"/>
        <v>54.186420574775504</v>
      </c>
      <c r="BB20" s="11">
        <f t="shared" si="101"/>
        <v>55.270148986271025</v>
      </c>
      <c r="BC20" s="11">
        <f t="shared" si="101"/>
        <v>56.375551965996436</v>
      </c>
      <c r="BD20" s="11">
        <f t="shared" si="101"/>
        <v>57.503063005316356</v>
      </c>
      <c r="BE20" s="11">
        <f t="shared" si="101"/>
        <v>58.07809363536952</v>
      </c>
      <c r="BF20" s="11">
        <f t="shared" si="101"/>
        <v>58.658874571723224</v>
      </c>
      <c r="BG20" s="11">
        <f t="shared" si="101"/>
        <v>59.245463317440453</v>
      </c>
      <c r="BH20" s="11">
        <f t="shared" si="101"/>
        <v>59.837917950614852</v>
      </c>
    </row>
    <row r="21" spans="3:60" x14ac:dyDescent="0.2">
      <c r="C21" s="9" t="s">
        <v>28</v>
      </c>
      <c r="D21" s="12">
        <v>2851</v>
      </c>
      <c r="E21" s="12">
        <v>2850</v>
      </c>
      <c r="F21" s="12">
        <v>2850</v>
      </c>
      <c r="G21" s="12">
        <v>2851</v>
      </c>
      <c r="H21" s="12">
        <v>2847</v>
      </c>
      <c r="I21" s="12">
        <v>2834</v>
      </c>
      <c r="J21" s="12">
        <v>2814</v>
      </c>
      <c r="K21" s="12">
        <v>2815</v>
      </c>
      <c r="L21" s="12">
        <v>2725</v>
      </c>
      <c r="M21" s="12">
        <v>2704</v>
      </c>
      <c r="N21" s="12">
        <v>2682</v>
      </c>
      <c r="O21" s="12">
        <v>2687</v>
      </c>
      <c r="P21" s="12">
        <v>2587</v>
      </c>
      <c r="Q21" s="12">
        <v>2568</v>
      </c>
      <c r="R21" s="12">
        <v>2576</v>
      </c>
      <c r="S21" s="12">
        <v>2574</v>
      </c>
      <c r="T21" s="12">
        <v>2545</v>
      </c>
      <c r="U21" s="12">
        <v>2534</v>
      </c>
      <c r="V21" s="12">
        <v>0</v>
      </c>
      <c r="W21" s="12">
        <v>0</v>
      </c>
      <c r="Z21" s="33">
        <f>AVERAGE(D21:G21)</f>
        <v>2850.5</v>
      </c>
      <c r="AA21" s="33">
        <f>AVERAGE(H21:K21)</f>
        <v>2827.5</v>
      </c>
      <c r="AB21" s="33">
        <f>AVERAGE(L21:O21)</f>
        <v>2699.5</v>
      </c>
      <c r="AC21" s="33">
        <f>AVERAGE(P21:S21)</f>
        <v>2576.25</v>
      </c>
      <c r="AD21" s="13">
        <v>2738.4</v>
      </c>
      <c r="AE21" s="13">
        <v>2738.4</v>
      </c>
      <c r="AF21" s="13">
        <v>2738.4</v>
      </c>
      <c r="AG21" s="13">
        <v>2738.4</v>
      </c>
      <c r="AH21" s="13">
        <v>2738.4</v>
      </c>
      <c r="AI21" s="13">
        <v>2738.4</v>
      </c>
      <c r="AJ21" s="13">
        <v>2738.4</v>
      </c>
      <c r="AK21" s="13">
        <v>2738.4</v>
      </c>
      <c r="AL21" s="13">
        <v>2738.4</v>
      </c>
      <c r="AM21" s="13">
        <v>2738.4</v>
      </c>
      <c r="AN21" s="13">
        <v>2738.4</v>
      </c>
      <c r="AO21" s="13">
        <v>2738.4</v>
      </c>
      <c r="AP21" s="13">
        <v>2738.4</v>
      </c>
      <c r="AQ21" s="13">
        <v>2738.4</v>
      </c>
      <c r="AR21" s="13">
        <v>2738.4</v>
      </c>
      <c r="AS21" s="13">
        <v>2738.4</v>
      </c>
      <c r="AT21" s="13">
        <v>2738.4</v>
      </c>
      <c r="AU21" s="13">
        <v>2738.4</v>
      </c>
      <c r="AV21" s="13">
        <v>2738.4</v>
      </c>
      <c r="AW21" s="13">
        <v>2738.4</v>
      </c>
      <c r="AX21" s="13">
        <v>2738.4</v>
      </c>
      <c r="AY21" s="13">
        <v>2738.4</v>
      </c>
      <c r="AZ21" s="13">
        <v>2738.4</v>
      </c>
      <c r="BA21" s="13">
        <v>2738.4</v>
      </c>
      <c r="BB21" s="13">
        <v>2738.4</v>
      </c>
      <c r="BC21" s="13">
        <v>2738.4</v>
      </c>
      <c r="BD21" s="13">
        <v>2738.4</v>
      </c>
      <c r="BE21" s="13">
        <v>2738.4</v>
      </c>
      <c r="BF21" s="13">
        <v>2738.4</v>
      </c>
      <c r="BG21" s="13">
        <v>2738.4</v>
      </c>
      <c r="BH21" s="13">
        <v>2738.4</v>
      </c>
    </row>
    <row r="22" spans="3:60" x14ac:dyDescent="0.2">
      <c r="Z22" s="1"/>
      <c r="AA22" s="1"/>
      <c r="AB22" s="1"/>
      <c r="AC22" s="1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3:60" x14ac:dyDescent="0.2">
      <c r="C23" t="s">
        <v>29</v>
      </c>
      <c r="D23" s="14">
        <f t="shared" ref="D23:W23" si="102">D14/D7</f>
        <v>0.33224333314540228</v>
      </c>
      <c r="E23" s="14">
        <f t="shared" si="102"/>
        <v>0.31909883876491679</v>
      </c>
      <c r="F23" s="14">
        <f t="shared" si="102"/>
        <v>0.37447601304145317</v>
      </c>
      <c r="G23" s="14">
        <f t="shared" si="102"/>
        <v>0.45509600655480748</v>
      </c>
      <c r="H23" s="14">
        <f t="shared" si="102"/>
        <v>0.43475602766420846</v>
      </c>
      <c r="I23" s="14">
        <f t="shared" si="102"/>
        <v>0.42531898063761736</v>
      </c>
      <c r="J23" s="14">
        <f t="shared" si="102"/>
        <v>0.35928990003447087</v>
      </c>
      <c r="K23" s="14">
        <f t="shared" si="102"/>
        <v>0.37344743566886551</v>
      </c>
      <c r="L23" s="14">
        <f t="shared" si="102"/>
        <v>0.30543213415508097</v>
      </c>
      <c r="M23" s="14">
        <f t="shared" si="102"/>
        <v>0.28998681562695161</v>
      </c>
      <c r="N23" s="14">
        <f t="shared" si="102"/>
        <v>0.20437324096124701</v>
      </c>
      <c r="O23" s="14">
        <f t="shared" si="102"/>
        <v>0.19891186071817193</v>
      </c>
      <c r="P23" s="14">
        <f t="shared" si="102"/>
        <v>0.25229533950078548</v>
      </c>
      <c r="Q23" s="14">
        <f t="shared" si="102"/>
        <v>0.29350917216163003</v>
      </c>
      <c r="R23" s="14">
        <f t="shared" si="102"/>
        <v>0.40262402624026239</v>
      </c>
      <c r="S23" s="14">
        <f t="shared" si="102"/>
        <v>0.40845632229756679</v>
      </c>
      <c r="T23" s="14">
        <f t="shared" si="102"/>
        <v>0.37904265532848719</v>
      </c>
      <c r="U23" s="14">
        <f t="shared" si="102"/>
        <v>0.38000051188861306</v>
      </c>
      <c r="V23" s="14" t="e">
        <f t="shared" si="102"/>
        <v>#DIV/0!</v>
      </c>
      <c r="W23" s="14" t="e">
        <f>W14/W7</f>
        <v>#DIV/0!</v>
      </c>
      <c r="Y23" s="15"/>
      <c r="Z23" s="14">
        <f>Z14/Z7</f>
        <v>0.3800500203571221</v>
      </c>
      <c r="AA23" s="14">
        <f t="shared" ref="AA23:AC23" si="103">AA14/AA7</f>
        <v>0.39636338964651607</v>
      </c>
      <c r="AB23" s="14">
        <f t="shared" si="103"/>
        <v>0.24821411726367604</v>
      </c>
      <c r="AC23" s="14">
        <f>AC14/AC7</f>
        <v>0.34655527716416362</v>
      </c>
      <c r="AD23" s="16">
        <f>AD14/AD7</f>
        <v>0.33999999999999997</v>
      </c>
      <c r="AE23" s="16">
        <f t="shared" ref="AE23:BH23" si="104">AE14/AE7</f>
        <v>0.33999999999999997</v>
      </c>
      <c r="AF23" s="16">
        <f t="shared" si="104"/>
        <v>0.33999999999999997</v>
      </c>
      <c r="AG23" s="16">
        <f t="shared" si="104"/>
        <v>0.33999999999999997</v>
      </c>
      <c r="AH23" s="16">
        <f t="shared" si="104"/>
        <v>0.33999999999999997</v>
      </c>
      <c r="AI23" s="16">
        <f t="shared" si="104"/>
        <v>0.33999999999999997</v>
      </c>
      <c r="AJ23" s="16">
        <f t="shared" si="104"/>
        <v>0.33999999999999997</v>
      </c>
      <c r="AK23" s="16">
        <f t="shared" si="104"/>
        <v>0.33999999999999997</v>
      </c>
      <c r="AL23" s="16">
        <f t="shared" si="104"/>
        <v>0.33999999999999991</v>
      </c>
      <c r="AM23" s="16">
        <f t="shared" si="104"/>
        <v>0.33999999999999997</v>
      </c>
      <c r="AN23" s="16">
        <f t="shared" si="104"/>
        <v>0.33999999999999997</v>
      </c>
      <c r="AO23" s="16">
        <f t="shared" si="104"/>
        <v>0.33999999999999997</v>
      </c>
      <c r="AP23" s="16">
        <f t="shared" si="104"/>
        <v>0.33999999999999991</v>
      </c>
      <c r="AQ23" s="16">
        <f t="shared" si="104"/>
        <v>0.33999999999999997</v>
      </c>
      <c r="AR23" s="16">
        <f t="shared" si="104"/>
        <v>0.33999999999999997</v>
      </c>
      <c r="AS23" s="16">
        <f t="shared" si="104"/>
        <v>0.33999999999999991</v>
      </c>
      <c r="AT23" s="16">
        <f t="shared" si="104"/>
        <v>0.33999999999999997</v>
      </c>
      <c r="AU23" s="16">
        <f t="shared" si="104"/>
        <v>0.33999999999999991</v>
      </c>
      <c r="AV23" s="16">
        <f t="shared" si="104"/>
        <v>0.33999999999999997</v>
      </c>
      <c r="AW23" s="16">
        <f t="shared" si="104"/>
        <v>0.33999999999999991</v>
      </c>
      <c r="AX23" s="16">
        <f t="shared" si="104"/>
        <v>0.33999999999999997</v>
      </c>
      <c r="AY23" s="16">
        <f t="shared" si="104"/>
        <v>0.33999999999999991</v>
      </c>
      <c r="AZ23" s="16">
        <f t="shared" si="104"/>
        <v>0.33999999999999991</v>
      </c>
      <c r="BA23" s="16">
        <f t="shared" si="104"/>
        <v>0.33999999999999997</v>
      </c>
      <c r="BB23" s="16">
        <f t="shared" si="104"/>
        <v>0.34</v>
      </c>
      <c r="BC23" s="16">
        <f t="shared" si="104"/>
        <v>0.33999999999999997</v>
      </c>
      <c r="BD23" s="16">
        <f t="shared" si="104"/>
        <v>0.33999999999999997</v>
      </c>
      <c r="BE23" s="16">
        <f t="shared" si="104"/>
        <v>0.33999999999999997</v>
      </c>
      <c r="BF23" s="16">
        <f t="shared" si="104"/>
        <v>0.33999999999999997</v>
      </c>
      <c r="BG23" s="16">
        <f t="shared" si="104"/>
        <v>0.33999999999999997</v>
      </c>
      <c r="BH23" s="16">
        <f t="shared" si="104"/>
        <v>0.33999999999999997</v>
      </c>
    </row>
    <row r="24" spans="3:60" x14ac:dyDescent="0.2">
      <c r="C24" t="s">
        <v>25</v>
      </c>
      <c r="D24" s="14">
        <f t="shared" ref="D24:W24" si="105">D17/D16</f>
        <v>0.16362395495649207</v>
      </c>
      <c r="E24" s="14">
        <f t="shared" si="105"/>
        <v>0.15543956940140272</v>
      </c>
      <c r="F24" s="14">
        <f t="shared" si="105"/>
        <v>3.5288331488995447E-2</v>
      </c>
      <c r="G24" s="14">
        <f t="shared" si="105"/>
        <v>0.14055917273075449</v>
      </c>
      <c r="H24" s="14">
        <f t="shared" si="105"/>
        <v>0.17438928975049986</v>
      </c>
      <c r="I24" s="14">
        <f t="shared" si="105"/>
        <v>0.16934388236234316</v>
      </c>
      <c r="J24" s="14">
        <f t="shared" si="105"/>
        <v>0.12976810222432561</v>
      </c>
      <c r="K24" s="14">
        <f t="shared" si="105"/>
        <v>0.19060381522938671</v>
      </c>
      <c r="L24" s="14">
        <f t="shared" si="105"/>
        <v>0.1619892231701841</v>
      </c>
      <c r="M24" s="14">
        <f t="shared" si="105"/>
        <v>0.18311751771316884</v>
      </c>
      <c r="N24" s="14">
        <f t="shared" si="105"/>
        <v>0.21180057388809181</v>
      </c>
      <c r="O24" s="14">
        <f t="shared" si="105"/>
        <v>0.24329159212880144</v>
      </c>
      <c r="P24" s="14">
        <f t="shared" si="105"/>
        <v>0.21869440262761736</v>
      </c>
      <c r="Q24" s="14">
        <f t="shared" si="105"/>
        <v>0.16194985472936618</v>
      </c>
      <c r="R24" s="14">
        <f t="shared" si="105"/>
        <v>0.1738231098430813</v>
      </c>
      <c r="S24" s="14">
        <f t="shared" si="105"/>
        <v>0.16599238457877202</v>
      </c>
      <c r="T24" s="14">
        <f t="shared" si="105"/>
        <v>0.12789959811041388</v>
      </c>
      <c r="U24" s="14">
        <f t="shared" si="105"/>
        <v>0.10863233152389778</v>
      </c>
      <c r="V24" s="14" t="e">
        <f t="shared" si="105"/>
        <v>#DIV/0!</v>
      </c>
      <c r="W24" s="14" t="e">
        <f>W17/W16</f>
        <v>#DIV/0!</v>
      </c>
      <c r="Y24" s="15"/>
      <c r="Z24" s="14">
        <f>Z17/Z16</f>
        <v>0.12157926461723931</v>
      </c>
      <c r="AA24" s="14">
        <f t="shared" ref="AA24:AC24" si="106">AA17/AA16</f>
        <v>0.1674318234709205</v>
      </c>
      <c r="AB24" s="14">
        <f t="shared" si="106"/>
        <v>0.19497553697213643</v>
      </c>
      <c r="AC24" s="14">
        <f t="shared" si="106"/>
        <v>0.17563464620055663</v>
      </c>
      <c r="AD24" s="16">
        <f>AD17/AD16</f>
        <v>0.16</v>
      </c>
      <c r="AE24" s="16">
        <f t="shared" ref="AE24:BH24" si="107">AE17/AE16</f>
        <v>0.16000000000000003</v>
      </c>
      <c r="AF24" s="16">
        <f t="shared" si="107"/>
        <v>0.16</v>
      </c>
      <c r="AG24" s="16">
        <f t="shared" si="107"/>
        <v>0.16</v>
      </c>
      <c r="AH24" s="16">
        <f t="shared" si="107"/>
        <v>0.16</v>
      </c>
      <c r="AI24" s="16">
        <f t="shared" si="107"/>
        <v>0.16</v>
      </c>
      <c r="AJ24" s="16">
        <f t="shared" si="107"/>
        <v>0.16</v>
      </c>
      <c r="AK24" s="16">
        <f t="shared" si="107"/>
        <v>0.16</v>
      </c>
      <c r="AL24" s="16">
        <f t="shared" si="107"/>
        <v>0.16</v>
      </c>
      <c r="AM24" s="16">
        <f t="shared" si="107"/>
        <v>0.16</v>
      </c>
      <c r="AN24" s="16">
        <f t="shared" si="107"/>
        <v>0.16</v>
      </c>
      <c r="AO24" s="16">
        <f t="shared" si="107"/>
        <v>0.16</v>
      </c>
      <c r="AP24" s="16">
        <f t="shared" si="107"/>
        <v>0.16</v>
      </c>
      <c r="AQ24" s="16">
        <f t="shared" si="107"/>
        <v>0.16</v>
      </c>
      <c r="AR24" s="16">
        <f t="shared" si="107"/>
        <v>0.16</v>
      </c>
      <c r="AS24" s="16">
        <f t="shared" si="107"/>
        <v>0.16</v>
      </c>
      <c r="AT24" s="16">
        <f t="shared" si="107"/>
        <v>0.16</v>
      </c>
      <c r="AU24" s="16">
        <f t="shared" si="107"/>
        <v>0.16</v>
      </c>
      <c r="AV24" s="16">
        <f t="shared" si="107"/>
        <v>0.16</v>
      </c>
      <c r="AW24" s="16">
        <f t="shared" si="107"/>
        <v>0.16</v>
      </c>
      <c r="AX24" s="16">
        <f t="shared" si="107"/>
        <v>0.16</v>
      </c>
      <c r="AY24" s="16">
        <f t="shared" si="107"/>
        <v>0.16</v>
      </c>
      <c r="AZ24" s="16">
        <f t="shared" si="107"/>
        <v>0.16</v>
      </c>
      <c r="BA24" s="16">
        <f t="shared" si="107"/>
        <v>0.16</v>
      </c>
      <c r="BB24" s="16">
        <f t="shared" si="107"/>
        <v>0.16</v>
      </c>
      <c r="BC24" s="16">
        <f t="shared" si="107"/>
        <v>0.16</v>
      </c>
      <c r="BD24" s="16">
        <f t="shared" si="107"/>
        <v>0.16</v>
      </c>
      <c r="BE24" s="16">
        <f t="shared" si="107"/>
        <v>0.16</v>
      </c>
      <c r="BF24" s="16">
        <f t="shared" si="107"/>
        <v>0.16</v>
      </c>
      <c r="BG24" s="16">
        <f t="shared" si="107"/>
        <v>0.16</v>
      </c>
      <c r="BH24" s="16">
        <f t="shared" si="107"/>
        <v>0.16</v>
      </c>
    </row>
    <row r="25" spans="3:60" x14ac:dyDescent="0.2">
      <c r="C25" t="s">
        <v>30</v>
      </c>
      <c r="H25" s="15">
        <f>H7/D7-1</f>
        <v>0.47550318543158365</v>
      </c>
      <c r="L25" s="15">
        <f>L7/H7-1</f>
        <v>6.6371174200450911E-2</v>
      </c>
      <c r="P25" s="15">
        <f>P7/L7-1</f>
        <v>2.6408198366060009E-2</v>
      </c>
      <c r="T25" s="15">
        <f>T7/P7-1</f>
        <v>0.27264793157619138</v>
      </c>
      <c r="AA25" s="17">
        <f t="shared" ref="AA25:AC25" si="108">AA7/Z7-1</f>
        <v>0.37162798813470599</v>
      </c>
      <c r="AB25" s="17">
        <f t="shared" si="108"/>
        <v>-1.1050614017233173E-2</v>
      </c>
      <c r="AC25" s="17">
        <f>AC7/AB7-1</f>
        <v>0.15687468377226454</v>
      </c>
      <c r="AD25" s="18">
        <f>AD7/AC7-1</f>
        <v>8.0000000000000071E-2</v>
      </c>
      <c r="AE25" s="18">
        <f t="shared" ref="AE25:BH25" si="109">AE7/AD7-1</f>
        <v>8.0000000000000071E-2</v>
      </c>
      <c r="AF25" s="18">
        <f t="shared" si="109"/>
        <v>8.0000000000000071E-2</v>
      </c>
      <c r="AG25" s="18">
        <f t="shared" si="109"/>
        <v>8.0000000000000071E-2</v>
      </c>
      <c r="AH25" s="18">
        <f t="shared" si="109"/>
        <v>8.0000000000000071E-2</v>
      </c>
      <c r="AI25" s="18">
        <f t="shared" si="109"/>
        <v>8.0000000000000071E-2</v>
      </c>
      <c r="AJ25" s="18">
        <f t="shared" si="109"/>
        <v>8.0000000000000071E-2</v>
      </c>
      <c r="AK25" s="18">
        <f t="shared" si="109"/>
        <v>8.0000000000000071E-2</v>
      </c>
      <c r="AL25" s="18">
        <f t="shared" si="109"/>
        <v>8.0000000000000071E-2</v>
      </c>
      <c r="AM25" s="18">
        <f t="shared" si="109"/>
        <v>8.0000000000000071E-2</v>
      </c>
      <c r="AN25" s="18">
        <f t="shared" si="109"/>
        <v>5.0000000000000044E-2</v>
      </c>
      <c r="AO25" s="18">
        <f t="shared" si="109"/>
        <v>5.0000000000000044E-2</v>
      </c>
      <c r="AP25" s="18">
        <f t="shared" si="109"/>
        <v>5.0000000000000044E-2</v>
      </c>
      <c r="AQ25" s="18">
        <f t="shared" si="109"/>
        <v>5.0000000000000044E-2</v>
      </c>
      <c r="AR25" s="18">
        <f t="shared" si="109"/>
        <v>5.0000000000000044E-2</v>
      </c>
      <c r="AS25" s="18">
        <f t="shared" si="109"/>
        <v>5.0000000000000044E-2</v>
      </c>
      <c r="AT25" s="18">
        <f t="shared" si="109"/>
        <v>5.0000000000000044E-2</v>
      </c>
      <c r="AU25" s="18">
        <f t="shared" si="109"/>
        <v>5.0000000000000044E-2</v>
      </c>
      <c r="AV25" s="18">
        <f t="shared" si="109"/>
        <v>5.0000000000000044E-2</v>
      </c>
      <c r="AW25" s="18">
        <f t="shared" si="109"/>
        <v>5.0000000000000044E-2</v>
      </c>
      <c r="AX25" s="18">
        <f t="shared" si="109"/>
        <v>2.0000000000000018E-2</v>
      </c>
      <c r="AY25" s="18">
        <f t="shared" si="109"/>
        <v>2.0000000000000018E-2</v>
      </c>
      <c r="AZ25" s="18">
        <f t="shared" si="109"/>
        <v>2.0000000000000018E-2</v>
      </c>
      <c r="BA25" s="18">
        <f t="shared" si="109"/>
        <v>2.0000000000000018E-2</v>
      </c>
      <c r="BB25" s="18">
        <f t="shared" si="109"/>
        <v>2.0000000000000018E-2</v>
      </c>
      <c r="BC25" s="18">
        <f t="shared" si="109"/>
        <v>2.0000000000000018E-2</v>
      </c>
      <c r="BD25" s="18">
        <f t="shared" si="109"/>
        <v>2.0000000000000018E-2</v>
      </c>
      <c r="BE25" s="18">
        <f t="shared" si="109"/>
        <v>1.0000000000000009E-2</v>
      </c>
      <c r="BF25" s="18">
        <f t="shared" si="109"/>
        <v>1.0000000000000009E-2</v>
      </c>
      <c r="BG25" s="18">
        <f t="shared" si="109"/>
        <v>1.0000000000000009E-2</v>
      </c>
      <c r="BH25" s="18">
        <f t="shared" si="109"/>
        <v>1.0000000000000009E-2</v>
      </c>
    </row>
    <row r="26" spans="3:60" x14ac:dyDescent="0.2">
      <c r="Z26" s="19"/>
      <c r="AA26" s="19"/>
      <c r="AB26" s="19"/>
      <c r="AC26" s="19"/>
    </row>
    <row r="27" spans="3:60" x14ac:dyDescent="0.2">
      <c r="Z27" s="19"/>
      <c r="AA27" s="19"/>
      <c r="AB27" s="19"/>
      <c r="AC27" s="35"/>
    </row>
    <row r="28" spans="3:60" x14ac:dyDescent="0.2">
      <c r="AC28" s="19"/>
    </row>
    <row r="29" spans="3:60" x14ac:dyDescent="0.2">
      <c r="Y29" t="s">
        <v>31</v>
      </c>
      <c r="Z29" t="s">
        <v>32</v>
      </c>
    </row>
    <row r="30" spans="3:60" x14ac:dyDescent="0.2">
      <c r="Y30" t="s">
        <v>33</v>
      </c>
      <c r="Z30" s="14">
        <f>AVERAGE(AA25:AC25)</f>
        <v>0.17248401929657911</v>
      </c>
    </row>
    <row r="31" spans="3:60" x14ac:dyDescent="0.2">
      <c r="Y31" t="s">
        <v>34</v>
      </c>
      <c r="Z31" s="14">
        <f>AVERAGE(D23:U23)</f>
        <v>0.34379770079947441</v>
      </c>
    </row>
    <row r="32" spans="3:60" x14ac:dyDescent="0.2">
      <c r="Y32" t="s">
        <v>35</v>
      </c>
      <c r="Z32" s="14"/>
    </row>
    <row r="33" spans="25:26" x14ac:dyDescent="0.2">
      <c r="Z33" s="6"/>
    </row>
    <row r="34" spans="25:26" x14ac:dyDescent="0.2">
      <c r="Y34" t="s">
        <v>36</v>
      </c>
      <c r="Z34" s="14">
        <f>AVERAGE(D24:U24)</f>
        <v>0.16201148369208862</v>
      </c>
    </row>
    <row r="36" spans="25:26" x14ac:dyDescent="0.2">
      <c r="Y36" t="s">
        <v>37</v>
      </c>
      <c r="Z36" t="s">
        <v>32</v>
      </c>
    </row>
    <row r="37" spans="25:26" x14ac:dyDescent="0.2">
      <c r="Y37" t="s">
        <v>38</v>
      </c>
      <c r="Z37" s="20">
        <v>3.5000000000000003E-2</v>
      </c>
    </row>
    <row r="38" spans="25:26" x14ac:dyDescent="0.2">
      <c r="Y38" t="s">
        <v>39</v>
      </c>
      <c r="Z38" s="17">
        <v>5.1999999999999998E-2</v>
      </c>
    </row>
    <row r="39" spans="25:26" x14ac:dyDescent="0.2">
      <c r="Y39" t="s">
        <v>40</v>
      </c>
      <c r="Z39" s="21">
        <f>NPV(Z38,Z18:BH18)</f>
        <v>1263464.8735395554</v>
      </c>
    </row>
    <row r="40" spans="25:26" x14ac:dyDescent="0.2">
      <c r="Y40" t="s">
        <v>41</v>
      </c>
      <c r="Z40" s="6">
        <v>41862</v>
      </c>
    </row>
    <row r="41" spans="25:26" x14ac:dyDescent="0.2">
      <c r="Y41" s="22" t="s">
        <v>42</v>
      </c>
      <c r="Z41" s="23">
        <f>Z40+Z39</f>
        <v>1305326.8735395554</v>
      </c>
    </row>
    <row r="42" spans="25:26" x14ac:dyDescent="0.2">
      <c r="Y42" s="22" t="s">
        <v>43</v>
      </c>
      <c r="Z42" s="24">
        <f>Z41/Info!C6</f>
        <v>516.14348498993888</v>
      </c>
    </row>
    <row r="43" spans="25:26" x14ac:dyDescent="0.2">
      <c r="Y43" s="22" t="s">
        <v>44</v>
      </c>
      <c r="Z43" s="25">
        <f>Info!C5</f>
        <v>502.46</v>
      </c>
    </row>
    <row r="46" spans="25:26" x14ac:dyDescent="0.2">
      <c r="Y46" s="26"/>
      <c r="Z46" s="27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Mutlu</dc:creator>
  <cp:lastModifiedBy>Ihsan Mutlu</cp:lastModifiedBy>
  <dcterms:created xsi:type="dcterms:W3CDTF">2024-08-08T14:27:23Z</dcterms:created>
  <dcterms:modified xsi:type="dcterms:W3CDTF">2024-08-08T15:19:26Z</dcterms:modified>
</cp:coreProperties>
</file>