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hsanmutlu/Desktop/Kangal_Capital/"/>
    </mc:Choice>
  </mc:AlternateContent>
  <xr:revisionPtr revIDLastSave="0" documentId="13_ncr:1_{2062ACC2-0723-CC4C-B65E-9C949D19DA3A}" xr6:coauthVersionLast="47" xr6:coauthVersionMax="47" xr10:uidLastSave="{00000000-0000-0000-0000-000000000000}"/>
  <bookViews>
    <workbookView xWindow="31040" yWindow="900" windowWidth="36760" windowHeight="20700" activeTab="1" xr2:uid="{57C0C66B-EE43-B847-A7E0-9B53C49D1057}"/>
  </bookViews>
  <sheets>
    <sheet name="Info" sheetId="1" r:id="rId1"/>
    <sheet name="Mai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4" i="2" l="1"/>
  <c r="Z41" i="2"/>
  <c r="Z40" i="2"/>
  <c r="AU10" i="2"/>
  <c r="AV10" i="2" s="1"/>
  <c r="AW10" i="2" s="1"/>
  <c r="AX10" i="2" s="1"/>
  <c r="AY10" i="2" s="1"/>
  <c r="AZ10" i="2" s="1"/>
  <c r="BA10" i="2" s="1"/>
  <c r="BB10" i="2" s="1"/>
  <c r="BC10" i="2" s="1"/>
  <c r="AT10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D24" i="2"/>
  <c r="AE24" i="2" s="1"/>
  <c r="AC24" i="2"/>
  <c r="AC23" i="2"/>
  <c r="AB24" i="2"/>
  <c r="AA24" i="2"/>
  <c r="Z24" i="2"/>
  <c r="Y24" i="2"/>
  <c r="AB17" i="2"/>
  <c r="AA17" i="2"/>
  <c r="Z17" i="2"/>
  <c r="AB20" i="2"/>
  <c r="H27" i="2"/>
  <c r="L27" i="2"/>
  <c r="N29" i="2"/>
  <c r="M29" i="2"/>
  <c r="L29" i="2"/>
  <c r="E29" i="2"/>
  <c r="G20" i="2"/>
  <c r="AA20" i="2" s="1"/>
  <c r="G19" i="2"/>
  <c r="G17" i="2"/>
  <c r="Y17" i="2" s="1"/>
  <c r="G14" i="2"/>
  <c r="G13" i="2"/>
  <c r="G12" i="2"/>
  <c r="G11" i="2"/>
  <c r="G9" i="2"/>
  <c r="G8" i="2"/>
  <c r="G7" i="2"/>
  <c r="G6" i="2"/>
  <c r="K20" i="2"/>
  <c r="K19" i="2"/>
  <c r="K17" i="2"/>
  <c r="K14" i="2"/>
  <c r="K13" i="2"/>
  <c r="K12" i="2"/>
  <c r="K11" i="2"/>
  <c r="K9" i="2"/>
  <c r="K8" i="2"/>
  <c r="K7" i="2"/>
  <c r="K6" i="2"/>
  <c r="O20" i="2"/>
  <c r="O19" i="2"/>
  <c r="O17" i="2"/>
  <c r="O14" i="2"/>
  <c r="O13" i="2"/>
  <c r="O12" i="2"/>
  <c r="O11" i="2"/>
  <c r="O9" i="2"/>
  <c r="O8" i="2"/>
  <c r="O7" i="2"/>
  <c r="O6" i="2"/>
  <c r="S20" i="2"/>
  <c r="S19" i="2"/>
  <c r="S17" i="2"/>
  <c r="S14" i="2"/>
  <c r="S13" i="2"/>
  <c r="S12" i="2"/>
  <c r="S11" i="2"/>
  <c r="S9" i="2"/>
  <c r="S8" i="2"/>
  <c r="S7" i="2"/>
  <c r="S6" i="2"/>
  <c r="S10" i="2" s="1"/>
  <c r="T17" i="2"/>
  <c r="T10" i="2"/>
  <c r="R10" i="2"/>
  <c r="Q10" i="2"/>
  <c r="P10" i="2"/>
  <c r="N10" i="2"/>
  <c r="M10" i="2"/>
  <c r="L10" i="2"/>
  <c r="J10" i="2"/>
  <c r="I10" i="2"/>
  <c r="H10" i="2"/>
  <c r="F10" i="2"/>
  <c r="E10" i="2"/>
  <c r="D10" i="2"/>
  <c r="W10" i="2"/>
  <c r="V10" i="2"/>
  <c r="U10" i="2"/>
  <c r="W15" i="2"/>
  <c r="W29" i="2" s="1"/>
  <c r="V15" i="2"/>
  <c r="V29" i="2" s="1"/>
  <c r="U15" i="2"/>
  <c r="U29" i="2" s="1"/>
  <c r="T15" i="2"/>
  <c r="T29" i="2" s="1"/>
  <c r="R15" i="2"/>
  <c r="R29" i="2" s="1"/>
  <c r="Q15" i="2"/>
  <c r="Q29" i="2" s="1"/>
  <c r="P15" i="2"/>
  <c r="N15" i="2"/>
  <c r="M15" i="2"/>
  <c r="L15" i="2"/>
  <c r="J15" i="2"/>
  <c r="J29" i="2" s="1"/>
  <c r="I15" i="2"/>
  <c r="I29" i="2" s="1"/>
  <c r="H15" i="2"/>
  <c r="H29" i="2" s="1"/>
  <c r="F15" i="2"/>
  <c r="F29" i="2" s="1"/>
  <c r="E15" i="2"/>
  <c r="D15" i="2"/>
  <c r="D29" i="2" s="1"/>
  <c r="C9" i="1"/>
  <c r="C8" i="1"/>
  <c r="C6" i="1"/>
  <c r="AF24" i="2" l="1"/>
  <c r="AE23" i="2"/>
  <c r="AD23" i="2"/>
  <c r="Y10" i="2"/>
  <c r="Z10" i="2"/>
  <c r="G29" i="2"/>
  <c r="Z33" i="2" s="1"/>
  <c r="O29" i="2"/>
  <c r="P27" i="2"/>
  <c r="T27" i="2"/>
  <c r="AB10" i="2"/>
  <c r="Y20" i="2"/>
  <c r="Y15" i="2"/>
  <c r="Z20" i="2"/>
  <c r="S15" i="2"/>
  <c r="S29" i="2" s="1"/>
  <c r="P29" i="2"/>
  <c r="G15" i="2"/>
  <c r="G10" i="2"/>
  <c r="G16" i="2" s="1"/>
  <c r="K15" i="2"/>
  <c r="K29" i="2" s="1"/>
  <c r="K10" i="2"/>
  <c r="O15" i="2"/>
  <c r="AA15" i="2" s="1"/>
  <c r="O10" i="2"/>
  <c r="K16" i="2"/>
  <c r="T16" i="2"/>
  <c r="AG24" i="2" l="1"/>
  <c r="AF23" i="2"/>
  <c r="K18" i="2"/>
  <c r="K26" i="2"/>
  <c r="O16" i="2"/>
  <c r="AA10" i="2"/>
  <c r="G18" i="2"/>
  <c r="G26" i="2"/>
  <c r="AB16" i="2"/>
  <c r="AC10" i="2"/>
  <c r="Z27" i="2"/>
  <c r="Y16" i="2"/>
  <c r="T18" i="2"/>
  <c r="T26" i="2"/>
  <c r="Z15" i="2"/>
  <c r="Z16" i="2" s="1"/>
  <c r="AB15" i="2"/>
  <c r="AH24" i="2" l="1"/>
  <c r="AG23" i="2"/>
  <c r="Z26" i="2"/>
  <c r="Z18" i="2"/>
  <c r="AC16" i="2"/>
  <c r="AC15" i="2"/>
  <c r="AD10" i="2"/>
  <c r="O18" i="2"/>
  <c r="O26" i="2"/>
  <c r="Z31" i="2"/>
  <c r="AB18" i="2"/>
  <c r="AB19" i="2" s="1"/>
  <c r="AB26" i="2"/>
  <c r="T21" i="2"/>
  <c r="T28" i="2"/>
  <c r="G21" i="2"/>
  <c r="G23" i="2" s="1"/>
  <c r="G28" i="2"/>
  <c r="Y26" i="2"/>
  <c r="Y18" i="2"/>
  <c r="Y19" i="2" s="1"/>
  <c r="AA16" i="2"/>
  <c r="AA27" i="2"/>
  <c r="AB27" i="2"/>
  <c r="K21" i="2"/>
  <c r="K23" i="2" s="1"/>
  <c r="K28" i="2"/>
  <c r="AI24" i="2" l="1"/>
  <c r="AH23" i="2"/>
  <c r="Y21" i="2"/>
  <c r="Y28" i="2"/>
  <c r="AE10" i="2"/>
  <c r="AD15" i="2"/>
  <c r="AD16" i="2"/>
  <c r="Z19" i="2"/>
  <c r="Z28" i="2" s="1"/>
  <c r="Z21" i="2"/>
  <c r="Z23" i="2" s="1"/>
  <c r="O21" i="2"/>
  <c r="O23" i="2" s="1"/>
  <c r="O28" i="2"/>
  <c r="AC17" i="2"/>
  <c r="AC18" i="2"/>
  <c r="AA26" i="2"/>
  <c r="AA18" i="2"/>
  <c r="AB21" i="2"/>
  <c r="AB23" i="2" s="1"/>
  <c r="AB28" i="2"/>
  <c r="AJ24" i="2" l="1"/>
  <c r="AI23" i="2"/>
  <c r="AA19" i="2"/>
  <c r="AA28" i="2" s="1"/>
  <c r="AA21" i="2"/>
  <c r="AA23" i="2" s="1"/>
  <c r="AD17" i="2"/>
  <c r="AD18" i="2"/>
  <c r="AC20" i="2"/>
  <c r="AC19" i="2"/>
  <c r="AC21" i="2" s="1"/>
  <c r="AF10" i="2"/>
  <c r="AE16" i="2"/>
  <c r="AE15" i="2"/>
  <c r="Y23" i="2"/>
  <c r="AK24" i="2" l="1"/>
  <c r="AJ23" i="2"/>
  <c r="AG10" i="2"/>
  <c r="AF16" i="2"/>
  <c r="AF15" i="2"/>
  <c r="AD19" i="2"/>
  <c r="AD21" i="2" s="1"/>
  <c r="AD20" i="2"/>
  <c r="AE17" i="2"/>
  <c r="AE18" i="2" s="1"/>
  <c r="AL24" i="2" l="1"/>
  <c r="AK23" i="2"/>
  <c r="AE19" i="2"/>
  <c r="AE20" i="2"/>
  <c r="AE21" i="2"/>
  <c r="AF17" i="2"/>
  <c r="AF18" i="2" s="1"/>
  <c r="AH10" i="2"/>
  <c r="AG15" i="2"/>
  <c r="AG16" i="2"/>
  <c r="AM24" i="2" l="1"/>
  <c r="AL23" i="2"/>
  <c r="AF19" i="2"/>
  <c r="AF20" i="2"/>
  <c r="AF21" i="2"/>
  <c r="AI10" i="2"/>
  <c r="AH16" i="2"/>
  <c r="AH15" i="2"/>
  <c r="AG17" i="2"/>
  <c r="AG18" i="2"/>
  <c r="AN24" i="2" l="1"/>
  <c r="AM23" i="2"/>
  <c r="AJ10" i="2"/>
  <c r="AI16" i="2"/>
  <c r="AI15" i="2"/>
  <c r="AG19" i="2"/>
  <c r="AG20" i="2"/>
  <c r="AG21" i="2"/>
  <c r="AH17" i="2"/>
  <c r="AH18" i="2" s="1"/>
  <c r="AO24" i="2" l="1"/>
  <c r="AN23" i="2"/>
  <c r="AH20" i="2"/>
  <c r="AH19" i="2"/>
  <c r="AH21" i="2" s="1"/>
  <c r="AI17" i="2"/>
  <c r="AI18" i="2" s="1"/>
  <c r="AJ16" i="2"/>
  <c r="AJ15" i="2"/>
  <c r="AK10" i="2"/>
  <c r="AP24" i="2" l="1"/>
  <c r="AO23" i="2"/>
  <c r="AI19" i="2"/>
  <c r="AI21" i="2" s="1"/>
  <c r="AI20" i="2"/>
  <c r="AK16" i="2"/>
  <c r="AK15" i="2"/>
  <c r="AL10" i="2"/>
  <c r="AJ17" i="2"/>
  <c r="AJ18" i="2"/>
  <c r="AQ24" i="2" l="1"/>
  <c r="AP23" i="2"/>
  <c r="AJ20" i="2"/>
  <c r="AJ19" i="2"/>
  <c r="AJ21" i="2"/>
  <c r="AM10" i="2"/>
  <c r="AL15" i="2"/>
  <c r="AL16" i="2"/>
  <c r="AK17" i="2"/>
  <c r="AK18" i="2"/>
  <c r="AR24" i="2" l="1"/>
  <c r="AQ23" i="2"/>
  <c r="AK20" i="2"/>
  <c r="AK19" i="2"/>
  <c r="AK21" i="2"/>
  <c r="AL17" i="2"/>
  <c r="AL18" i="2"/>
  <c r="AN10" i="2"/>
  <c r="AM16" i="2"/>
  <c r="AM15" i="2"/>
  <c r="AS24" i="2" l="1"/>
  <c r="AR23" i="2"/>
  <c r="AM17" i="2"/>
  <c r="AM18" i="2"/>
  <c r="AO10" i="2"/>
  <c r="AN16" i="2"/>
  <c r="AN15" i="2"/>
  <c r="AL19" i="2"/>
  <c r="AL20" i="2"/>
  <c r="AL21" i="2"/>
  <c r="AT24" i="2" l="1"/>
  <c r="AS23" i="2"/>
  <c r="AN17" i="2"/>
  <c r="AN18" i="2" s="1"/>
  <c r="AP10" i="2"/>
  <c r="AO15" i="2"/>
  <c r="AO16" i="2"/>
  <c r="AM19" i="2"/>
  <c r="AM20" i="2"/>
  <c r="AM21" i="2"/>
  <c r="AU24" i="2" l="1"/>
  <c r="AN19" i="2"/>
  <c r="AN20" i="2"/>
  <c r="AN21" i="2"/>
  <c r="AO17" i="2"/>
  <c r="AO18" i="2"/>
  <c r="AQ10" i="2"/>
  <c r="AP16" i="2"/>
  <c r="AP15" i="2"/>
  <c r="AV24" i="2" l="1"/>
  <c r="AP17" i="2"/>
  <c r="AP18" i="2" s="1"/>
  <c r="AR10" i="2"/>
  <c r="AQ16" i="2"/>
  <c r="AQ15" i="2"/>
  <c r="AO19" i="2"/>
  <c r="AO20" i="2"/>
  <c r="AO21" i="2"/>
  <c r="AW24" i="2" l="1"/>
  <c r="AP20" i="2"/>
  <c r="AP19" i="2"/>
  <c r="AP21" i="2" s="1"/>
  <c r="AQ17" i="2"/>
  <c r="AQ18" i="2"/>
  <c r="AS10" i="2"/>
  <c r="AR16" i="2"/>
  <c r="AR15" i="2"/>
  <c r="AX24" i="2" l="1"/>
  <c r="AR17" i="2"/>
  <c r="AR18" i="2"/>
  <c r="AS16" i="2"/>
  <c r="AS15" i="2"/>
  <c r="AQ19" i="2"/>
  <c r="AQ21" i="2" s="1"/>
  <c r="AQ20" i="2"/>
  <c r="AY24" i="2" l="1"/>
  <c r="AT15" i="2"/>
  <c r="AU27" i="2"/>
  <c r="AT16" i="2"/>
  <c r="AT26" i="2" s="1"/>
  <c r="AS17" i="2"/>
  <c r="AS18" i="2"/>
  <c r="AR19" i="2"/>
  <c r="AR20" i="2"/>
  <c r="AR21" i="2"/>
  <c r="AZ24" i="2" l="1"/>
  <c r="AS20" i="2"/>
  <c r="AS19" i="2"/>
  <c r="AS21" i="2" s="1"/>
  <c r="AT17" i="2"/>
  <c r="AT18" i="2" s="1"/>
  <c r="AV27" i="2"/>
  <c r="AU16" i="2"/>
  <c r="AU26" i="2" s="1"/>
  <c r="AU15" i="2"/>
  <c r="BA24" i="2" l="1"/>
  <c r="AU17" i="2"/>
  <c r="AU18" i="2"/>
  <c r="AW27" i="2"/>
  <c r="AV15" i="2"/>
  <c r="AV16" i="2"/>
  <c r="AV26" i="2" s="1"/>
  <c r="AT19" i="2"/>
  <c r="AT28" i="2" s="1"/>
  <c r="AT20" i="2"/>
  <c r="AT21" i="2" s="1"/>
  <c r="AT23" i="2" s="1"/>
  <c r="BB24" i="2" l="1"/>
  <c r="AV17" i="2"/>
  <c r="AV18" i="2" s="1"/>
  <c r="AX27" i="2"/>
  <c r="AW16" i="2"/>
  <c r="AW26" i="2" s="1"/>
  <c r="AW15" i="2"/>
  <c r="AU19" i="2"/>
  <c r="AU28" i="2" s="1"/>
  <c r="AU20" i="2"/>
  <c r="AU21" i="2" l="1"/>
  <c r="AU23" i="2" s="1"/>
  <c r="BC24" i="2"/>
  <c r="AV19" i="2"/>
  <c r="AV28" i="2" s="1"/>
  <c r="AV20" i="2"/>
  <c r="AV21" i="2"/>
  <c r="AV23" i="2" s="1"/>
  <c r="AW17" i="2"/>
  <c r="AW18" i="2"/>
  <c r="AY27" i="2"/>
  <c r="AX16" i="2"/>
  <c r="AX26" i="2" s="1"/>
  <c r="AX15" i="2"/>
  <c r="BD24" i="2" l="1"/>
  <c r="AX17" i="2"/>
  <c r="AX18" i="2" s="1"/>
  <c r="AZ27" i="2"/>
  <c r="AY16" i="2"/>
  <c r="AY26" i="2" s="1"/>
  <c r="AY15" i="2"/>
  <c r="AW19" i="2"/>
  <c r="AW28" i="2" s="1"/>
  <c r="AW20" i="2"/>
  <c r="AW21" i="2" l="1"/>
  <c r="AW23" i="2" s="1"/>
  <c r="BE24" i="2"/>
  <c r="AX20" i="2"/>
  <c r="AX19" i="2"/>
  <c r="AY17" i="2"/>
  <c r="AY18" i="2" s="1"/>
  <c r="BA27" i="2"/>
  <c r="AZ16" i="2"/>
  <c r="AZ26" i="2" s="1"/>
  <c r="AZ15" i="2"/>
  <c r="AX21" i="2" l="1"/>
  <c r="AX23" i="2" s="1"/>
  <c r="AX28" i="2"/>
  <c r="BF24" i="2"/>
  <c r="AY19" i="2"/>
  <c r="AY20" i="2"/>
  <c r="AZ17" i="2"/>
  <c r="AZ18" i="2"/>
  <c r="BB27" i="2"/>
  <c r="BA16" i="2"/>
  <c r="BA26" i="2" s="1"/>
  <c r="BA15" i="2"/>
  <c r="AY21" i="2" l="1"/>
  <c r="AY23" i="2" s="1"/>
  <c r="AY28" i="2"/>
  <c r="BG24" i="2"/>
  <c r="BA17" i="2"/>
  <c r="BA18" i="2"/>
  <c r="BC27" i="2"/>
  <c r="BB15" i="2"/>
  <c r="BB16" i="2"/>
  <c r="BB26" i="2" s="1"/>
  <c r="AZ20" i="2"/>
  <c r="AZ19" i="2"/>
  <c r="AZ28" i="2" s="1"/>
  <c r="AZ21" i="2"/>
  <c r="AZ23" i="2" s="1"/>
  <c r="BB17" i="2" l="1"/>
  <c r="BB18" i="2"/>
  <c r="BC16" i="2"/>
  <c r="BC26" i="2" s="1"/>
  <c r="BD10" i="2"/>
  <c r="BD27" i="2" s="1"/>
  <c r="BC15" i="2"/>
  <c r="BA20" i="2"/>
  <c r="BA19" i="2"/>
  <c r="BA28" i="2" s="1"/>
  <c r="BA21" i="2" l="1"/>
  <c r="BA23" i="2" s="1"/>
  <c r="BE10" i="2"/>
  <c r="BE27" i="2" s="1"/>
  <c r="BD16" i="2"/>
  <c r="BD26" i="2" s="1"/>
  <c r="BD15" i="2"/>
  <c r="BC17" i="2"/>
  <c r="BC18" i="2"/>
  <c r="BB19" i="2"/>
  <c r="BB28" i="2" s="1"/>
  <c r="BB20" i="2"/>
  <c r="BB21" i="2" l="1"/>
  <c r="BB23" i="2" s="1"/>
  <c r="BC19" i="2"/>
  <c r="BC28" i="2" s="1"/>
  <c r="BC20" i="2"/>
  <c r="BC21" i="2"/>
  <c r="BC23" i="2" s="1"/>
  <c r="BD17" i="2"/>
  <c r="BD18" i="2" s="1"/>
  <c r="BF10" i="2"/>
  <c r="BF27" i="2" s="1"/>
  <c r="BE15" i="2"/>
  <c r="BE16" i="2"/>
  <c r="BE26" i="2" s="1"/>
  <c r="BD19" i="2" l="1"/>
  <c r="BD28" i="2" s="1"/>
  <c r="BD20" i="2"/>
  <c r="BE17" i="2"/>
  <c r="BE18" i="2"/>
  <c r="BG10" i="2"/>
  <c r="BG27" i="2" s="1"/>
  <c r="BF16" i="2"/>
  <c r="BF26" i="2" s="1"/>
  <c r="BF15" i="2"/>
  <c r="BD21" i="2" l="1"/>
  <c r="BD23" i="2" s="1"/>
  <c r="BF17" i="2"/>
  <c r="BF18" i="2" s="1"/>
  <c r="BG16" i="2"/>
  <c r="BG26" i="2" s="1"/>
  <c r="BG15" i="2"/>
  <c r="BE19" i="2"/>
  <c r="BE28" i="2" s="1"/>
  <c r="BE20" i="2"/>
  <c r="BE21" i="2"/>
  <c r="BE23" i="2" s="1"/>
  <c r="BF20" i="2" l="1"/>
  <c r="BF19" i="2"/>
  <c r="BG17" i="2"/>
  <c r="BG18" i="2" s="1"/>
  <c r="BF21" i="2" l="1"/>
  <c r="BF23" i="2" s="1"/>
  <c r="BF28" i="2"/>
  <c r="BG19" i="2"/>
  <c r="BG20" i="2"/>
  <c r="U16" i="2"/>
  <c r="V16" i="2"/>
  <c r="V26" i="2" s="1"/>
  <c r="V18" i="2"/>
  <c r="V28" i="2" s="1"/>
  <c r="W16" i="2"/>
  <c r="W26" i="2" s="1"/>
  <c r="W18" i="2"/>
  <c r="T23" i="2"/>
  <c r="E16" i="2"/>
  <c r="S16" i="2"/>
  <c r="J16" i="2"/>
  <c r="D16" i="2"/>
  <c r="Q16" i="2"/>
  <c r="L16" i="2"/>
  <c r="N16" i="2"/>
  <c r="P16" i="2"/>
  <c r="I16" i="2"/>
  <c r="F16" i="2"/>
  <c r="H16" i="2"/>
  <c r="M16" i="2"/>
  <c r="R16" i="2"/>
  <c r="BG21" i="2" l="1"/>
  <c r="BG28" i="2"/>
  <c r="D18" i="2"/>
  <c r="D28" i="2" s="1"/>
  <c r="D26" i="2"/>
  <c r="J18" i="2"/>
  <c r="J26" i="2"/>
  <c r="F18" i="2"/>
  <c r="F28" i="2" s="1"/>
  <c r="F26" i="2"/>
  <c r="I18" i="2"/>
  <c r="I26" i="2"/>
  <c r="M18" i="2"/>
  <c r="M28" i="2" s="1"/>
  <c r="M26" i="2"/>
  <c r="H18" i="2"/>
  <c r="H26" i="2"/>
  <c r="S18" i="2"/>
  <c r="S28" i="2" s="1"/>
  <c r="S26" i="2"/>
  <c r="U18" i="2"/>
  <c r="U28" i="2" s="1"/>
  <c r="U26" i="2"/>
  <c r="E18" i="2"/>
  <c r="E28" i="2" s="1"/>
  <c r="E26" i="2"/>
  <c r="P18" i="2"/>
  <c r="P28" i="2" s="1"/>
  <c r="P26" i="2"/>
  <c r="N18" i="2"/>
  <c r="N26" i="2"/>
  <c r="L18" i="2"/>
  <c r="L28" i="2" s="1"/>
  <c r="L26" i="2"/>
  <c r="W21" i="2"/>
  <c r="W23" i="2" s="1"/>
  <c r="W28" i="2"/>
  <c r="R18" i="2"/>
  <c r="R26" i="2"/>
  <c r="Q18" i="2"/>
  <c r="Q26" i="2"/>
  <c r="S21" i="2"/>
  <c r="S23" i="2" s="1"/>
  <c r="U21" i="2"/>
  <c r="U23" i="2" s="1"/>
  <c r="D21" i="2"/>
  <c r="D23" i="2" s="1"/>
  <c r="V21" i="2"/>
  <c r="V23" i="2" s="1"/>
  <c r="E21" i="2"/>
  <c r="E23" i="2" s="1"/>
  <c r="P21" i="2"/>
  <c r="P23" i="2" s="1"/>
  <c r="F21" i="2"/>
  <c r="F23" i="2" s="1"/>
  <c r="M21" i="2"/>
  <c r="M23" i="2" s="1"/>
  <c r="Z42" i="2" l="1"/>
  <c r="Z43" i="2" s="1"/>
  <c r="BG23" i="2"/>
  <c r="N21" i="2"/>
  <c r="N23" i="2" s="1"/>
  <c r="N28" i="2"/>
  <c r="H21" i="2"/>
  <c r="H23" i="2" s="1"/>
  <c r="H28" i="2"/>
  <c r="J21" i="2"/>
  <c r="J23" i="2" s="1"/>
  <c r="J28" i="2"/>
  <c r="L21" i="2"/>
  <c r="L23" i="2" s="1"/>
  <c r="Q21" i="2"/>
  <c r="Q23" i="2" s="1"/>
  <c r="Q28" i="2"/>
  <c r="Z32" i="2"/>
  <c r="I21" i="2"/>
  <c r="I23" i="2" s="1"/>
  <c r="I28" i="2"/>
  <c r="R21" i="2"/>
  <c r="R23" i="2" s="1"/>
  <c r="R28" i="2"/>
  <c r="Z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tc={B2D58C4F-E79B-9941-B18A-BA5252A458AD}</author>
  </authors>
  <commentList>
    <comment ref="T17" authorId="0" shapeId="0" xr:uid="{B2D58C4F-E79B-9941-B18A-BA5252A458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Loss on sale of subsidiary </t>
      </text>
    </comment>
  </commentList>
</comments>
</file>

<file path=xl/sharedStrings.xml><?xml version="1.0" encoding="utf-8"?>
<sst xmlns="http://schemas.openxmlformats.org/spreadsheetml/2006/main" count="91" uniqueCount="67">
  <si>
    <t xml:space="preserve">Ticker </t>
  </si>
  <si>
    <t>UNH</t>
  </si>
  <si>
    <t>Share Price</t>
  </si>
  <si>
    <t xml:space="preserve">Shares Outstanding </t>
  </si>
  <si>
    <t xml:space="preserve">Market Cap </t>
  </si>
  <si>
    <t xml:space="preserve">Cash </t>
  </si>
  <si>
    <t xml:space="preserve">Debt </t>
  </si>
  <si>
    <t xml:space="preserve">EV </t>
  </si>
  <si>
    <t>millions</t>
  </si>
  <si>
    <t xml:space="preserve">Premiums </t>
  </si>
  <si>
    <t xml:space="preserve">Products </t>
  </si>
  <si>
    <t>Services</t>
  </si>
  <si>
    <t>Investment &amp; Other Income</t>
  </si>
  <si>
    <t>Total Revenue</t>
  </si>
  <si>
    <t xml:space="preserve">Medical Costs </t>
  </si>
  <si>
    <t xml:space="preserve">Operating Costs </t>
  </si>
  <si>
    <t>COGS</t>
  </si>
  <si>
    <t>Dep &amp; A</t>
  </si>
  <si>
    <t>Total Operating Costs</t>
  </si>
  <si>
    <t xml:space="preserve">Gross Profit </t>
  </si>
  <si>
    <t>Interest Expense</t>
  </si>
  <si>
    <t>Income before Tax</t>
  </si>
  <si>
    <t>Taxes</t>
  </si>
  <si>
    <t xml:space="preserve">Net Income </t>
  </si>
  <si>
    <t xml:space="preserve">EPS </t>
  </si>
  <si>
    <t xml:space="preserve">Shares </t>
  </si>
  <si>
    <t>Q1 2020</t>
  </si>
  <si>
    <t>Q2 2020</t>
  </si>
  <si>
    <t xml:space="preserve">Q3 2020 </t>
  </si>
  <si>
    <t xml:space="preserve">Q4 2020 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</si>
  <si>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</si>
  <si>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</si>
  <si>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</si>
  <si>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</si>
  <si>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</si>
  <si>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</si>
  <si>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</si>
  <si>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</si>
  <si>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</si>
  <si>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</si>
  <si>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</si>
  <si>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</si>
  <si>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</si>
  <si>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</si>
  <si>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</si>
  <si>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</si>
  <si>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Gross Margin</t>
  </si>
  <si>
    <t xml:space="preserve">Revenue YoY </t>
  </si>
  <si>
    <t xml:space="preserve">Tax Rate </t>
  </si>
  <si>
    <t xml:space="preserve">Operating Expenses % </t>
  </si>
  <si>
    <t xml:space="preserve">KPIs for UNH: </t>
  </si>
  <si>
    <t xml:space="preserve">March </t>
  </si>
  <si>
    <t xml:space="preserve">June </t>
  </si>
  <si>
    <t>Sept</t>
  </si>
  <si>
    <t xml:space="preserve">Dec </t>
  </si>
  <si>
    <t>Attrib to NCI</t>
  </si>
  <si>
    <t>Assumptions</t>
  </si>
  <si>
    <t>Data</t>
  </si>
  <si>
    <t>Revenue YoY</t>
  </si>
  <si>
    <t>Margin</t>
  </si>
  <si>
    <t>Operating Expenses</t>
  </si>
  <si>
    <t>What the Market Thinks</t>
  </si>
  <si>
    <t xml:space="preserve">Maturity </t>
  </si>
  <si>
    <t xml:space="preserve">Discount Rate </t>
  </si>
  <si>
    <t>NPV</t>
  </si>
  <si>
    <t>Net NPV</t>
  </si>
  <si>
    <t xml:space="preserve">Current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</si>
</sst>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_);[Red]\(&quot;£&quot;#,##0.00\)"/>
    <numFmt numFmtId="167" formatCode="[$$-409]#,##0"/>
    <numFmt numFmtId="168" formatCode="[$$-409]#,##0.00"/>
    <numFmt numFmtId="169" formatCode="0.0%"/>
    <numFmt numFmtId="170" formatCode="[$$-409]#,##0.00_);[Red]\([$$-409]#,##0.00\)"/>
  </numFmts>
  <fonts count="6" x14ac:knownFonts="1">
    <font>
      <sz val="12"/>
      <color theme="1"/>
      <name val="Aptos Narrow"/>
      <family val="2"/>
      <scheme val="minor"/>
    </font>
    <font>
      <sz val="11"/>
      <color rgb="FF000000"/>
      <name val="Times New Roman"/>
      <family val="1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rgb="FF000000"/>
      <name val="Tahoma"/>
      <family val="2"/>
    </font>
    <font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3" fontId="1" fillId="0" borderId="0" xfId="0" applyNumberFormat="1" applyFont="1"/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0" fontId="2" fillId="0" borderId="0" xfId="0" applyFon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/>
    <xf numFmtId="9" fontId="0" fillId="0" borderId="0" xfId="0" applyNumberFormat="1"/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9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3" borderId="0" xfId="0" applyFill="1"/>
    <xf numFmtId="8" fontId="0" fillId="3" borderId="0" xfId="0" applyNumberFormat="1" applyFill="1" applyAlignment="1">
      <alignment horizontal="center"/>
    </xf>
    <xf numFmtId="170" fontId="0" fillId="3" borderId="0" xfId="0" applyNumberFormat="1" applyFill="1" applyAlignment="1">
      <alignment horizontal="center"/>
    </xf>
    <xf numFmtId="168" fontId="0" fillId="3" borderId="0" xfId="0" applyNumberFormat="1" applyFill="1" applyAlignment="1">
      <alignment horizontal="center"/>
    </xf>
    <xf numFmtId="167" fontId="5" fillId="0" borderId="0" xfId="0" applyNumberFormat="1" applyFont="1" applyAlignment="1">
      <alignment horizontal="center"/>
    </xf>
    <xf numFmtId="167" fontId="0" fillId="4" borderId="0" xfId="0" applyNumberFormat="1" applyFill="1" applyAlignment="1">
      <alignment horizontal="center"/>
    </xf>
    <xf numFmtId="167" fontId="2" fillId="4" borderId="0" xfId="0" applyNumberFormat="1" applyFont="1" applyFill="1" applyAlignment="1">
      <alignment horizontal="center"/>
    </xf>
    <xf numFmtId="168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1">
    <dxf>
      <numFmt numFmtId="167" formatCode="[$$-409]#,##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hsan Mutlu" id="{6809496D-7DDD-3D49-AC19-09F49A2411AB}" userId="S::im885@york.ac.uk::03abb786-d409-4265-9fce-cc64cff2201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E8B0A0-2579-6141-99F4-1BBF72228CEF}" name="Table1" displayName="Table1" ref="Y37:Z46" totalsRowShown="0">
  <autoFilter ref="Y37:Z46" xr:uid="{CEE8B0A0-2579-6141-99F4-1BBF72228CEF}"/>
  <tableColumns count="2">
    <tableColumn id="1" xr3:uid="{AC367BE7-8F49-D84B-8033-9FF6A4625A47}" name="What the Market Thinks"/>
    <tableColumn id="2" xr3:uid="{411E9F24-E2C4-1A46-A3BE-51692D5AA044}" name="Dat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DCB909-5F61-FC43-AFD8-874B3BE1B773}" name="Table2" displayName="Table2" ref="Y30:Z35" totalsRowShown="0">
  <autoFilter ref="Y30:Z35" xr:uid="{89DCB909-5F61-FC43-AFD8-874B3BE1B773}"/>
  <tableColumns count="2">
    <tableColumn id="1" xr3:uid="{C2A4063B-16E2-4C4A-922C-5B58055FEA48}" name="Assumptions"/>
    <tableColumn id="2" xr3:uid="{7231E113-AFEF-1844-BBF6-28A073E2AECB}" name="Data" dataDxfId="0">
      <calculatedColumnFormula>AVERAGE(D24:S24)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7" dT="2024-07-16T09:10:22.87" personId="{6809496D-7DDD-3D49-AC19-09F49A2411AB}" id="{B2D58C4F-E79B-9941-B18A-BA5252A458AD}">
    <text xml:space="preserve">Loss on sale of subsidiary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5844-0B12-7540-8D28-CA574A06F238}">
  <dimension ref="B3:D9"/>
  <sheetViews>
    <sheetView workbookViewId="0">
      <selection activeCell="C5" sqref="C5"/>
    </sheetView>
  </sheetViews>
  <sheetFormatPr baseColWidth="10" defaultRowHeight="16" x14ac:dyDescent="0.2"/>
  <cols>
    <col min="2" max="2" width="17.33203125" bestFit="1" customWidth="1"/>
  </cols>
  <sheetData>
    <row r="3" spans="2:4" x14ac:dyDescent="0.2">
      <c r="B3" t="s">
        <v>0</v>
      </c>
      <c r="C3" s="1" t="s">
        <v>1</v>
      </c>
    </row>
    <row r="4" spans="2:4" x14ac:dyDescent="0.2">
      <c r="B4" t="s">
        <v>2</v>
      </c>
      <c r="C4" s="4">
        <v>515.37</v>
      </c>
    </row>
    <row r="5" spans="2:4" x14ac:dyDescent="0.2">
      <c r="B5" t="s">
        <v>3</v>
      </c>
      <c r="C5" s="2">
        <v>920</v>
      </c>
      <c r="D5" t="s">
        <v>8</v>
      </c>
    </row>
    <row r="6" spans="2:4" x14ac:dyDescent="0.2">
      <c r="B6" t="s">
        <v>4</v>
      </c>
      <c r="C6" s="3">
        <f>C5*C4</f>
        <v>474140.4</v>
      </c>
      <c r="D6" t="s">
        <v>8</v>
      </c>
    </row>
    <row r="7" spans="2:4" x14ac:dyDescent="0.2">
      <c r="B7" t="s">
        <v>5</v>
      </c>
      <c r="C7" s="3">
        <v>25427</v>
      </c>
      <c r="D7" t="s">
        <v>8</v>
      </c>
    </row>
    <row r="8" spans="2:4" x14ac:dyDescent="0.2">
      <c r="B8" t="s">
        <v>6</v>
      </c>
      <c r="C8" s="3">
        <f>4274+58263</f>
        <v>62537</v>
      </c>
      <c r="D8" t="s">
        <v>8</v>
      </c>
    </row>
    <row r="9" spans="2:4" x14ac:dyDescent="0.2">
      <c r="B9" t="s">
        <v>7</v>
      </c>
      <c r="C9" s="3">
        <f>C6-C8+C7</f>
        <v>437030.40000000002</v>
      </c>
      <c r="D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250D-8645-074D-90AF-D8234F5EE89C}">
  <dimension ref="C4:BG44"/>
  <sheetViews>
    <sheetView tabSelected="1" workbookViewId="0">
      <pane xSplit="3" ySplit="5" topLeftCell="R6" activePane="bottomRight" state="frozen"/>
      <selection pane="topRight" activeCell="D1" sqref="D1"/>
      <selection pane="bottomLeft" activeCell="A6" sqref="A6"/>
      <selection pane="bottomRight" activeCell="AB44" sqref="AB44"/>
    </sheetView>
  </sheetViews>
  <sheetFormatPr baseColWidth="10" defaultRowHeight="16" x14ac:dyDescent="0.2"/>
  <cols>
    <col min="3" max="3" width="23.33203125" bestFit="1" customWidth="1"/>
    <col min="25" max="25" width="23" bestFit="1" customWidth="1"/>
    <col min="26" max="26" width="15.6640625" customWidth="1"/>
    <col min="29" max="29" width="11.1640625" bestFit="1" customWidth="1"/>
    <col min="36" max="36" width="11.1640625" bestFit="1" customWidth="1"/>
    <col min="37" max="48" width="12.6640625" bestFit="1" customWidth="1"/>
    <col min="49" max="53" width="13.6640625" bestFit="1" customWidth="1"/>
    <col min="54" max="59" width="14.6640625" bestFit="1" customWidth="1"/>
  </cols>
  <sheetData>
    <row r="4" spans="3:59" x14ac:dyDescent="0.2">
      <c r="D4" s="7" t="s">
        <v>51</v>
      </c>
      <c r="E4" s="7" t="s">
        <v>52</v>
      </c>
      <c r="F4" s="7" t="s">
        <v>53</v>
      </c>
      <c r="G4" s="7" t="s">
        <v>54</v>
      </c>
      <c r="H4" s="7" t="s">
        <v>51</v>
      </c>
      <c r="I4" s="7" t="s">
        <v>52</v>
      </c>
      <c r="J4" s="7" t="s">
        <v>53</v>
      </c>
      <c r="K4" s="7" t="s">
        <v>54</v>
      </c>
      <c r="L4" s="7" t="s">
        <v>51</v>
      </c>
      <c r="M4" s="7" t="s">
        <v>52</v>
      </c>
      <c r="N4" s="7" t="s">
        <v>53</v>
      </c>
      <c r="O4" s="7" t="s">
        <v>54</v>
      </c>
      <c r="P4" s="7" t="s">
        <v>51</v>
      </c>
      <c r="Q4" s="7" t="s">
        <v>52</v>
      </c>
      <c r="R4" s="7" t="s">
        <v>53</v>
      </c>
      <c r="S4" s="7" t="s">
        <v>54</v>
      </c>
      <c r="T4" s="7" t="s">
        <v>51</v>
      </c>
      <c r="U4" s="7" t="s">
        <v>52</v>
      </c>
      <c r="V4" s="7" t="s">
        <v>53</v>
      </c>
      <c r="W4" s="7" t="s">
        <v>54</v>
      </c>
    </row>
    <row r="5" spans="3:59" x14ac:dyDescent="0.2">
      <c r="D5" s="8" t="s">
        <v>26</v>
      </c>
      <c r="E5" s="8" t="s">
        <v>27</v>
      </c>
      <c r="F5" s="8" t="s">
        <v>28</v>
      </c>
      <c r="G5" s="8" t="s">
        <v>29</v>
      </c>
      <c r="H5" s="8" t="s">
        <v>30</v>
      </c>
      <c r="I5" s="8" t="s">
        <v>31</v>
      </c>
      <c r="J5" s="8" t="s">
        <v>32</v>
      </c>
      <c r="K5" s="8" t="s">
        <v>33</v>
      </c>
      <c r="L5" s="8" t="s">
        <v>34</v>
      </c>
      <c r="M5" s="8" t="s">
        <v>35</v>
      </c>
      <c r="N5" s="8" t="s">
        <v>36</v>
      </c>
      <c r="O5" s="8" t="s">
        <v>37</v>
      </c>
      <c r="P5" s="8" t="s">
        <v>38</v>
      </c>
      <c r="Q5" s="8" t="s">
        <v>39</v>
      </c>
      <c r="R5" s="8" t="s">
        <v>40</v>
      </c>
      <c r="S5" s="8" t="s">
        <v>41</v>
      </c>
      <c r="T5" s="8" t="s">
        <v>42</v>
      </c>
      <c r="U5" s="8" t="s">
        <v>43</v>
      </c>
      <c r="V5" s="8" t="s">
        <v>44</v>
      </c>
      <c r="W5" s="8" t="s">
        <v>45</v>
      </c>
      <c r="Y5" s="16">
        <v>2020</v>
      </c>
      <c r="Z5" s="16">
        <v>2021</v>
      </c>
      <c r="AA5" s="16">
        <v>2022</v>
      </c>
      <c r="AB5" s="16">
        <v>2023</v>
      </c>
      <c r="AC5" s="16">
        <v>2024</v>
      </c>
      <c r="AD5" s="16">
        <v>2025</v>
      </c>
      <c r="AE5" s="16">
        <v>2026</v>
      </c>
      <c r="AF5" s="16">
        <v>2027</v>
      </c>
      <c r="AG5" s="16">
        <v>2028</v>
      </c>
      <c r="AH5" s="16">
        <v>2029</v>
      </c>
      <c r="AI5" s="16">
        <v>2030</v>
      </c>
      <c r="AJ5" s="16">
        <v>2031</v>
      </c>
      <c r="AK5" s="16">
        <v>2032</v>
      </c>
      <c r="AL5" s="16">
        <v>2033</v>
      </c>
      <c r="AM5" s="16">
        <v>2034</v>
      </c>
      <c r="AN5" s="16">
        <v>2035</v>
      </c>
      <c r="AO5" s="16">
        <v>2036</v>
      </c>
      <c r="AP5" s="16">
        <v>2037</v>
      </c>
      <c r="AQ5" s="16">
        <v>2038</v>
      </c>
      <c r="AR5" s="16">
        <v>2039</v>
      </c>
      <c r="AS5" s="16">
        <v>2040</v>
      </c>
      <c r="AT5" s="16">
        <v>2041</v>
      </c>
      <c r="AU5" s="16">
        <v>2042</v>
      </c>
      <c r="AV5" s="16">
        <v>2043</v>
      </c>
      <c r="AW5" s="16">
        <v>2044</v>
      </c>
      <c r="AX5" s="16">
        <v>2045</v>
      </c>
      <c r="AY5" s="16">
        <v>2046</v>
      </c>
      <c r="AZ5" s="16">
        <v>2047</v>
      </c>
      <c r="BA5" s="16">
        <v>2048</v>
      </c>
      <c r="BB5" s="16">
        <v>2049</v>
      </c>
      <c r="BC5" s="16">
        <v>2050</v>
      </c>
      <c r="BD5" s="16">
        <v>2051</v>
      </c>
      <c r="BE5" s="16">
        <v>2052</v>
      </c>
      <c r="BF5" s="16">
        <v>2053</v>
      </c>
      <c r="BG5" s="16">
        <v>2054</v>
      </c>
    </row>
    <row r="6" spans="3:59" x14ac:dyDescent="0.2">
      <c r="C6" t="s">
        <v>9</v>
      </c>
      <c r="D6" s="6">
        <v>50640</v>
      </c>
      <c r="E6" s="6">
        <v>49394</v>
      </c>
      <c r="F6" s="6">
        <v>50863</v>
      </c>
      <c r="G6" s="6">
        <f>201478-SUM(D6:F6)</f>
        <v>50581</v>
      </c>
      <c r="H6" s="6">
        <v>55486</v>
      </c>
      <c r="I6" s="6">
        <v>56233</v>
      </c>
      <c r="J6" s="6">
        <v>56967</v>
      </c>
      <c r="K6" s="6">
        <f>226233-SUM(H6:J6)</f>
        <v>57547</v>
      </c>
      <c r="L6" s="6">
        <v>64070</v>
      </c>
      <c r="M6" s="6">
        <v>63896</v>
      </c>
      <c r="N6" s="6">
        <v>64491</v>
      </c>
      <c r="O6" s="6">
        <f>257157-SUM(L6:N6)</f>
        <v>64700</v>
      </c>
      <c r="P6" s="6">
        <v>72786</v>
      </c>
      <c r="Q6" s="6">
        <v>72474</v>
      </c>
      <c r="R6" s="6">
        <v>72339</v>
      </c>
      <c r="S6" s="6">
        <f>290827-SUM(P6:R6)</f>
        <v>73228</v>
      </c>
      <c r="T6" s="6">
        <v>77988</v>
      </c>
      <c r="U6" s="6"/>
      <c r="V6" s="6"/>
      <c r="W6" s="6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</row>
    <row r="7" spans="3:59" x14ac:dyDescent="0.2">
      <c r="C7" t="s">
        <v>10</v>
      </c>
      <c r="D7" s="6">
        <v>8431</v>
      </c>
      <c r="E7" s="6">
        <v>8247</v>
      </c>
      <c r="F7" s="6">
        <v>8777</v>
      </c>
      <c r="G7" s="6">
        <f>34145-SUM(D7:F7)</f>
        <v>8690</v>
      </c>
      <c r="H7" s="6">
        <v>8340</v>
      </c>
      <c r="I7" s="6">
        <v>8433</v>
      </c>
      <c r="J7" s="6">
        <v>8703</v>
      </c>
      <c r="K7" s="6">
        <f>34437-SUM(H7:J7)</f>
        <v>8961</v>
      </c>
      <c r="L7" s="6">
        <v>9340</v>
      </c>
      <c r="M7" s="6">
        <v>9496</v>
      </c>
      <c r="N7" s="6">
        <v>9190</v>
      </c>
      <c r="O7" s="6">
        <f>37424-SUM(L7:N7)</f>
        <v>9398</v>
      </c>
      <c r="P7" s="6">
        <v>10267</v>
      </c>
      <c r="Q7" s="6">
        <v>10651</v>
      </c>
      <c r="R7" s="6">
        <v>10354</v>
      </c>
      <c r="S7" s="6">
        <f>42583-SUM(P7:R7)</f>
        <v>11311</v>
      </c>
      <c r="T7" s="6">
        <v>11909</v>
      </c>
      <c r="U7" s="6"/>
      <c r="V7" s="6"/>
      <c r="W7" s="6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</row>
    <row r="8" spans="3:59" x14ac:dyDescent="0.2">
      <c r="C8" t="s">
        <v>11</v>
      </c>
      <c r="D8" s="6">
        <v>4985</v>
      </c>
      <c r="E8" s="6">
        <v>4156</v>
      </c>
      <c r="F8" s="6">
        <v>5124</v>
      </c>
      <c r="G8" s="6">
        <f>20016-SUM(D8:F8)</f>
        <v>5751</v>
      </c>
      <c r="H8" s="6">
        <v>5918</v>
      </c>
      <c r="I8" s="6">
        <v>6099</v>
      </c>
      <c r="J8" s="6">
        <v>6164</v>
      </c>
      <c r="K8" s="6">
        <f>24603-SUM(H8:J8)</f>
        <v>6422</v>
      </c>
      <c r="L8" s="6">
        <v>6372</v>
      </c>
      <c r="M8" s="6">
        <v>6645</v>
      </c>
      <c r="N8" s="6">
        <v>6700</v>
      </c>
      <c r="O8" s="6">
        <f>27551-SUM(L8:N8)</f>
        <v>7834</v>
      </c>
      <c r="P8" s="6">
        <v>8080</v>
      </c>
      <c r="Q8" s="6">
        <v>8663</v>
      </c>
      <c r="R8" s="6">
        <v>8671</v>
      </c>
      <c r="S8" s="6">
        <f>34123-SUM(P8:R8)</f>
        <v>8709</v>
      </c>
      <c r="T8" s="6">
        <v>8888</v>
      </c>
      <c r="U8" s="6"/>
      <c r="V8" s="6"/>
      <c r="W8" s="6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</row>
    <row r="9" spans="3:59" x14ac:dyDescent="0.2">
      <c r="C9" t="s">
        <v>12</v>
      </c>
      <c r="D9" s="6">
        <v>365</v>
      </c>
      <c r="E9" s="6">
        <v>341</v>
      </c>
      <c r="F9" s="6">
        <v>351</v>
      </c>
      <c r="G9" s="6">
        <f>1502-SUM(D9:F9)</f>
        <v>445</v>
      </c>
      <c r="H9" s="6">
        <v>452</v>
      </c>
      <c r="I9" s="6">
        <v>556</v>
      </c>
      <c r="J9" s="6">
        <v>503</v>
      </c>
      <c r="K9" s="6">
        <f>2324-SUM(H9:J9)</f>
        <v>813</v>
      </c>
      <c r="L9" s="6">
        <v>367</v>
      </c>
      <c r="M9" s="6">
        <v>295</v>
      </c>
      <c r="N9" s="6">
        <v>513</v>
      </c>
      <c r="O9" s="6">
        <f>2030-SUM(L9:N9)</f>
        <v>855</v>
      </c>
      <c r="P9" s="6">
        <v>798</v>
      </c>
      <c r="Q9" s="6">
        <v>1115</v>
      </c>
      <c r="R9" s="6">
        <v>997</v>
      </c>
      <c r="S9" s="6">
        <f>4089-SUM(P9:R9)</f>
        <v>1179</v>
      </c>
      <c r="T9" s="6">
        <v>1011</v>
      </c>
      <c r="U9" s="6"/>
      <c r="V9" s="6"/>
      <c r="W9" s="6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</row>
    <row r="10" spans="3:59" x14ac:dyDescent="0.2">
      <c r="C10" s="5" t="s">
        <v>13</v>
      </c>
      <c r="D10" s="9">
        <f>SUM(D6:D9)</f>
        <v>64421</v>
      </c>
      <c r="E10" s="9">
        <f>SUM(E6:E9)</f>
        <v>62138</v>
      </c>
      <c r="F10" s="9">
        <f>SUM(F6:F9)</f>
        <v>65115</v>
      </c>
      <c r="G10" s="9">
        <f>SUM(G6:G9)</f>
        <v>65467</v>
      </c>
      <c r="H10" s="9">
        <f>SUM(H6:H9)</f>
        <v>70196</v>
      </c>
      <c r="I10" s="9">
        <f>SUM(I6:I9)</f>
        <v>71321</v>
      </c>
      <c r="J10" s="9">
        <f>SUM(J6:J9)</f>
        <v>72337</v>
      </c>
      <c r="K10" s="9">
        <f>SUM(K6:K9)</f>
        <v>73743</v>
      </c>
      <c r="L10" s="9">
        <f>SUM(L6:L9)</f>
        <v>80149</v>
      </c>
      <c r="M10" s="9">
        <f>SUM(M6:M9)</f>
        <v>80332</v>
      </c>
      <c r="N10" s="9">
        <f>SUM(N6:N9)</f>
        <v>80894</v>
      </c>
      <c r="O10" s="9">
        <f>SUM(O6:O9)</f>
        <v>82787</v>
      </c>
      <c r="P10" s="9">
        <f>SUM(P6:P9)</f>
        <v>91931</v>
      </c>
      <c r="Q10" s="9">
        <f>SUM(Q6:Q9)</f>
        <v>92903</v>
      </c>
      <c r="R10" s="9">
        <f>SUM(R6:R9)</f>
        <v>92361</v>
      </c>
      <c r="S10" s="9">
        <f>SUM(S6:S9)</f>
        <v>94427</v>
      </c>
      <c r="T10" s="9">
        <f>SUM(T6:T9)</f>
        <v>99796</v>
      </c>
      <c r="U10" s="9">
        <f>SUM(U6:U9)</f>
        <v>0</v>
      </c>
      <c r="V10" s="9">
        <f>SUM(V6:V9)</f>
        <v>0</v>
      </c>
      <c r="W10" s="9">
        <f>SUM(W6:W9)</f>
        <v>0</v>
      </c>
      <c r="Y10" s="9">
        <f>SUM(D10:G10)</f>
        <v>257141</v>
      </c>
      <c r="Z10" s="9">
        <f>SUM(H10:K10)</f>
        <v>287597</v>
      </c>
      <c r="AA10" s="9">
        <f>SUM(L10:O10)</f>
        <v>324162</v>
      </c>
      <c r="AB10" s="9">
        <f>SUM(P10:S10)</f>
        <v>371622</v>
      </c>
      <c r="AC10" s="25">
        <f>AB10*1.13</f>
        <v>419932.86</v>
      </c>
      <c r="AD10" s="25">
        <f t="shared" ref="AD10:AI10" si="0">AC10*1.13</f>
        <v>474524.13179999992</v>
      </c>
      <c r="AE10" s="25">
        <f t="shared" si="0"/>
        <v>536212.26893399982</v>
      </c>
      <c r="AF10" s="25">
        <f t="shared" si="0"/>
        <v>605919.86389541975</v>
      </c>
      <c r="AG10" s="25">
        <f t="shared" si="0"/>
        <v>684689.44620182423</v>
      </c>
      <c r="AH10" s="25">
        <f t="shared" si="0"/>
        <v>773699.07420806133</v>
      </c>
      <c r="AI10" s="25">
        <f t="shared" si="0"/>
        <v>874279.95385510917</v>
      </c>
      <c r="AJ10" s="25">
        <f>AI10*1.1</f>
        <v>961707.94924062013</v>
      </c>
      <c r="AK10" s="25">
        <f t="shared" ref="AK10:AS10" si="1">AJ10*1.1</f>
        <v>1057878.7441646822</v>
      </c>
      <c r="AL10" s="25">
        <f t="shared" si="1"/>
        <v>1163666.6185811507</v>
      </c>
      <c r="AM10" s="25">
        <f t="shared" si="1"/>
        <v>1280033.2804392658</v>
      </c>
      <c r="AN10" s="25">
        <f t="shared" si="1"/>
        <v>1408036.6084831925</v>
      </c>
      <c r="AO10" s="25">
        <f t="shared" si="1"/>
        <v>1548840.2693315118</v>
      </c>
      <c r="AP10" s="25">
        <f t="shared" si="1"/>
        <v>1703724.2962646631</v>
      </c>
      <c r="AQ10" s="25">
        <f t="shared" si="1"/>
        <v>1874096.7258911296</v>
      </c>
      <c r="AR10" s="25">
        <f t="shared" si="1"/>
        <v>2061506.3984802428</v>
      </c>
      <c r="AS10" s="25">
        <f t="shared" si="1"/>
        <v>2267657.0383282672</v>
      </c>
      <c r="AT10" s="25">
        <f>AS10*1.06</f>
        <v>2403716.4606279633</v>
      </c>
      <c r="AU10" s="25">
        <f t="shared" ref="AU10:BC10" si="2">AT10*1.06</f>
        <v>2547939.448265641</v>
      </c>
      <c r="AV10" s="25">
        <f t="shared" si="2"/>
        <v>2700815.8151615798</v>
      </c>
      <c r="AW10" s="25">
        <f t="shared" si="2"/>
        <v>2862864.7640712745</v>
      </c>
      <c r="AX10" s="25">
        <f t="shared" si="2"/>
        <v>3034636.6499155513</v>
      </c>
      <c r="AY10" s="25">
        <f t="shared" si="2"/>
        <v>3216714.8489104845</v>
      </c>
      <c r="AZ10" s="25">
        <f t="shared" si="2"/>
        <v>3409717.7398451138</v>
      </c>
      <c r="BA10" s="25">
        <f t="shared" si="2"/>
        <v>3614300.8042358207</v>
      </c>
      <c r="BB10" s="25">
        <f t="shared" si="2"/>
        <v>3831158.8524899702</v>
      </c>
      <c r="BC10" s="25">
        <f t="shared" si="2"/>
        <v>4061028.3836393687</v>
      </c>
      <c r="BD10" s="25">
        <f>BC10*1.02</f>
        <v>4142248.9513121559</v>
      </c>
      <c r="BE10" s="25">
        <f t="shared" ref="BE10:BG10" si="3">BD10*1.02</f>
        <v>4225093.9303383995</v>
      </c>
      <c r="BF10" s="25">
        <f t="shared" si="3"/>
        <v>4309595.8089451678</v>
      </c>
      <c r="BG10" s="25">
        <f t="shared" si="3"/>
        <v>4395787.7251240714</v>
      </c>
    </row>
    <row r="11" spans="3:59" x14ac:dyDescent="0.2">
      <c r="C11" t="s">
        <v>14</v>
      </c>
      <c r="D11" s="6">
        <v>41000</v>
      </c>
      <c r="E11" s="6">
        <v>34678</v>
      </c>
      <c r="F11" s="6">
        <v>41636</v>
      </c>
      <c r="G11" s="6">
        <f>159396-SUM(D11:F11)</f>
        <v>42082</v>
      </c>
      <c r="H11" s="6">
        <v>44904</v>
      </c>
      <c r="I11" s="6">
        <v>46546</v>
      </c>
      <c r="J11" s="6">
        <v>47302</v>
      </c>
      <c r="K11" s="6">
        <f>186911-SUM(H11:J11)</f>
        <v>48159</v>
      </c>
      <c r="L11" s="6">
        <v>52523</v>
      </c>
      <c r="M11" s="6">
        <v>52093</v>
      </c>
      <c r="N11" s="6">
        <v>52635</v>
      </c>
      <c r="O11" s="6">
        <f>210842-SUM(L11:N11)</f>
        <v>53591</v>
      </c>
      <c r="P11" s="6">
        <v>59845</v>
      </c>
      <c r="Q11" s="6">
        <v>60268</v>
      </c>
      <c r="R11" s="6">
        <v>59550</v>
      </c>
      <c r="S11" s="6">
        <f>241894-SUM(P11:R11)</f>
        <v>62231</v>
      </c>
      <c r="T11" s="6">
        <v>65735</v>
      </c>
      <c r="U11" s="6"/>
      <c r="V11" s="6"/>
      <c r="W11" s="6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</row>
    <row r="12" spans="3:59" x14ac:dyDescent="0.2">
      <c r="C12" t="s">
        <v>15</v>
      </c>
      <c r="D12" s="6">
        <v>10015</v>
      </c>
      <c r="E12" s="6">
        <v>10001</v>
      </c>
      <c r="F12" s="6">
        <v>10174</v>
      </c>
      <c r="G12" s="6">
        <f>41704-SUM(D12:F12)</f>
        <v>11514</v>
      </c>
      <c r="H12" s="6">
        <v>10223</v>
      </c>
      <c r="I12" s="6">
        <v>10359</v>
      </c>
      <c r="J12" s="6">
        <v>10725</v>
      </c>
      <c r="K12" s="6">
        <f>42579-SUM(H12:J12)</f>
        <v>11272</v>
      </c>
      <c r="L12" s="6">
        <v>11401</v>
      </c>
      <c r="M12" s="6">
        <v>11709</v>
      </c>
      <c r="N12" s="6">
        <v>11663</v>
      </c>
      <c r="O12" s="6">
        <f>47782-SUM(L12:N12)</f>
        <v>13009</v>
      </c>
      <c r="P12" s="6">
        <v>13625</v>
      </c>
      <c r="Q12" s="6">
        <v>13809</v>
      </c>
      <c r="R12" s="6">
        <v>13855</v>
      </c>
      <c r="S12" s="6">
        <f>54628-SUM(P12:R12)</f>
        <v>13339</v>
      </c>
      <c r="T12" s="6">
        <v>14077</v>
      </c>
      <c r="U12" s="6"/>
      <c r="V12" s="6"/>
      <c r="W12" s="6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</row>
    <row r="13" spans="3:59" x14ac:dyDescent="0.2">
      <c r="C13" t="s">
        <v>16</v>
      </c>
      <c r="D13" s="6">
        <v>7687</v>
      </c>
      <c r="E13" s="6">
        <v>7501</v>
      </c>
      <c r="F13" s="6">
        <v>7935</v>
      </c>
      <c r="G13" s="6">
        <f>30745-SUM(D13:F13)</f>
        <v>7622</v>
      </c>
      <c r="H13" s="6">
        <v>7572</v>
      </c>
      <c r="I13" s="6">
        <v>7660</v>
      </c>
      <c r="J13" s="6">
        <v>7802</v>
      </c>
      <c r="K13" s="6">
        <f>31034-SUM(H13:J13)</f>
        <v>8000</v>
      </c>
      <c r="L13" s="6">
        <v>8487</v>
      </c>
      <c r="M13" s="6">
        <v>8596</v>
      </c>
      <c r="N13" s="6">
        <v>8306</v>
      </c>
      <c r="O13" s="6">
        <f>33703-SUM(L13:N13)</f>
        <v>8314</v>
      </c>
      <c r="P13" s="6">
        <v>9405</v>
      </c>
      <c r="Q13" s="6">
        <v>9748</v>
      </c>
      <c r="R13" s="6">
        <v>9423</v>
      </c>
      <c r="S13" s="6">
        <f>38770-SUM(P13:R13)</f>
        <v>10194</v>
      </c>
      <c r="T13" s="6">
        <v>11056</v>
      </c>
      <c r="U13" s="6"/>
      <c r="V13" s="6"/>
      <c r="W13" s="6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</row>
    <row r="14" spans="3:59" x14ac:dyDescent="0.2">
      <c r="C14" t="s">
        <v>17</v>
      </c>
      <c r="D14" s="6">
        <v>723</v>
      </c>
      <c r="E14" s="6">
        <v>717</v>
      </c>
      <c r="F14" s="6">
        <v>719</v>
      </c>
      <c r="G14" s="6">
        <f>2891-SUM(D14:F14)</f>
        <v>732</v>
      </c>
      <c r="H14" s="6">
        <v>758</v>
      </c>
      <c r="I14" s="6">
        <v>778</v>
      </c>
      <c r="J14" s="6">
        <v>796</v>
      </c>
      <c r="K14" s="6">
        <f>3103-SUM(H14:J14)</f>
        <v>771</v>
      </c>
      <c r="L14" s="6">
        <v>788</v>
      </c>
      <c r="M14" s="6">
        <v>802</v>
      </c>
      <c r="N14" s="6">
        <v>828</v>
      </c>
      <c r="O14" s="6">
        <f>3400-SUM(L14:N14)</f>
        <v>982</v>
      </c>
      <c r="P14" s="6">
        <v>970</v>
      </c>
      <c r="Q14" s="6">
        <v>1021</v>
      </c>
      <c r="R14" s="6">
        <v>1007</v>
      </c>
      <c r="S14" s="6">
        <f>3972-SUM(P14:R14)</f>
        <v>974</v>
      </c>
      <c r="T14" s="6">
        <v>997</v>
      </c>
      <c r="U14" s="6"/>
      <c r="V14" s="6"/>
      <c r="W14" s="6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</row>
    <row r="15" spans="3:59" x14ac:dyDescent="0.2">
      <c r="C15" s="5" t="s">
        <v>18</v>
      </c>
      <c r="D15" s="9">
        <f>SUM(D11:D14)</f>
        <v>59425</v>
      </c>
      <c r="E15" s="9">
        <f t="shared" ref="E15:W15" si="4">SUM(E11:E14)</f>
        <v>52897</v>
      </c>
      <c r="F15" s="9">
        <f t="shared" si="4"/>
        <v>60464</v>
      </c>
      <c r="G15" s="9">
        <f t="shared" si="4"/>
        <v>61950</v>
      </c>
      <c r="H15" s="9">
        <f t="shared" si="4"/>
        <v>63457</v>
      </c>
      <c r="I15" s="9">
        <f t="shared" si="4"/>
        <v>65343</v>
      </c>
      <c r="J15" s="9">
        <f t="shared" si="4"/>
        <v>66625</v>
      </c>
      <c r="K15" s="9">
        <f t="shared" si="4"/>
        <v>68202</v>
      </c>
      <c r="L15" s="9">
        <f t="shared" si="4"/>
        <v>73199</v>
      </c>
      <c r="M15" s="9">
        <f t="shared" si="4"/>
        <v>73200</v>
      </c>
      <c r="N15" s="9">
        <f t="shared" si="4"/>
        <v>73432</v>
      </c>
      <c r="O15" s="9">
        <f t="shared" si="4"/>
        <v>75896</v>
      </c>
      <c r="P15" s="9">
        <f t="shared" si="4"/>
        <v>83845</v>
      </c>
      <c r="Q15" s="9">
        <f t="shared" si="4"/>
        <v>84846</v>
      </c>
      <c r="R15" s="9">
        <f t="shared" si="4"/>
        <v>83835</v>
      </c>
      <c r="S15" s="9">
        <f t="shared" si="4"/>
        <v>86738</v>
      </c>
      <c r="T15" s="9">
        <f t="shared" si="4"/>
        <v>91865</v>
      </c>
      <c r="U15" s="9">
        <f t="shared" si="4"/>
        <v>0</v>
      </c>
      <c r="V15" s="9">
        <f t="shared" si="4"/>
        <v>0</v>
      </c>
      <c r="W15" s="9">
        <f t="shared" si="4"/>
        <v>0</v>
      </c>
      <c r="Y15" s="9">
        <f>SUM(D15:G15)</f>
        <v>234736</v>
      </c>
      <c r="Z15" s="9">
        <f>SUM(H15:K15)</f>
        <v>263627</v>
      </c>
      <c r="AA15" s="9">
        <f>SUM(L15:O15)</f>
        <v>295727</v>
      </c>
      <c r="AB15" s="9">
        <f>SUM(P15:S15)</f>
        <v>339264</v>
      </c>
      <c r="AC15" s="25">
        <f>AC10*0.91</f>
        <v>382138.90259999997</v>
      </c>
      <c r="AD15" s="25">
        <f t="shared" ref="AD15:BG15" si="5">AD10*0.91</f>
        <v>431816.95993799996</v>
      </c>
      <c r="AE15" s="25">
        <f t="shared" si="5"/>
        <v>487953.16472993983</v>
      </c>
      <c r="AF15" s="25">
        <f t="shared" si="5"/>
        <v>551387.07614483195</v>
      </c>
      <c r="AG15" s="25">
        <f t="shared" si="5"/>
        <v>623067.39604366012</v>
      </c>
      <c r="AH15" s="25">
        <f t="shared" si="5"/>
        <v>704066.15752933582</v>
      </c>
      <c r="AI15" s="25">
        <f t="shared" si="5"/>
        <v>795594.75800814934</v>
      </c>
      <c r="AJ15" s="25">
        <f t="shared" si="5"/>
        <v>875154.23380896437</v>
      </c>
      <c r="AK15" s="25">
        <f t="shared" si="5"/>
        <v>962669.65718986082</v>
      </c>
      <c r="AL15" s="25">
        <f t="shared" si="5"/>
        <v>1058936.6229088472</v>
      </c>
      <c r="AM15" s="25">
        <f t="shared" si="5"/>
        <v>1164830.2851997318</v>
      </c>
      <c r="AN15" s="25">
        <f t="shared" si="5"/>
        <v>1281313.3137197052</v>
      </c>
      <c r="AO15" s="25">
        <f t="shared" si="5"/>
        <v>1409444.6450916757</v>
      </c>
      <c r="AP15" s="25">
        <f t="shared" si="5"/>
        <v>1550389.1096008434</v>
      </c>
      <c r="AQ15" s="25">
        <f t="shared" si="5"/>
        <v>1705428.0205609279</v>
      </c>
      <c r="AR15" s="25">
        <f t="shared" si="5"/>
        <v>1875970.8226170209</v>
      </c>
      <c r="AS15" s="25">
        <f t="shared" si="5"/>
        <v>2063567.9048787232</v>
      </c>
      <c r="AT15" s="25">
        <f t="shared" si="5"/>
        <v>2187381.9791714465</v>
      </c>
      <c r="AU15" s="25">
        <f t="shared" si="5"/>
        <v>2318624.8979217336</v>
      </c>
      <c r="AV15" s="25">
        <f t="shared" si="5"/>
        <v>2457742.3917970378</v>
      </c>
      <c r="AW15" s="25">
        <f t="shared" si="5"/>
        <v>2605206.9353048601</v>
      </c>
      <c r="AX15" s="25">
        <f t="shared" si="5"/>
        <v>2761519.3514231518</v>
      </c>
      <c r="AY15" s="25">
        <f t="shared" si="5"/>
        <v>2927210.5125085409</v>
      </c>
      <c r="AZ15" s="25">
        <f t="shared" si="5"/>
        <v>3102843.1432590536</v>
      </c>
      <c r="BA15" s="25">
        <f t="shared" si="5"/>
        <v>3289013.7318545971</v>
      </c>
      <c r="BB15" s="25">
        <f t="shared" si="5"/>
        <v>3486354.5557658728</v>
      </c>
      <c r="BC15" s="25">
        <f t="shared" si="5"/>
        <v>3695535.8291118257</v>
      </c>
      <c r="BD15" s="25">
        <f t="shared" si="5"/>
        <v>3769446.545694062</v>
      </c>
      <c r="BE15" s="25">
        <f t="shared" si="5"/>
        <v>3844835.4766079439</v>
      </c>
      <c r="BF15" s="25">
        <f t="shared" si="5"/>
        <v>3921732.1861401028</v>
      </c>
      <c r="BG15" s="25">
        <f t="shared" si="5"/>
        <v>4000166.8298629052</v>
      </c>
    </row>
    <row r="16" spans="3:59" x14ac:dyDescent="0.2">
      <c r="C16" s="5" t="s">
        <v>19</v>
      </c>
      <c r="D16" s="9">
        <f>D10-D15</f>
        <v>4996</v>
      </c>
      <c r="E16" s="9">
        <f t="shared" ref="E16:W16" si="6">E10-E15</f>
        <v>9241</v>
      </c>
      <c r="F16" s="9">
        <f t="shared" si="6"/>
        <v>4651</v>
      </c>
      <c r="G16" s="9">
        <f t="shared" si="6"/>
        <v>3517</v>
      </c>
      <c r="H16" s="9">
        <f t="shared" si="6"/>
        <v>6739</v>
      </c>
      <c r="I16" s="9">
        <f t="shared" si="6"/>
        <v>5978</v>
      </c>
      <c r="J16" s="9">
        <f t="shared" si="6"/>
        <v>5712</v>
      </c>
      <c r="K16" s="9">
        <f t="shared" si="6"/>
        <v>5541</v>
      </c>
      <c r="L16" s="9">
        <f t="shared" si="6"/>
        <v>6950</v>
      </c>
      <c r="M16" s="9">
        <f t="shared" si="6"/>
        <v>7132</v>
      </c>
      <c r="N16" s="9">
        <f t="shared" si="6"/>
        <v>7462</v>
      </c>
      <c r="O16" s="9">
        <f t="shared" si="6"/>
        <v>6891</v>
      </c>
      <c r="P16" s="9">
        <f t="shared" si="6"/>
        <v>8086</v>
      </c>
      <c r="Q16" s="9">
        <f t="shared" si="6"/>
        <v>8057</v>
      </c>
      <c r="R16" s="9">
        <f t="shared" si="6"/>
        <v>8526</v>
      </c>
      <c r="S16" s="9">
        <f t="shared" si="6"/>
        <v>7689</v>
      </c>
      <c r="T16" s="9">
        <f>T10-T15</f>
        <v>7931</v>
      </c>
      <c r="U16" s="9">
        <f t="shared" si="6"/>
        <v>0</v>
      </c>
      <c r="V16" s="9">
        <f t="shared" si="6"/>
        <v>0</v>
      </c>
      <c r="W16" s="9">
        <f t="shared" si="6"/>
        <v>0</v>
      </c>
      <c r="Y16" s="9">
        <f>Y10-Y15</f>
        <v>22405</v>
      </c>
      <c r="Z16" s="9">
        <f t="shared" ref="Z16:AB16" si="7">Z10-Z15</f>
        <v>23970</v>
      </c>
      <c r="AA16" s="9">
        <f t="shared" si="7"/>
        <v>28435</v>
      </c>
      <c r="AB16" s="9">
        <f t="shared" si="7"/>
        <v>32358</v>
      </c>
      <c r="AC16" s="25">
        <f>AC10*0.09</f>
        <v>37793.957399999999</v>
      </c>
      <c r="AD16" s="25">
        <f t="shared" ref="AD16:BG16" si="8">AD10*0.09</f>
        <v>42707.171861999988</v>
      </c>
      <c r="AE16" s="25">
        <f t="shared" si="8"/>
        <v>48259.104204059979</v>
      </c>
      <c r="AF16" s="25">
        <f t="shared" si="8"/>
        <v>54532.787750587777</v>
      </c>
      <c r="AG16" s="25">
        <f t="shared" si="8"/>
        <v>61622.05015816418</v>
      </c>
      <c r="AH16" s="25">
        <f t="shared" si="8"/>
        <v>69632.916678725524</v>
      </c>
      <c r="AI16" s="25">
        <f t="shared" si="8"/>
        <v>78685.195846959818</v>
      </c>
      <c r="AJ16" s="25">
        <f t="shared" si="8"/>
        <v>86553.715431655815</v>
      </c>
      <c r="AK16" s="25">
        <f t="shared" si="8"/>
        <v>95209.086974821403</v>
      </c>
      <c r="AL16" s="25">
        <f t="shared" si="8"/>
        <v>104729.99567230356</v>
      </c>
      <c r="AM16" s="25">
        <f t="shared" si="8"/>
        <v>115202.99523953392</v>
      </c>
      <c r="AN16" s="25">
        <f t="shared" si="8"/>
        <v>126723.29476348733</v>
      </c>
      <c r="AO16" s="25">
        <f t="shared" si="8"/>
        <v>139395.62423983606</v>
      </c>
      <c r="AP16" s="25">
        <f t="shared" si="8"/>
        <v>153335.18666381968</v>
      </c>
      <c r="AQ16" s="25">
        <f t="shared" si="8"/>
        <v>168668.70533020166</v>
      </c>
      <c r="AR16" s="25">
        <f t="shared" si="8"/>
        <v>185535.57586322183</v>
      </c>
      <c r="AS16" s="25">
        <f t="shared" si="8"/>
        <v>204089.13344954402</v>
      </c>
      <c r="AT16" s="25">
        <f t="shared" si="8"/>
        <v>216334.48145651669</v>
      </c>
      <c r="AU16" s="25">
        <f t="shared" si="8"/>
        <v>229314.55034390767</v>
      </c>
      <c r="AV16" s="25">
        <f t="shared" si="8"/>
        <v>243073.42336454216</v>
      </c>
      <c r="AW16" s="25">
        <f t="shared" si="8"/>
        <v>257657.82876641469</v>
      </c>
      <c r="AX16" s="25">
        <f t="shared" si="8"/>
        <v>273117.29849239963</v>
      </c>
      <c r="AY16" s="25">
        <f t="shared" si="8"/>
        <v>289504.33640194358</v>
      </c>
      <c r="AZ16" s="25">
        <f t="shared" si="8"/>
        <v>306874.59658606024</v>
      </c>
      <c r="BA16" s="25">
        <f t="shared" si="8"/>
        <v>325287.07238122384</v>
      </c>
      <c r="BB16" s="25">
        <f t="shared" si="8"/>
        <v>344804.29672409728</v>
      </c>
      <c r="BC16" s="25">
        <f t="shared" si="8"/>
        <v>365492.55452754319</v>
      </c>
      <c r="BD16" s="25">
        <f t="shared" si="8"/>
        <v>372802.40561809402</v>
      </c>
      <c r="BE16" s="25">
        <f t="shared" si="8"/>
        <v>380258.45373045595</v>
      </c>
      <c r="BF16" s="25">
        <f t="shared" si="8"/>
        <v>387863.62280506507</v>
      </c>
      <c r="BG16" s="25">
        <f t="shared" si="8"/>
        <v>395620.89526116638</v>
      </c>
    </row>
    <row r="17" spans="3:59" x14ac:dyDescent="0.2">
      <c r="C17" t="s">
        <v>20</v>
      </c>
      <c r="D17" s="6">
        <v>437</v>
      </c>
      <c r="E17" s="6">
        <v>430</v>
      </c>
      <c r="F17" s="6">
        <v>395</v>
      </c>
      <c r="G17" s="6">
        <f>1663-SUM(D17:F17)</f>
        <v>401</v>
      </c>
      <c r="H17" s="6">
        <v>397</v>
      </c>
      <c r="I17" s="6">
        <v>410</v>
      </c>
      <c r="J17" s="6">
        <v>422</v>
      </c>
      <c r="K17" s="6">
        <f>1660-SUM(H17:J17)</f>
        <v>431</v>
      </c>
      <c r="L17" s="6">
        <v>433</v>
      </c>
      <c r="M17" s="6">
        <v>467</v>
      </c>
      <c r="N17" s="6">
        <v>516</v>
      </c>
      <c r="O17" s="6">
        <f>2092-SUM(L17:N17)</f>
        <v>676</v>
      </c>
      <c r="P17" s="6">
        <v>754</v>
      </c>
      <c r="Q17" s="6">
        <v>828</v>
      </c>
      <c r="R17" s="6">
        <v>834</v>
      </c>
      <c r="S17" s="6">
        <f>3246-SUM(P17:R17)</f>
        <v>830</v>
      </c>
      <c r="T17" s="6">
        <f>844+7086</f>
        <v>7930</v>
      </c>
      <c r="U17" s="6"/>
      <c r="V17" s="6"/>
      <c r="W17" s="6"/>
      <c r="Y17" s="23">
        <f t="shared" ref="Y17" si="9">SUM(D17:G17)</f>
        <v>1663</v>
      </c>
      <c r="Z17" s="23">
        <f t="shared" ref="Z17" si="10">SUM(E17:H17)</f>
        <v>1623</v>
      </c>
      <c r="AA17" s="23">
        <f t="shared" ref="AA17" si="11">SUM(F17:I17)</f>
        <v>1603</v>
      </c>
      <c r="AB17" s="23">
        <f t="shared" ref="AB17" si="12">SUM(G17:J17)</f>
        <v>1630</v>
      </c>
      <c r="AC17" s="24">
        <f>AC16*0.06</f>
        <v>2267.637444</v>
      </c>
      <c r="AD17" s="24">
        <f t="shared" ref="AD17:BG17" si="13">AD16*0.06</f>
        <v>2562.4303117199993</v>
      </c>
      <c r="AE17" s="24">
        <f t="shared" si="13"/>
        <v>2895.5462522435987</v>
      </c>
      <c r="AF17" s="24">
        <f t="shared" si="13"/>
        <v>3271.9672650352663</v>
      </c>
      <c r="AG17" s="24">
        <f t="shared" si="13"/>
        <v>3697.3230094898508</v>
      </c>
      <c r="AH17" s="24">
        <f t="shared" si="13"/>
        <v>4177.9750007235316</v>
      </c>
      <c r="AI17" s="24">
        <f t="shared" si="13"/>
        <v>4721.1117508175885</v>
      </c>
      <c r="AJ17" s="24">
        <f t="shared" si="13"/>
        <v>5193.2229258993484</v>
      </c>
      <c r="AK17" s="24">
        <f t="shared" si="13"/>
        <v>5712.5452184892838</v>
      </c>
      <c r="AL17" s="24">
        <f t="shared" si="13"/>
        <v>6283.7997403382133</v>
      </c>
      <c r="AM17" s="24">
        <f t="shared" si="13"/>
        <v>6912.1797143720351</v>
      </c>
      <c r="AN17" s="24">
        <f t="shared" si="13"/>
        <v>7603.3976858092392</v>
      </c>
      <c r="AO17" s="24">
        <f t="shared" si="13"/>
        <v>8363.7374543901642</v>
      </c>
      <c r="AP17" s="24">
        <f t="shared" si="13"/>
        <v>9200.1111998291799</v>
      </c>
      <c r="AQ17" s="24">
        <f t="shared" si="13"/>
        <v>10120.122319812099</v>
      </c>
      <c r="AR17" s="24">
        <f t="shared" si="13"/>
        <v>11132.13455179331</v>
      </c>
      <c r="AS17" s="24">
        <f t="shared" si="13"/>
        <v>12245.348006972641</v>
      </c>
      <c r="AT17" s="24">
        <f t="shared" si="13"/>
        <v>12980.068887391</v>
      </c>
      <c r="AU17" s="24">
        <f t="shared" si="13"/>
        <v>13758.873020634459</v>
      </c>
      <c r="AV17" s="24">
        <f t="shared" si="13"/>
        <v>14584.405401872529</v>
      </c>
      <c r="AW17" s="24">
        <f t="shared" si="13"/>
        <v>15459.469725984882</v>
      </c>
      <c r="AX17" s="24">
        <f t="shared" si="13"/>
        <v>16387.037909543978</v>
      </c>
      <c r="AY17" s="24">
        <f t="shared" si="13"/>
        <v>17370.260184116614</v>
      </c>
      <c r="AZ17" s="24">
        <f t="shared" si="13"/>
        <v>18412.475795163613</v>
      </c>
      <c r="BA17" s="24">
        <f t="shared" si="13"/>
        <v>19517.224342873429</v>
      </c>
      <c r="BB17" s="24">
        <f t="shared" si="13"/>
        <v>20688.257803445835</v>
      </c>
      <c r="BC17" s="24">
        <f t="shared" si="13"/>
        <v>21929.553271652592</v>
      </c>
      <c r="BD17" s="24">
        <f t="shared" si="13"/>
        <v>22368.14433708564</v>
      </c>
      <c r="BE17" s="24">
        <f t="shared" si="13"/>
        <v>22815.507223827357</v>
      </c>
      <c r="BF17" s="24">
        <f t="shared" si="13"/>
        <v>23271.817368303902</v>
      </c>
      <c r="BG17" s="24">
        <f t="shared" si="13"/>
        <v>23737.253715669984</v>
      </c>
    </row>
    <row r="18" spans="3:59" x14ac:dyDescent="0.2">
      <c r="C18" t="s">
        <v>21</v>
      </c>
      <c r="D18" s="6">
        <f>D16-D17</f>
        <v>4559</v>
      </c>
      <c r="E18" s="6">
        <f t="shared" ref="E18:W18" si="14">E16-E17</f>
        <v>8811</v>
      </c>
      <c r="F18" s="6">
        <f t="shared" si="14"/>
        <v>4256</v>
      </c>
      <c r="G18" s="6">
        <f t="shared" si="14"/>
        <v>3116</v>
      </c>
      <c r="H18" s="6">
        <f t="shared" si="14"/>
        <v>6342</v>
      </c>
      <c r="I18" s="6">
        <f t="shared" si="14"/>
        <v>5568</v>
      </c>
      <c r="J18" s="6">
        <f t="shared" si="14"/>
        <v>5290</v>
      </c>
      <c r="K18" s="6">
        <f t="shared" si="14"/>
        <v>5110</v>
      </c>
      <c r="L18" s="6">
        <f t="shared" si="14"/>
        <v>6517</v>
      </c>
      <c r="M18" s="6">
        <f t="shared" si="14"/>
        <v>6665</v>
      </c>
      <c r="N18" s="6">
        <f t="shared" si="14"/>
        <v>6946</v>
      </c>
      <c r="O18" s="6">
        <f t="shared" si="14"/>
        <v>6215</v>
      </c>
      <c r="P18" s="6">
        <f t="shared" si="14"/>
        <v>7332</v>
      </c>
      <c r="Q18" s="6">
        <f t="shared" si="14"/>
        <v>7229</v>
      </c>
      <c r="R18" s="6">
        <f t="shared" si="14"/>
        <v>7692</v>
      </c>
      <c r="S18" s="6">
        <f t="shared" si="14"/>
        <v>6859</v>
      </c>
      <c r="T18" s="6">
        <f>T16-T17</f>
        <v>1</v>
      </c>
      <c r="U18" s="6">
        <f t="shared" si="14"/>
        <v>0</v>
      </c>
      <c r="V18" s="6">
        <f t="shared" si="14"/>
        <v>0</v>
      </c>
      <c r="W18" s="6">
        <f t="shared" si="14"/>
        <v>0</v>
      </c>
      <c r="Y18" s="6">
        <f t="shared" ref="Y18" si="15">Y16-Y17</f>
        <v>20742</v>
      </c>
      <c r="Z18" s="6">
        <f t="shared" ref="Z18" si="16">Z16-Z17</f>
        <v>22347</v>
      </c>
      <c r="AA18" s="6">
        <f t="shared" ref="AA18" si="17">AA16-AA17</f>
        <v>26832</v>
      </c>
      <c r="AB18" s="6">
        <f t="shared" ref="AB18" si="18">AB16-AB17</f>
        <v>30728</v>
      </c>
      <c r="AC18" s="24">
        <f>AC16-AC17</f>
        <v>35526.319955999999</v>
      </c>
      <c r="AD18" s="24">
        <f t="shared" ref="AD18:BG18" si="19">AD16-AD17</f>
        <v>40144.741550279992</v>
      </c>
      <c r="AE18" s="24">
        <f t="shared" si="19"/>
        <v>45363.55795181638</v>
      </c>
      <c r="AF18" s="24">
        <f t="shared" si="19"/>
        <v>51260.820485552511</v>
      </c>
      <c r="AG18" s="24">
        <f t="shared" si="19"/>
        <v>57924.727148674327</v>
      </c>
      <c r="AH18" s="24">
        <f t="shared" si="19"/>
        <v>65454.941678001989</v>
      </c>
      <c r="AI18" s="24">
        <f t="shared" si="19"/>
        <v>73964.084096142236</v>
      </c>
      <c r="AJ18" s="24">
        <f t="shared" si="19"/>
        <v>81360.492505756469</v>
      </c>
      <c r="AK18" s="24">
        <f t="shared" si="19"/>
        <v>89496.541756332124</v>
      </c>
      <c r="AL18" s="24">
        <f t="shared" si="19"/>
        <v>98446.19593196534</v>
      </c>
      <c r="AM18" s="24">
        <f t="shared" si="19"/>
        <v>108290.81552516189</v>
      </c>
      <c r="AN18" s="24">
        <f t="shared" si="19"/>
        <v>119119.89707767809</v>
      </c>
      <c r="AO18" s="24">
        <f t="shared" si="19"/>
        <v>131031.88678544589</v>
      </c>
      <c r="AP18" s="24">
        <f t="shared" si="19"/>
        <v>144135.07546399051</v>
      </c>
      <c r="AQ18" s="24">
        <f t="shared" si="19"/>
        <v>158548.58301038956</v>
      </c>
      <c r="AR18" s="24">
        <f t="shared" si="19"/>
        <v>174403.44131142853</v>
      </c>
      <c r="AS18" s="24">
        <f t="shared" si="19"/>
        <v>191843.78544257139</v>
      </c>
      <c r="AT18" s="24">
        <f t="shared" si="19"/>
        <v>203354.41256912568</v>
      </c>
      <c r="AU18" s="24">
        <f t="shared" si="19"/>
        <v>215555.67732327321</v>
      </c>
      <c r="AV18" s="24">
        <f t="shared" si="19"/>
        <v>228489.01796266963</v>
      </c>
      <c r="AW18" s="24">
        <f t="shared" si="19"/>
        <v>242198.35904042982</v>
      </c>
      <c r="AX18" s="24">
        <f t="shared" si="19"/>
        <v>256730.26058285564</v>
      </c>
      <c r="AY18" s="24">
        <f t="shared" si="19"/>
        <v>272134.07621782698</v>
      </c>
      <c r="AZ18" s="24">
        <f t="shared" si="19"/>
        <v>288462.12079089665</v>
      </c>
      <c r="BA18" s="24">
        <f t="shared" si="19"/>
        <v>305769.84803835041</v>
      </c>
      <c r="BB18" s="24">
        <f t="shared" si="19"/>
        <v>324116.03892065142</v>
      </c>
      <c r="BC18" s="24">
        <f t="shared" si="19"/>
        <v>343563.00125589059</v>
      </c>
      <c r="BD18" s="24">
        <f t="shared" si="19"/>
        <v>350434.26128100837</v>
      </c>
      <c r="BE18" s="24">
        <f t="shared" si="19"/>
        <v>357442.94650662859</v>
      </c>
      <c r="BF18" s="24">
        <f t="shared" si="19"/>
        <v>364591.80543676118</v>
      </c>
      <c r="BG18" s="24">
        <f t="shared" si="19"/>
        <v>371883.64154549642</v>
      </c>
    </row>
    <row r="19" spans="3:59" x14ac:dyDescent="0.2">
      <c r="C19" t="s">
        <v>22</v>
      </c>
      <c r="D19" s="6">
        <v>1094</v>
      </c>
      <c r="E19" s="6">
        <v>2115</v>
      </c>
      <c r="F19" s="6">
        <v>1000</v>
      </c>
      <c r="G19" s="6">
        <f>4973-SUM(D19:F19)</f>
        <v>764</v>
      </c>
      <c r="H19" s="6">
        <v>1364</v>
      </c>
      <c r="I19" s="6">
        <v>1196</v>
      </c>
      <c r="J19" s="6">
        <v>1099</v>
      </c>
      <c r="K19" s="6">
        <f>4578-SUM(H19:J19)</f>
        <v>919</v>
      </c>
      <c r="L19" s="6">
        <v>1369</v>
      </c>
      <c r="M19" s="6">
        <v>1466</v>
      </c>
      <c r="N19" s="6">
        <v>1562</v>
      </c>
      <c r="O19" s="6">
        <f>5704-SUM(L19:N19)</f>
        <v>1307</v>
      </c>
      <c r="P19" s="6">
        <v>1558</v>
      </c>
      <c r="Q19" s="6">
        <v>1572</v>
      </c>
      <c r="R19" s="6">
        <v>1654</v>
      </c>
      <c r="S19" s="6">
        <f>5968-SUM(P19:R19)</f>
        <v>1184</v>
      </c>
      <c r="T19" s="6">
        <v>1222</v>
      </c>
      <c r="U19" s="6"/>
      <c r="V19" s="6"/>
      <c r="W19" s="6"/>
      <c r="Y19" s="6">
        <f>Y18*0.22</f>
        <v>4563.24</v>
      </c>
      <c r="Z19" s="6">
        <f t="shared" ref="Z19:AB19" si="20">Z18*0.22</f>
        <v>4916.34</v>
      </c>
      <c r="AA19" s="6">
        <f t="shared" si="20"/>
        <v>5903.04</v>
      </c>
      <c r="AB19" s="6">
        <f t="shared" si="20"/>
        <v>6760.16</v>
      </c>
      <c r="AC19" s="24">
        <f>AC18*0.22</f>
        <v>7815.7903903199995</v>
      </c>
      <c r="AD19" s="24">
        <f t="shared" ref="AD19:BG19" si="21">AD18*0.22</f>
        <v>8831.8431410615976</v>
      </c>
      <c r="AE19" s="24">
        <f t="shared" si="21"/>
        <v>9979.9827493996036</v>
      </c>
      <c r="AF19" s="24">
        <f t="shared" si="21"/>
        <v>11277.380506821553</v>
      </c>
      <c r="AG19" s="24">
        <f t="shared" si="21"/>
        <v>12743.439972708353</v>
      </c>
      <c r="AH19" s="24">
        <f t="shared" si="21"/>
        <v>14400.087169160437</v>
      </c>
      <c r="AI19" s="24">
        <f t="shared" si="21"/>
        <v>16272.098501151291</v>
      </c>
      <c r="AJ19" s="24">
        <f t="shared" si="21"/>
        <v>17899.308351266423</v>
      </c>
      <c r="AK19" s="24">
        <f t="shared" si="21"/>
        <v>19689.239186393068</v>
      </c>
      <c r="AL19" s="24">
        <f t="shared" si="21"/>
        <v>21658.163105032374</v>
      </c>
      <c r="AM19" s="24">
        <f t="shared" si="21"/>
        <v>23823.979415535614</v>
      </c>
      <c r="AN19" s="24">
        <f t="shared" si="21"/>
        <v>26206.377357089179</v>
      </c>
      <c r="AO19" s="24">
        <f t="shared" si="21"/>
        <v>28827.015092798098</v>
      </c>
      <c r="AP19" s="24">
        <f t="shared" si="21"/>
        <v>31709.716602077911</v>
      </c>
      <c r="AQ19" s="24">
        <f t="shared" si="21"/>
        <v>34880.688262285701</v>
      </c>
      <c r="AR19" s="24">
        <f t="shared" si="21"/>
        <v>38368.757088514278</v>
      </c>
      <c r="AS19" s="24">
        <f t="shared" si="21"/>
        <v>42205.632797365703</v>
      </c>
      <c r="AT19" s="24">
        <f t="shared" si="21"/>
        <v>44737.970765207647</v>
      </c>
      <c r="AU19" s="24">
        <f t="shared" si="21"/>
        <v>47422.249011120104</v>
      </c>
      <c r="AV19" s="24">
        <f t="shared" si="21"/>
        <v>50267.583951787317</v>
      </c>
      <c r="AW19" s="24">
        <f t="shared" si="21"/>
        <v>53283.638988894563</v>
      </c>
      <c r="AX19" s="24">
        <f t="shared" si="21"/>
        <v>56480.657328228241</v>
      </c>
      <c r="AY19" s="24">
        <f t="shared" si="21"/>
        <v>59869.496767921933</v>
      </c>
      <c r="AZ19" s="24">
        <f t="shared" si="21"/>
        <v>63461.66657399726</v>
      </c>
      <c r="BA19" s="24">
        <f t="shared" si="21"/>
        <v>67269.366568437094</v>
      </c>
      <c r="BB19" s="24">
        <f t="shared" si="21"/>
        <v>71305.528562543317</v>
      </c>
      <c r="BC19" s="24">
        <f t="shared" si="21"/>
        <v>75583.860276295934</v>
      </c>
      <c r="BD19" s="24">
        <f t="shared" si="21"/>
        <v>77095.537481821841</v>
      </c>
      <c r="BE19" s="24">
        <f t="shared" si="21"/>
        <v>78637.448231458286</v>
      </c>
      <c r="BF19" s="24">
        <f t="shared" si="21"/>
        <v>80210.197196087465</v>
      </c>
      <c r="BG19" s="24">
        <f t="shared" si="21"/>
        <v>81814.401140009213</v>
      </c>
    </row>
    <row r="20" spans="3:59" x14ac:dyDescent="0.2">
      <c r="C20" t="s">
        <v>55</v>
      </c>
      <c r="D20" s="6">
        <v>83</v>
      </c>
      <c r="E20" s="6">
        <v>59</v>
      </c>
      <c r="F20" s="6">
        <v>84</v>
      </c>
      <c r="G20" s="6">
        <f>366-SUM(D20:F20)</f>
        <v>140</v>
      </c>
      <c r="H20" s="6">
        <v>116</v>
      </c>
      <c r="I20" s="6">
        <v>106</v>
      </c>
      <c r="J20" s="6">
        <v>105</v>
      </c>
      <c r="K20" s="6">
        <f>447-SUM(H20:J20)</f>
        <v>120</v>
      </c>
      <c r="L20" s="6">
        <v>121</v>
      </c>
      <c r="M20" s="6">
        <v>129</v>
      </c>
      <c r="N20" s="6">
        <v>122</v>
      </c>
      <c r="O20" s="6">
        <f>519-SUM(L20:N20)</f>
        <v>147</v>
      </c>
      <c r="P20" s="6">
        <v>163</v>
      </c>
      <c r="Q20" s="6">
        <v>183</v>
      </c>
      <c r="R20" s="6">
        <v>197</v>
      </c>
      <c r="S20" s="6">
        <f>763-SUM(P20:R20)</f>
        <v>220</v>
      </c>
      <c r="T20" s="6">
        <v>188</v>
      </c>
      <c r="U20" s="6"/>
      <c r="V20" s="6"/>
      <c r="W20" s="6"/>
      <c r="Y20" s="23">
        <f t="shared" ref="Y20:AB20" si="22">SUM(D20:G20)</f>
        <v>366</v>
      </c>
      <c r="Z20" s="23">
        <f t="shared" si="22"/>
        <v>399</v>
      </c>
      <c r="AA20" s="23">
        <f t="shared" si="22"/>
        <v>446</v>
      </c>
      <c r="AB20" s="23">
        <f t="shared" si="22"/>
        <v>467</v>
      </c>
      <c r="AC20" s="24">
        <f>AC18*0.02</f>
        <v>710.52639911999995</v>
      </c>
      <c r="AD20" s="24">
        <f t="shared" ref="AD20:BG20" si="23">AD18*0.02</f>
        <v>802.89483100559983</v>
      </c>
      <c r="AE20" s="24">
        <f t="shared" si="23"/>
        <v>907.27115903632762</v>
      </c>
      <c r="AF20" s="24">
        <f t="shared" si="23"/>
        <v>1025.2164097110503</v>
      </c>
      <c r="AG20" s="24">
        <f t="shared" si="23"/>
        <v>1158.4945429734867</v>
      </c>
      <c r="AH20" s="24">
        <f t="shared" si="23"/>
        <v>1309.0988335600398</v>
      </c>
      <c r="AI20" s="24">
        <f t="shared" si="23"/>
        <v>1479.2816819228447</v>
      </c>
      <c r="AJ20" s="24">
        <f t="shared" si="23"/>
        <v>1627.2098501151295</v>
      </c>
      <c r="AK20" s="24">
        <f t="shared" si="23"/>
        <v>1789.9308351266425</v>
      </c>
      <c r="AL20" s="24">
        <f t="shared" si="23"/>
        <v>1968.9239186393067</v>
      </c>
      <c r="AM20" s="24">
        <f t="shared" si="23"/>
        <v>2165.8163105032377</v>
      </c>
      <c r="AN20" s="24">
        <f t="shared" si="23"/>
        <v>2382.3979415535619</v>
      </c>
      <c r="AO20" s="24">
        <f t="shared" si="23"/>
        <v>2620.6377357089182</v>
      </c>
      <c r="AP20" s="24">
        <f t="shared" si="23"/>
        <v>2882.7015092798101</v>
      </c>
      <c r="AQ20" s="24">
        <f t="shared" si="23"/>
        <v>3170.971660207791</v>
      </c>
      <c r="AR20" s="24">
        <f t="shared" si="23"/>
        <v>3488.0688262285707</v>
      </c>
      <c r="AS20" s="24">
        <f t="shared" si="23"/>
        <v>3836.875708851428</v>
      </c>
      <c r="AT20" s="24">
        <f t="shared" si="23"/>
        <v>4067.0882513825136</v>
      </c>
      <c r="AU20" s="24">
        <f t="shared" si="23"/>
        <v>4311.1135464654644</v>
      </c>
      <c r="AV20" s="24">
        <f t="shared" si="23"/>
        <v>4569.7803592533928</v>
      </c>
      <c r="AW20" s="24">
        <f t="shared" si="23"/>
        <v>4843.9671808085968</v>
      </c>
      <c r="AX20" s="24">
        <f t="shared" si="23"/>
        <v>5134.6052116571127</v>
      </c>
      <c r="AY20" s="24">
        <f t="shared" si="23"/>
        <v>5442.6815243565397</v>
      </c>
      <c r="AZ20" s="24">
        <f t="shared" si="23"/>
        <v>5769.2424158179329</v>
      </c>
      <c r="BA20" s="24">
        <f t="shared" si="23"/>
        <v>6115.3969607670078</v>
      </c>
      <c r="BB20" s="24">
        <f t="shared" si="23"/>
        <v>6482.3207784130282</v>
      </c>
      <c r="BC20" s="24">
        <f t="shared" si="23"/>
        <v>6871.2600251178119</v>
      </c>
      <c r="BD20" s="24">
        <f t="shared" si="23"/>
        <v>7008.6852256201673</v>
      </c>
      <c r="BE20" s="24">
        <f t="shared" si="23"/>
        <v>7148.8589301325719</v>
      </c>
      <c r="BF20" s="24">
        <f t="shared" si="23"/>
        <v>7291.8361087352241</v>
      </c>
      <c r="BG20" s="24">
        <f t="shared" si="23"/>
        <v>7437.6728309099281</v>
      </c>
    </row>
    <row r="21" spans="3:59" x14ac:dyDescent="0.2">
      <c r="C21" s="5" t="s">
        <v>23</v>
      </c>
      <c r="D21" s="9">
        <f t="shared" ref="D21:S21" si="24">D18-SUM(D19:D20)</f>
        <v>3382</v>
      </c>
      <c r="E21" s="9">
        <f t="shared" si="24"/>
        <v>6637</v>
      </c>
      <c r="F21" s="9">
        <f t="shared" si="24"/>
        <v>3172</v>
      </c>
      <c r="G21" s="9">
        <f t="shared" si="24"/>
        <v>2212</v>
      </c>
      <c r="H21" s="9">
        <f t="shared" si="24"/>
        <v>4862</v>
      </c>
      <c r="I21" s="9">
        <f t="shared" si="24"/>
        <v>4266</v>
      </c>
      <c r="J21" s="9">
        <f t="shared" si="24"/>
        <v>4086</v>
      </c>
      <c r="K21" s="9">
        <f t="shared" si="24"/>
        <v>4071</v>
      </c>
      <c r="L21" s="9">
        <f t="shared" si="24"/>
        <v>5027</v>
      </c>
      <c r="M21" s="9">
        <f t="shared" si="24"/>
        <v>5070</v>
      </c>
      <c r="N21" s="9">
        <f t="shared" si="24"/>
        <v>5262</v>
      </c>
      <c r="O21" s="9">
        <f t="shared" si="24"/>
        <v>4761</v>
      </c>
      <c r="P21" s="9">
        <f t="shared" si="24"/>
        <v>5611</v>
      </c>
      <c r="Q21" s="9">
        <f t="shared" si="24"/>
        <v>5474</v>
      </c>
      <c r="R21" s="9">
        <f t="shared" si="24"/>
        <v>5841</v>
      </c>
      <c r="S21" s="9">
        <f t="shared" si="24"/>
        <v>5455</v>
      </c>
      <c r="T21" s="9">
        <f>T18-SUM(T19:T20)</f>
        <v>-1409</v>
      </c>
      <c r="U21" s="9">
        <f t="shared" ref="U21:W21" si="25">U18-SUM(U19:U20)</f>
        <v>0</v>
      </c>
      <c r="V21" s="9">
        <f t="shared" si="25"/>
        <v>0</v>
      </c>
      <c r="W21" s="9">
        <f t="shared" si="25"/>
        <v>0</v>
      </c>
      <c r="Y21" s="9">
        <f t="shared" ref="Y21" si="26">Y18-SUM(Y19:Y20)</f>
        <v>15812.76</v>
      </c>
      <c r="Z21" s="9">
        <f t="shared" ref="Z21" si="27">Z18-SUM(Z19:Z20)</f>
        <v>17031.66</v>
      </c>
      <c r="AA21" s="9">
        <f t="shared" ref="AA21" si="28">AA18-SUM(AA19:AA20)</f>
        <v>20482.96</v>
      </c>
      <c r="AB21" s="9">
        <f t="shared" ref="AB21" si="29">AB18-SUM(AB19:AB20)</f>
        <v>23500.84</v>
      </c>
      <c r="AC21" s="25">
        <f t="shared" ref="AC21" si="30">AC18-SUM(AC19:AC20)</f>
        <v>27000.00316656</v>
      </c>
      <c r="AD21" s="25">
        <f t="shared" ref="AD21" si="31">AD18-SUM(AD19:AD20)</f>
        <v>30510.003578212796</v>
      </c>
      <c r="AE21" s="25">
        <f t="shared" ref="AE21" si="32">AE18-SUM(AE19:AE20)</f>
        <v>34476.304043380449</v>
      </c>
      <c r="AF21" s="25">
        <f t="shared" ref="AF21" si="33">AF18-SUM(AF19:AF20)</f>
        <v>38958.223569019909</v>
      </c>
      <c r="AG21" s="25">
        <f t="shared" ref="AG21" si="34">AG18-SUM(AG19:AG20)</f>
        <v>44022.792632992489</v>
      </c>
      <c r="AH21" s="25">
        <f t="shared" ref="AH21" si="35">AH18-SUM(AH19:AH20)</f>
        <v>49745.755675281514</v>
      </c>
      <c r="AI21" s="25">
        <f t="shared" ref="AI21" si="36">AI18-SUM(AI19:AI20)</f>
        <v>56212.703913068101</v>
      </c>
      <c r="AJ21" s="25">
        <f t="shared" ref="AJ21" si="37">AJ18-SUM(AJ19:AJ20)</f>
        <v>61833.974304374919</v>
      </c>
      <c r="AK21" s="25">
        <f t="shared" ref="AK21" si="38">AK18-SUM(AK19:AK20)</f>
        <v>68017.371734812419</v>
      </c>
      <c r="AL21" s="25">
        <f t="shared" ref="AL21" si="39">AL18-SUM(AL19:AL20)</f>
        <v>74819.108908293652</v>
      </c>
      <c r="AM21" s="25">
        <f t="shared" ref="AM21" si="40">AM18-SUM(AM19:AM20)</f>
        <v>82301.019799123038</v>
      </c>
      <c r="AN21" s="25">
        <f t="shared" ref="AN21" si="41">AN18-SUM(AN19:AN20)</f>
        <v>90531.121779035355</v>
      </c>
      <c r="AO21" s="25">
        <f t="shared" ref="AO21" si="42">AO18-SUM(AO19:AO20)</f>
        <v>99584.233956938871</v>
      </c>
      <c r="AP21" s="25">
        <f t="shared" ref="AP21" si="43">AP18-SUM(AP19:AP20)</f>
        <v>109542.65735263278</v>
      </c>
      <c r="AQ21" s="25">
        <f t="shared" ref="AQ21" si="44">AQ18-SUM(AQ19:AQ20)</f>
        <v>120496.92308789607</v>
      </c>
      <c r="AR21" s="25">
        <f t="shared" ref="AR21" si="45">AR18-SUM(AR19:AR20)</f>
        <v>132546.61539668567</v>
      </c>
      <c r="AS21" s="25">
        <f t="shared" ref="AS21" si="46">AS18-SUM(AS19:AS20)</f>
        <v>145801.27693635426</v>
      </c>
      <c r="AT21" s="25">
        <f t="shared" ref="AT21" si="47">AT18-SUM(AT19:AT20)</f>
        <v>154549.35355253553</v>
      </c>
      <c r="AU21" s="25">
        <f t="shared" ref="AU21" si="48">AU18-SUM(AU19:AU20)</f>
        <v>163822.31476568762</v>
      </c>
      <c r="AV21" s="25">
        <f t="shared" ref="AV21" si="49">AV18-SUM(AV19:AV20)</f>
        <v>173651.65365162893</v>
      </c>
      <c r="AW21" s="25">
        <f t="shared" ref="AW21" si="50">AW18-SUM(AW19:AW20)</f>
        <v>184070.75287072666</v>
      </c>
      <c r="AX21" s="25">
        <f t="shared" ref="AX21" si="51">AX18-SUM(AX19:AX20)</f>
        <v>195114.99804297028</v>
      </c>
      <c r="AY21" s="25">
        <f t="shared" ref="AY21" si="52">AY18-SUM(AY19:AY20)</f>
        <v>206821.89792554849</v>
      </c>
      <c r="AZ21" s="25">
        <f t="shared" ref="AZ21" si="53">AZ18-SUM(AZ19:AZ20)</f>
        <v>219231.21180108146</v>
      </c>
      <c r="BA21" s="25">
        <f t="shared" ref="BA21" si="54">BA18-SUM(BA19:BA20)</f>
        <v>232385.08450914631</v>
      </c>
      <c r="BB21" s="25">
        <f t="shared" ref="BB21" si="55">BB18-SUM(BB19:BB20)</f>
        <v>246328.18957969508</v>
      </c>
      <c r="BC21" s="25">
        <f t="shared" ref="BC21" si="56">BC18-SUM(BC19:BC20)</f>
        <v>261107.88095447683</v>
      </c>
      <c r="BD21" s="25">
        <f t="shared" ref="BD21" si="57">BD18-SUM(BD19:BD20)</f>
        <v>266330.03857356636</v>
      </c>
      <c r="BE21" s="25">
        <f t="shared" ref="BE21" si="58">BE18-SUM(BE19:BE20)</f>
        <v>271656.63934503775</v>
      </c>
      <c r="BF21" s="25">
        <f t="shared" ref="BF21" si="59">BF18-SUM(BF19:BF20)</f>
        <v>277089.77213193849</v>
      </c>
      <c r="BG21" s="25">
        <f t="shared" ref="BG21" si="60">BG18-SUM(BG19:BG20)</f>
        <v>282631.56757457729</v>
      </c>
    </row>
    <row r="22" spans="3:59" x14ac:dyDescent="0.2"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</row>
    <row r="23" spans="3:59" x14ac:dyDescent="0.2">
      <c r="C23" t="s">
        <v>24</v>
      </c>
      <c r="D23" s="10">
        <f>D21/D24</f>
        <v>3.5637513171759747</v>
      </c>
      <c r="E23" s="10">
        <f t="shared" ref="E23:W23" si="61">E21/E24</f>
        <v>6.9936775553213906</v>
      </c>
      <c r="F23" s="10">
        <f t="shared" si="61"/>
        <v>3.3389473684210524</v>
      </c>
      <c r="G23" s="10">
        <f t="shared" si="61"/>
        <v>2.3308746048472075</v>
      </c>
      <c r="H23" s="10">
        <f t="shared" si="61"/>
        <v>5.1449735449735448</v>
      </c>
      <c r="I23" s="10">
        <f t="shared" si="61"/>
        <v>4.5190677966101696</v>
      </c>
      <c r="J23" s="10">
        <f t="shared" si="61"/>
        <v>4.3329798515376456</v>
      </c>
      <c r="K23" s="10">
        <f t="shared" si="61"/>
        <v>4.3170731707317076</v>
      </c>
      <c r="L23" s="10">
        <f t="shared" si="61"/>
        <v>5.342189160467588</v>
      </c>
      <c r="M23" s="10">
        <f t="shared" si="61"/>
        <v>5.4108858057630735</v>
      </c>
      <c r="N23" s="10">
        <f t="shared" si="61"/>
        <v>5.5506329113924053</v>
      </c>
      <c r="O23" s="10">
        <f t="shared" si="61"/>
        <v>5.0811099252934895</v>
      </c>
      <c r="P23" s="10">
        <f t="shared" si="61"/>
        <v>6.013933547695606</v>
      </c>
      <c r="Q23" s="10">
        <f t="shared" si="61"/>
        <v>5.8860215053763438</v>
      </c>
      <c r="R23" s="10">
        <f t="shared" si="61"/>
        <v>6.240384615384615</v>
      </c>
      <c r="S23" s="10">
        <f t="shared" si="61"/>
        <v>5.8782327586206895</v>
      </c>
      <c r="T23" s="10">
        <f t="shared" si="61"/>
        <v>-1.5281995661605206</v>
      </c>
      <c r="U23" s="10" t="e">
        <f t="shared" si="61"/>
        <v>#DIV/0!</v>
      </c>
      <c r="V23" s="10" t="e">
        <f t="shared" si="61"/>
        <v>#DIV/0!</v>
      </c>
      <c r="W23" s="10" t="e">
        <f t="shared" si="61"/>
        <v>#DIV/0!</v>
      </c>
      <c r="Y23" s="10">
        <f t="shared" ref="Y23" si="62">Y21/Y24</f>
        <v>16.658161706610482</v>
      </c>
      <c r="Z23" s="10">
        <f t="shared" ref="Z23" si="63">Z21/Z24</f>
        <v>18.046792052980134</v>
      </c>
      <c r="AA23" s="10">
        <f t="shared" ref="AA23" si="64">AA21/AA24</f>
        <v>21.773010895562052</v>
      </c>
      <c r="AB23" s="10">
        <f>AB21/AB24</f>
        <v>25.222259189696807</v>
      </c>
      <c r="AC23" s="26">
        <f t="shared" ref="AC23:BG23" si="65">AC21/AC24</f>
        <v>29.158516277237627</v>
      </c>
      <c r="AD23" s="26">
        <f t="shared" si="65"/>
        <v>33.154682424309229</v>
      </c>
      <c r="AE23" s="26">
        <f t="shared" si="65"/>
        <v>37.698521975718876</v>
      </c>
      <c r="AF23" s="26">
        <f t="shared" si="65"/>
        <v>42.865093411714959</v>
      </c>
      <c r="AG23" s="26">
        <f t="shared" si="65"/>
        <v>48.739741955361133</v>
      </c>
      <c r="AH23" s="26">
        <f t="shared" si="65"/>
        <v>55.419509367637438</v>
      </c>
      <c r="AI23" s="26">
        <f t="shared" si="65"/>
        <v>63.014736954548489</v>
      </c>
      <c r="AJ23" s="26">
        <f t="shared" si="65"/>
        <v>69.748652294227554</v>
      </c>
      <c r="AK23" s="26">
        <f t="shared" si="65"/>
        <v>77.202170983749568</v>
      </c>
      <c r="AL23" s="26">
        <f t="shared" si="65"/>
        <v>85.452191670481497</v>
      </c>
      <c r="AM23" s="26">
        <f t="shared" si="65"/>
        <v>94.583830587170127</v>
      </c>
      <c r="AN23" s="26">
        <f t="shared" si="65"/>
        <v>104.69129970405228</v>
      </c>
      <c r="AO23" s="26">
        <f t="shared" si="65"/>
        <v>115.87887872253721</v>
      </c>
      <c r="AP23" s="26">
        <f t="shared" si="65"/>
        <v>128.26199093861035</v>
      </c>
      <c r="AQ23" s="26">
        <f t="shared" si="65"/>
        <v>141.96839407574097</v>
      </c>
      <c r="AR23" s="26">
        <f t="shared" si="65"/>
        <v>157.13949837322909</v>
      </c>
      <c r="AS23" s="26">
        <f t="shared" si="65"/>
        <v>173.93182552883081</v>
      </c>
      <c r="AT23" s="26">
        <f t="shared" si="65"/>
        <v>185.51794632779297</v>
      </c>
      <c r="AU23" s="26">
        <f t="shared" si="65"/>
        <v>197.87585339853138</v>
      </c>
      <c r="AV23" s="26">
        <f t="shared" si="65"/>
        <v>211.05695774043403</v>
      </c>
      <c r="AW23" s="26">
        <f t="shared" si="65"/>
        <v>225.11609499382175</v>
      </c>
      <c r="AX23" s="26">
        <f t="shared" si="65"/>
        <v>240.11175356555754</v>
      </c>
      <c r="AY23" s="26">
        <f t="shared" si="65"/>
        <v>256.10631795078581</v>
      </c>
      <c r="AZ23" s="26">
        <f t="shared" si="65"/>
        <v>273.16632826306409</v>
      </c>
      <c r="BA23" s="26">
        <f t="shared" si="65"/>
        <v>291.36275705257384</v>
      </c>
      <c r="BB23" s="26">
        <f t="shared" si="65"/>
        <v>310.77130456402517</v>
      </c>
      <c r="BC23" s="26">
        <f t="shared" si="65"/>
        <v>331.47271366257468</v>
      </c>
      <c r="BD23" s="26">
        <f t="shared" si="65"/>
        <v>340.21147910628514</v>
      </c>
      <c r="BE23" s="26">
        <f t="shared" si="65"/>
        <v>349.1806285856419</v>
      </c>
      <c r="BF23" s="26">
        <f t="shared" si="65"/>
        <v>358.38623581943517</v>
      </c>
      <c r="BG23" s="26">
        <f t="shared" si="65"/>
        <v>367.83453465065804</v>
      </c>
    </row>
    <row r="24" spans="3:59" x14ac:dyDescent="0.2">
      <c r="C24" t="s">
        <v>25</v>
      </c>
      <c r="D24" s="11">
        <v>949</v>
      </c>
      <c r="E24" s="11">
        <v>949</v>
      </c>
      <c r="F24" s="11">
        <v>950</v>
      </c>
      <c r="G24" s="11">
        <v>949</v>
      </c>
      <c r="H24" s="11">
        <v>945</v>
      </c>
      <c r="I24" s="11">
        <v>944</v>
      </c>
      <c r="J24" s="11">
        <v>943</v>
      </c>
      <c r="K24" s="11">
        <v>943</v>
      </c>
      <c r="L24" s="11">
        <v>941</v>
      </c>
      <c r="M24" s="11">
        <v>937</v>
      </c>
      <c r="N24" s="11">
        <v>948</v>
      </c>
      <c r="O24" s="11">
        <v>937</v>
      </c>
      <c r="P24" s="11">
        <v>933</v>
      </c>
      <c r="Q24" s="11">
        <v>930</v>
      </c>
      <c r="R24" s="11">
        <v>936</v>
      </c>
      <c r="S24" s="11">
        <v>928</v>
      </c>
      <c r="T24" s="11">
        <v>922</v>
      </c>
      <c r="U24" s="11"/>
      <c r="V24" s="11"/>
      <c r="W24" s="11"/>
      <c r="Y24" s="11">
        <f>AVERAGE(D24:G24)</f>
        <v>949.25</v>
      </c>
      <c r="Z24" s="11">
        <f>AVERAGE(H24:K24)</f>
        <v>943.75</v>
      </c>
      <c r="AA24" s="11">
        <f>AVERAGE(L24:O24)</f>
        <v>940.75</v>
      </c>
      <c r="AB24" s="11">
        <f>AVERAGE(P24:S24)</f>
        <v>931.75</v>
      </c>
      <c r="AC24" s="27">
        <f>AB24*0.9938</f>
        <v>925.97315000000003</v>
      </c>
      <c r="AD24" s="27">
        <f t="shared" ref="AD24:BG24" si="66">AC24*0.9938</f>
        <v>920.23211647000005</v>
      </c>
      <c r="AE24" s="27">
        <f t="shared" si="66"/>
        <v>914.52667734788611</v>
      </c>
      <c r="AF24" s="27">
        <f t="shared" si="66"/>
        <v>908.85661194832926</v>
      </c>
      <c r="AG24" s="27">
        <f t="shared" si="66"/>
        <v>903.22170095424963</v>
      </c>
      <c r="AH24" s="27">
        <f t="shared" si="66"/>
        <v>897.6217264083333</v>
      </c>
      <c r="AI24" s="27">
        <f t="shared" si="66"/>
        <v>892.05647170460168</v>
      </c>
      <c r="AJ24" s="27">
        <f t="shared" si="66"/>
        <v>886.52572158003318</v>
      </c>
      <c r="AK24" s="27">
        <f t="shared" si="66"/>
        <v>881.02926210623696</v>
      </c>
      <c r="AL24" s="27">
        <f t="shared" si="66"/>
        <v>875.5668806811783</v>
      </c>
      <c r="AM24" s="27">
        <f t="shared" si="66"/>
        <v>870.138366020955</v>
      </c>
      <c r="AN24" s="27">
        <f t="shared" si="66"/>
        <v>864.74350815162506</v>
      </c>
      <c r="AO24" s="27">
        <f t="shared" si="66"/>
        <v>859.38209840108505</v>
      </c>
      <c r="AP24" s="27">
        <f t="shared" si="66"/>
        <v>854.05392939099829</v>
      </c>
      <c r="AQ24" s="27">
        <f t="shared" si="66"/>
        <v>848.7587950287741</v>
      </c>
      <c r="AR24" s="27">
        <f t="shared" si="66"/>
        <v>843.49649049959567</v>
      </c>
      <c r="AS24" s="27">
        <f t="shared" si="66"/>
        <v>838.26681225849813</v>
      </c>
      <c r="AT24" s="27">
        <f t="shared" si="66"/>
        <v>833.06955802249547</v>
      </c>
      <c r="AU24" s="27">
        <f t="shared" si="66"/>
        <v>827.90452676275606</v>
      </c>
      <c r="AV24" s="27">
        <f t="shared" si="66"/>
        <v>822.771518696827</v>
      </c>
      <c r="AW24" s="27">
        <f t="shared" si="66"/>
        <v>817.67033528090667</v>
      </c>
      <c r="AX24" s="27">
        <f t="shared" si="66"/>
        <v>812.60077920216509</v>
      </c>
      <c r="AY24" s="27">
        <f t="shared" si="66"/>
        <v>807.56265437111165</v>
      </c>
      <c r="AZ24" s="27">
        <f t="shared" si="66"/>
        <v>802.55576591401075</v>
      </c>
      <c r="BA24" s="27">
        <f t="shared" si="66"/>
        <v>797.57992016534388</v>
      </c>
      <c r="BB24" s="27">
        <f t="shared" si="66"/>
        <v>792.6349246603188</v>
      </c>
      <c r="BC24" s="27">
        <f t="shared" si="66"/>
        <v>787.72058812742489</v>
      </c>
      <c r="BD24" s="27">
        <f t="shared" si="66"/>
        <v>782.83672048103483</v>
      </c>
      <c r="BE24" s="27">
        <f t="shared" si="66"/>
        <v>777.9831328140524</v>
      </c>
      <c r="BF24" s="27">
        <f t="shared" si="66"/>
        <v>773.15963739060533</v>
      </c>
      <c r="BG24" s="27">
        <f t="shared" si="66"/>
        <v>768.36604763878358</v>
      </c>
    </row>
    <row r="25" spans="3:59" x14ac:dyDescent="0.2"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</row>
    <row r="26" spans="3:59" x14ac:dyDescent="0.2">
      <c r="C26" t="s">
        <v>46</v>
      </c>
      <c r="D26" s="14">
        <f>D16/D10</f>
        <v>7.7552350941463191E-2</v>
      </c>
      <c r="E26" s="14">
        <f t="shared" ref="E26:W26" si="67">E16/E10</f>
        <v>0.14871737101290675</v>
      </c>
      <c r="F26" s="14">
        <f t="shared" si="67"/>
        <v>7.1427474468248486E-2</v>
      </c>
      <c r="G26" s="14">
        <f t="shared" si="67"/>
        <v>5.3721722394488823E-2</v>
      </c>
      <c r="H26" s="14">
        <f t="shared" si="67"/>
        <v>9.600262123197903E-2</v>
      </c>
      <c r="I26" s="14">
        <f t="shared" si="67"/>
        <v>8.3818230254763676E-2</v>
      </c>
      <c r="J26" s="14">
        <f t="shared" si="67"/>
        <v>7.8963739165295768E-2</v>
      </c>
      <c r="K26" s="14">
        <f t="shared" si="67"/>
        <v>7.5139335258939829E-2</v>
      </c>
      <c r="L26" s="14">
        <f t="shared" si="67"/>
        <v>8.6713496113488622E-2</v>
      </c>
      <c r="M26" s="14">
        <f t="shared" si="67"/>
        <v>8.878155654035752E-2</v>
      </c>
      <c r="N26" s="14">
        <f t="shared" si="67"/>
        <v>9.2244171384775142E-2</v>
      </c>
      <c r="O26" s="14">
        <f t="shared" si="67"/>
        <v>8.3237706403179249E-2</v>
      </c>
      <c r="P26" s="14">
        <f t="shared" si="67"/>
        <v>8.7957272302052622E-2</v>
      </c>
      <c r="Q26" s="14">
        <f t="shared" si="67"/>
        <v>8.6724863567376728E-2</v>
      </c>
      <c r="R26" s="14">
        <f t="shared" si="67"/>
        <v>9.2311689999025559E-2</v>
      </c>
      <c r="S26" s="14">
        <f t="shared" si="67"/>
        <v>8.1427981403623964E-2</v>
      </c>
      <c r="T26" s="14">
        <f t="shared" si="67"/>
        <v>7.9472123131187622E-2</v>
      </c>
      <c r="U26" s="14" t="e">
        <f t="shared" si="67"/>
        <v>#DIV/0!</v>
      </c>
      <c r="V26" s="14" t="e">
        <f t="shared" si="67"/>
        <v>#DIV/0!</v>
      </c>
      <c r="W26" s="14" t="e">
        <f t="shared" si="67"/>
        <v>#DIV/0!</v>
      </c>
      <c r="Y26" s="14">
        <f t="shared" ref="Y26:AB26" si="68">Y16/Y10</f>
        <v>8.7131184836334932E-2</v>
      </c>
      <c r="Z26" s="14">
        <f t="shared" si="68"/>
        <v>8.3345792897700596E-2</v>
      </c>
      <c r="AA26" s="14">
        <f t="shared" si="68"/>
        <v>8.7718486435794454E-2</v>
      </c>
      <c r="AB26" s="14">
        <f t="shared" si="68"/>
        <v>8.7072347708155057E-2</v>
      </c>
      <c r="AC26" s="28">
        <f t="shared" ref="AC26:BG26" si="69">AC16/AC10</f>
        <v>0.09</v>
      </c>
      <c r="AD26" s="28">
        <f t="shared" si="69"/>
        <v>0.09</v>
      </c>
      <c r="AE26" s="28">
        <f t="shared" si="69"/>
        <v>0.09</v>
      </c>
      <c r="AF26" s="28">
        <f t="shared" si="69"/>
        <v>0.09</v>
      </c>
      <c r="AG26" s="28">
        <f t="shared" si="69"/>
        <v>0.09</v>
      </c>
      <c r="AH26" s="28">
        <f t="shared" si="69"/>
        <v>9.0000000000000011E-2</v>
      </c>
      <c r="AI26" s="28">
        <f t="shared" si="69"/>
        <v>0.09</v>
      </c>
      <c r="AJ26" s="28">
        <f t="shared" si="69"/>
        <v>9.0000000000000011E-2</v>
      </c>
      <c r="AK26" s="28">
        <f t="shared" si="69"/>
        <v>0.09</v>
      </c>
      <c r="AL26" s="28">
        <f t="shared" si="69"/>
        <v>0.09</v>
      </c>
      <c r="AM26" s="28">
        <f t="shared" si="69"/>
        <v>0.09</v>
      </c>
      <c r="AN26" s="28">
        <f t="shared" si="69"/>
        <v>0.09</v>
      </c>
      <c r="AO26" s="28">
        <f t="shared" si="69"/>
        <v>0.09</v>
      </c>
      <c r="AP26" s="28">
        <f t="shared" si="69"/>
        <v>0.09</v>
      </c>
      <c r="AQ26" s="28">
        <f t="shared" si="69"/>
        <v>0.09</v>
      </c>
      <c r="AR26" s="28">
        <f t="shared" si="69"/>
        <v>0.09</v>
      </c>
      <c r="AS26" s="28">
        <f t="shared" si="69"/>
        <v>0.09</v>
      </c>
      <c r="AT26" s="28">
        <f t="shared" si="69"/>
        <v>0.09</v>
      </c>
      <c r="AU26" s="28">
        <f t="shared" si="69"/>
        <v>0.09</v>
      </c>
      <c r="AV26" s="28">
        <f t="shared" si="69"/>
        <v>0.09</v>
      </c>
      <c r="AW26" s="28">
        <f t="shared" si="69"/>
        <v>0.09</v>
      </c>
      <c r="AX26" s="28">
        <f t="shared" si="69"/>
        <v>0.09</v>
      </c>
      <c r="AY26" s="28">
        <f t="shared" si="69"/>
        <v>0.09</v>
      </c>
      <c r="AZ26" s="28">
        <f t="shared" si="69"/>
        <v>0.09</v>
      </c>
      <c r="BA26" s="28">
        <f t="shared" si="69"/>
        <v>0.09</v>
      </c>
      <c r="BB26" s="28">
        <f t="shared" si="69"/>
        <v>0.09</v>
      </c>
      <c r="BC26" s="28">
        <f t="shared" si="69"/>
        <v>0.09</v>
      </c>
      <c r="BD26" s="28">
        <f t="shared" si="69"/>
        <v>0.09</v>
      </c>
      <c r="BE26" s="28">
        <f t="shared" si="69"/>
        <v>0.09</v>
      </c>
      <c r="BF26" s="28">
        <f t="shared" si="69"/>
        <v>0.09</v>
      </c>
      <c r="BG26" s="28">
        <f t="shared" si="69"/>
        <v>0.09</v>
      </c>
    </row>
    <row r="27" spans="3:59" x14ac:dyDescent="0.2">
      <c r="C27" t="s">
        <v>47</v>
      </c>
      <c r="D27" s="7"/>
      <c r="E27" s="7"/>
      <c r="F27" s="7"/>
      <c r="G27" s="7"/>
      <c r="H27" s="14">
        <f>H10/D10-1</f>
        <v>8.9644681082255762E-2</v>
      </c>
      <c r="I27" s="7"/>
      <c r="J27" s="7"/>
      <c r="K27" s="7"/>
      <c r="L27" s="14">
        <f>L10/H10-1</f>
        <v>0.1417887059091687</v>
      </c>
      <c r="M27" s="7"/>
      <c r="N27" s="7"/>
      <c r="O27" s="7"/>
      <c r="P27" s="14">
        <f>P10/L10-1</f>
        <v>0.14700121024591706</v>
      </c>
      <c r="Q27" s="7"/>
      <c r="R27" s="7"/>
      <c r="S27" s="7"/>
      <c r="T27" s="14">
        <f>T10/P10-1</f>
        <v>8.5553295406337382E-2</v>
      </c>
      <c r="U27" s="7"/>
      <c r="V27" s="7"/>
      <c r="W27" s="7"/>
      <c r="Y27" s="15"/>
      <c r="Z27" s="15">
        <f t="shared" ref="Z27:AA27" si="70">Z10/Y10-1</f>
        <v>0.11844085540617799</v>
      </c>
      <c r="AA27" s="15">
        <f t="shared" si="70"/>
        <v>0.12713971286209524</v>
      </c>
      <c r="AB27" s="15">
        <f>AB10/AA10-1</f>
        <v>0.14640827734281014</v>
      </c>
      <c r="AC27" s="29">
        <f t="shared" ref="AC27:BG27" si="71">AC10/AB10-1</f>
        <v>0.12999999999999989</v>
      </c>
      <c r="AD27" s="29">
        <f t="shared" si="71"/>
        <v>0.12999999999999989</v>
      </c>
      <c r="AE27" s="29">
        <f t="shared" si="71"/>
        <v>0.12999999999999989</v>
      </c>
      <c r="AF27" s="29">
        <f t="shared" si="71"/>
        <v>0.12999999999999989</v>
      </c>
      <c r="AG27" s="29">
        <f t="shared" si="71"/>
        <v>0.12999999999999989</v>
      </c>
      <c r="AH27" s="29">
        <f t="shared" si="71"/>
        <v>0.12999999999999989</v>
      </c>
      <c r="AI27" s="29">
        <f t="shared" si="71"/>
        <v>0.12999999999999989</v>
      </c>
      <c r="AJ27" s="29">
        <f t="shared" si="71"/>
        <v>0.10000000000000009</v>
      </c>
      <c r="AK27" s="29">
        <f t="shared" si="71"/>
        <v>0.10000000000000009</v>
      </c>
      <c r="AL27" s="29">
        <f t="shared" si="71"/>
        <v>0.10000000000000009</v>
      </c>
      <c r="AM27" s="29">
        <f t="shared" si="71"/>
        <v>0.10000000000000009</v>
      </c>
      <c r="AN27" s="29">
        <f t="shared" si="71"/>
        <v>0.10000000000000009</v>
      </c>
      <c r="AO27" s="29">
        <f t="shared" si="71"/>
        <v>0.10000000000000009</v>
      </c>
      <c r="AP27" s="29">
        <f t="shared" si="71"/>
        <v>0.10000000000000009</v>
      </c>
      <c r="AQ27" s="29">
        <f t="shared" si="71"/>
        <v>0.10000000000000009</v>
      </c>
      <c r="AR27" s="29">
        <f t="shared" si="71"/>
        <v>0.10000000000000009</v>
      </c>
      <c r="AS27" s="29">
        <f t="shared" si="71"/>
        <v>0.10000000000000009</v>
      </c>
      <c r="AT27" s="29">
        <f t="shared" si="71"/>
        <v>6.0000000000000053E-2</v>
      </c>
      <c r="AU27" s="29">
        <f t="shared" si="71"/>
        <v>6.0000000000000053E-2</v>
      </c>
      <c r="AV27" s="29">
        <f t="shared" si="71"/>
        <v>6.0000000000000053E-2</v>
      </c>
      <c r="AW27" s="29">
        <f t="shared" si="71"/>
        <v>6.0000000000000053E-2</v>
      </c>
      <c r="AX27" s="29">
        <f t="shared" si="71"/>
        <v>6.0000000000000053E-2</v>
      </c>
      <c r="AY27" s="29">
        <f t="shared" si="71"/>
        <v>6.0000000000000053E-2</v>
      </c>
      <c r="AZ27" s="29">
        <f t="shared" si="71"/>
        <v>6.0000000000000053E-2</v>
      </c>
      <c r="BA27" s="29">
        <f t="shared" si="71"/>
        <v>6.0000000000000053E-2</v>
      </c>
      <c r="BB27" s="29">
        <f t="shared" si="71"/>
        <v>6.0000000000000053E-2</v>
      </c>
      <c r="BC27" s="29">
        <f t="shared" si="71"/>
        <v>6.0000000000000053E-2</v>
      </c>
      <c r="BD27" s="29">
        <f t="shared" si="71"/>
        <v>2.0000000000000018E-2</v>
      </c>
      <c r="BE27" s="29">
        <f t="shared" si="71"/>
        <v>2.0000000000000018E-2</v>
      </c>
      <c r="BF27" s="29">
        <f t="shared" si="71"/>
        <v>2.0000000000000018E-2</v>
      </c>
      <c r="BG27" s="29">
        <f t="shared" si="71"/>
        <v>2.0000000000000018E-2</v>
      </c>
    </row>
    <row r="28" spans="3:59" x14ac:dyDescent="0.2">
      <c r="C28" t="s">
        <v>48</v>
      </c>
      <c r="D28" s="15">
        <f>D19/D18</f>
        <v>0.23996490458433867</v>
      </c>
      <c r="E28" s="15">
        <f t="shared" ref="E28:W28" si="72">E19/E18</f>
        <v>0.24004085801838612</v>
      </c>
      <c r="F28" s="15">
        <f t="shared" si="72"/>
        <v>0.23496240601503759</v>
      </c>
      <c r="G28" s="15">
        <f t="shared" si="72"/>
        <v>0.24518613607188702</v>
      </c>
      <c r="H28" s="15">
        <f t="shared" si="72"/>
        <v>0.21507410911384423</v>
      </c>
      <c r="I28" s="15">
        <f t="shared" si="72"/>
        <v>0.21479885057471265</v>
      </c>
      <c r="J28" s="15">
        <f t="shared" si="72"/>
        <v>0.20775047258979207</v>
      </c>
      <c r="K28" s="15">
        <f t="shared" si="72"/>
        <v>0.17984344422700588</v>
      </c>
      <c r="L28" s="15">
        <f t="shared" si="72"/>
        <v>0.21006598127972995</v>
      </c>
      <c r="M28" s="15">
        <f t="shared" si="72"/>
        <v>0.2199549887471868</v>
      </c>
      <c r="N28" s="15">
        <f t="shared" si="72"/>
        <v>0.22487762741145984</v>
      </c>
      <c r="O28" s="15">
        <f t="shared" si="72"/>
        <v>0.21029766693483506</v>
      </c>
      <c r="P28" s="15">
        <f t="shared" si="72"/>
        <v>0.21249318057828695</v>
      </c>
      <c r="Q28" s="15">
        <f t="shared" si="72"/>
        <v>0.21745746299626503</v>
      </c>
      <c r="R28" s="15">
        <f t="shared" si="72"/>
        <v>0.21502860114404576</v>
      </c>
      <c r="S28" s="15">
        <f t="shared" si="72"/>
        <v>0.17261991543956845</v>
      </c>
      <c r="T28" s="15">
        <f>T19/T18</f>
        <v>1222</v>
      </c>
      <c r="U28" s="15" t="e">
        <f t="shared" si="72"/>
        <v>#DIV/0!</v>
      </c>
      <c r="V28" s="15" t="e">
        <f t="shared" si="72"/>
        <v>#DIV/0!</v>
      </c>
      <c r="W28" s="15" t="e">
        <f t="shared" si="72"/>
        <v>#DIV/0!</v>
      </c>
      <c r="Y28" s="15">
        <f t="shared" ref="Y28:AB28" si="73">Y19/Y18</f>
        <v>0.22</v>
      </c>
      <c r="Z28" s="15">
        <f t="shared" si="73"/>
        <v>0.22</v>
      </c>
      <c r="AA28" s="15">
        <f t="shared" si="73"/>
        <v>0.22</v>
      </c>
      <c r="AB28" s="15">
        <f t="shared" si="73"/>
        <v>0.22</v>
      </c>
      <c r="AC28" s="29">
        <f t="shared" ref="AC28:BG28" si="74">AC19/AC18</f>
        <v>0.22</v>
      </c>
      <c r="AD28" s="29">
        <f t="shared" si="74"/>
        <v>0.21999999999999997</v>
      </c>
      <c r="AE28" s="29">
        <f t="shared" si="74"/>
        <v>0.22</v>
      </c>
      <c r="AF28" s="29">
        <f t="shared" si="74"/>
        <v>0.22000000000000003</v>
      </c>
      <c r="AG28" s="29">
        <f t="shared" si="74"/>
        <v>0.22000000000000003</v>
      </c>
      <c r="AH28" s="29">
        <f t="shared" si="74"/>
        <v>0.22</v>
      </c>
      <c r="AI28" s="29">
        <f t="shared" si="74"/>
        <v>0.22</v>
      </c>
      <c r="AJ28" s="29">
        <f t="shared" si="74"/>
        <v>0.22</v>
      </c>
      <c r="AK28" s="29">
        <f t="shared" si="74"/>
        <v>0.22</v>
      </c>
      <c r="AL28" s="29">
        <f t="shared" si="74"/>
        <v>0.22</v>
      </c>
      <c r="AM28" s="29">
        <f t="shared" si="74"/>
        <v>0.21999999999999997</v>
      </c>
      <c r="AN28" s="29">
        <f t="shared" si="74"/>
        <v>0.22</v>
      </c>
      <c r="AO28" s="29">
        <f t="shared" si="74"/>
        <v>0.22</v>
      </c>
      <c r="AP28" s="29">
        <f t="shared" si="74"/>
        <v>0.22</v>
      </c>
      <c r="AQ28" s="29">
        <f t="shared" si="74"/>
        <v>0.22</v>
      </c>
      <c r="AR28" s="29">
        <f t="shared" si="74"/>
        <v>0.22</v>
      </c>
      <c r="AS28" s="29">
        <f t="shared" si="74"/>
        <v>0.21999999999999997</v>
      </c>
      <c r="AT28" s="29">
        <f t="shared" si="74"/>
        <v>0.22</v>
      </c>
      <c r="AU28" s="29">
        <f t="shared" si="74"/>
        <v>0.22</v>
      </c>
      <c r="AV28" s="29">
        <f t="shared" si="74"/>
        <v>0.22</v>
      </c>
      <c r="AW28" s="29">
        <f t="shared" si="74"/>
        <v>0.22000000000000003</v>
      </c>
      <c r="AX28" s="29">
        <f t="shared" si="74"/>
        <v>0.22</v>
      </c>
      <c r="AY28" s="29">
        <f t="shared" si="74"/>
        <v>0.22</v>
      </c>
      <c r="AZ28" s="29">
        <f t="shared" si="74"/>
        <v>0.22</v>
      </c>
      <c r="BA28" s="29">
        <f t="shared" si="74"/>
        <v>0.22</v>
      </c>
      <c r="BB28" s="29">
        <f t="shared" si="74"/>
        <v>0.22</v>
      </c>
      <c r="BC28" s="29">
        <f t="shared" si="74"/>
        <v>0.22000000000000003</v>
      </c>
      <c r="BD28" s="29">
        <f t="shared" si="74"/>
        <v>0.22</v>
      </c>
      <c r="BE28" s="29">
        <f t="shared" si="74"/>
        <v>0.21999999999999997</v>
      </c>
      <c r="BF28" s="29">
        <f t="shared" si="74"/>
        <v>0.22000000000000003</v>
      </c>
      <c r="BG28" s="29">
        <f t="shared" si="74"/>
        <v>0.22</v>
      </c>
    </row>
    <row r="29" spans="3:59" x14ac:dyDescent="0.2">
      <c r="C29" t="s">
        <v>49</v>
      </c>
      <c r="D29" s="15">
        <f>D12/D15</f>
        <v>0.16853176272612536</v>
      </c>
      <c r="E29" s="15">
        <f t="shared" ref="E29:W29" si="75">E12/E15</f>
        <v>0.18906554246932719</v>
      </c>
      <c r="F29" s="15">
        <f t="shared" si="75"/>
        <v>0.16826541413072241</v>
      </c>
      <c r="G29" s="15">
        <f t="shared" si="75"/>
        <v>0.18585956416464891</v>
      </c>
      <c r="H29" s="15">
        <f t="shared" si="75"/>
        <v>0.16110121814772208</v>
      </c>
      <c r="I29" s="15">
        <f t="shared" si="75"/>
        <v>0.15853266608512007</v>
      </c>
      <c r="J29" s="15">
        <f t="shared" si="75"/>
        <v>0.16097560975609757</v>
      </c>
      <c r="K29" s="15">
        <f t="shared" si="75"/>
        <v>0.16527374563795783</v>
      </c>
      <c r="L29" s="15">
        <f t="shared" si="75"/>
        <v>0.15575349390018989</v>
      </c>
      <c r="M29" s="15">
        <f t="shared" si="75"/>
        <v>0.15995901639344262</v>
      </c>
      <c r="N29" s="15">
        <f t="shared" si="75"/>
        <v>0.15882721429349603</v>
      </c>
      <c r="O29" s="15">
        <f t="shared" si="75"/>
        <v>0.1714056076736587</v>
      </c>
      <c r="P29" s="15">
        <f t="shared" si="75"/>
        <v>0.16250223626930646</v>
      </c>
      <c r="Q29" s="15">
        <f t="shared" si="75"/>
        <v>0.16275369492963723</v>
      </c>
      <c r="R29" s="15">
        <f t="shared" si="75"/>
        <v>0.16526510407347766</v>
      </c>
      <c r="S29" s="15">
        <f t="shared" si="75"/>
        <v>0.1537849616085222</v>
      </c>
      <c r="T29" s="15">
        <f t="shared" si="75"/>
        <v>0.15323572633756055</v>
      </c>
      <c r="U29" s="15" t="e">
        <f t="shared" si="75"/>
        <v>#DIV/0!</v>
      </c>
      <c r="V29" s="15" t="e">
        <f t="shared" si="75"/>
        <v>#DIV/0!</v>
      </c>
      <c r="W29" s="15" t="e">
        <f t="shared" si="75"/>
        <v>#DIV/0!</v>
      </c>
      <c r="Y29" s="15"/>
      <c r="Z29" s="15"/>
      <c r="AA29" s="15"/>
      <c r="AB29" s="15"/>
    </row>
    <row r="30" spans="3:59" x14ac:dyDescent="0.2">
      <c r="Y30" t="s">
        <v>56</v>
      </c>
      <c r="Z30" t="s">
        <v>57</v>
      </c>
      <c r="AC30" s="13"/>
    </row>
    <row r="31" spans="3:59" x14ac:dyDescent="0.2">
      <c r="Y31" t="s">
        <v>58</v>
      </c>
      <c r="Z31" s="15">
        <f>AVERAGE(Z27:AB27)</f>
        <v>0.13066294853702778</v>
      </c>
      <c r="AB31" s="12"/>
      <c r="AC31" s="12"/>
      <c r="AD31" s="12"/>
    </row>
    <row r="32" spans="3:59" x14ac:dyDescent="0.2">
      <c r="Y32" t="s">
        <v>59</v>
      </c>
      <c r="Z32" s="15">
        <f>AVERAGE(D26:T26)</f>
        <v>8.6130217974891329E-2</v>
      </c>
    </row>
    <row r="33" spans="3:30" x14ac:dyDescent="0.2">
      <c r="C33" s="5" t="s">
        <v>50</v>
      </c>
      <c r="Y33" t="s">
        <v>60</v>
      </c>
      <c r="Z33" s="15">
        <f>AVERAGE(D29:T29)</f>
        <v>0.16477015168217715</v>
      </c>
      <c r="AD33" s="12"/>
    </row>
    <row r="34" spans="3:30" x14ac:dyDescent="0.2">
      <c r="Z34" s="6"/>
    </row>
    <row r="35" spans="3:30" x14ac:dyDescent="0.2">
      <c r="Y35" t="s">
        <v>48</v>
      </c>
      <c r="Z35" s="15">
        <f t="shared" ref="Z31:Z35" si="76">AVERAGE(D28:S28)</f>
        <v>0.2162760378578989</v>
      </c>
    </row>
    <row r="37" spans="3:30" x14ac:dyDescent="0.2">
      <c r="Y37" t="s">
        <v>61</v>
      </c>
      <c r="Z37" t="s">
        <v>57</v>
      </c>
    </row>
    <row r="38" spans="3:30" x14ac:dyDescent="0.2">
      <c r="Y38" t="s">
        <v>62</v>
      </c>
      <c r="Z38" s="14">
        <v>5.0599999999999999E-2</v>
      </c>
    </row>
    <row r="39" spans="3:30" x14ac:dyDescent="0.2">
      <c r="Y39" t="s">
        <v>63</v>
      </c>
      <c r="Z39" s="17">
        <v>0.11</v>
      </c>
    </row>
    <row r="40" spans="3:30" x14ac:dyDescent="0.2">
      <c r="Y40" t="s">
        <v>64</v>
      </c>
      <c r="Z40" s="18">
        <f>NPV(Z39,Y21:BG21)</f>
        <v>507658.40640967572</v>
      </c>
    </row>
    <row r="41" spans="3:30" x14ac:dyDescent="0.2">
      <c r="Y41" t="s">
        <v>5</v>
      </c>
      <c r="Z41" s="6">
        <f>Info!C7</f>
        <v>25427</v>
      </c>
    </row>
    <row r="42" spans="3:30" x14ac:dyDescent="0.2">
      <c r="Y42" s="19" t="s">
        <v>65</v>
      </c>
      <c r="Z42" s="20">
        <f>Z41+Z40</f>
        <v>533085.40640967572</v>
      </c>
    </row>
    <row r="43" spans="3:30" x14ac:dyDescent="0.2">
      <c r="Y43" s="19" t="s">
        <v>2</v>
      </c>
      <c r="Z43" s="21">
        <f>Z42/Info!C5</f>
        <v>579.44065914095188</v>
      </c>
    </row>
    <row r="44" spans="3:30" x14ac:dyDescent="0.2">
      <c r="Y44" s="19" t="s">
        <v>66</v>
      </c>
      <c r="Z44" s="22">
        <f>Info!C4</f>
        <v>515.37</v>
      </c>
    </row>
  </sheetData>
  <phoneticPr fontId="3" type="noConversion"/>
  <pageMargins left="0.7" right="0.7" top="0.75" bottom="0.75" header="0.3" footer="0.3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Ihsan Mutlu</dc:creator>
  <cp:lastModifiedBy>Ihsan Mutlu</cp:lastModifiedBy>
  <dcterms:created xsi:type="dcterms:W3CDTF">2024-07-16T08:57:41Z</dcterms:created>
  <dcterms:modified xsi:type="dcterms:W3CDTF">2024-07-16T10:12:34Z</dcterms:modified>
</cp:coreProperties>
</file>