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hsanmutlu/Desktop/Kangal_Capital/"/>
    </mc:Choice>
  </mc:AlternateContent>
  <xr:revisionPtr revIDLastSave="0" documentId="13_ncr:1_{CFEEAB59-C83A-0D4C-B788-2B755DA7A62B}" xr6:coauthVersionLast="47" xr6:coauthVersionMax="47" xr10:uidLastSave="{00000000-0000-0000-0000-000000000000}"/>
  <bookViews>
    <workbookView xWindow="0" yWindow="740" windowWidth="29400" windowHeight="17200" activeTab="1" xr2:uid="{ACDCC913-B276-9246-B934-CBC0A2F26D1E}"/>
  </bookViews>
  <sheets>
    <sheet name="Info  " sheetId="1" r:id="rId1"/>
    <sheet name="DIS 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2" l="1"/>
  <c r="L13" i="2"/>
  <c r="P13" i="2"/>
  <c r="P9" i="2"/>
  <c r="L9" i="2"/>
  <c r="C30" i="2"/>
  <c r="C28" i="2"/>
  <c r="K46" i="2"/>
  <c r="G46" i="2"/>
  <c r="O46" i="2"/>
  <c r="P55" i="2" l="1"/>
  <c r="K44" i="2" l="1"/>
  <c r="O44" i="2"/>
  <c r="G44" i="2"/>
  <c r="P51" i="2" s="1"/>
  <c r="F37" i="2"/>
  <c r="F34" i="2"/>
  <c r="F33" i="2"/>
  <c r="F32" i="2"/>
  <c r="F31" i="2"/>
  <c r="F27" i="2"/>
  <c r="F26" i="2"/>
  <c r="T26" i="2" s="1"/>
  <c r="F23" i="2"/>
  <c r="F22" i="2"/>
  <c r="F24" i="2" s="1"/>
  <c r="F20" i="2"/>
  <c r="F19" i="2"/>
  <c r="J37" i="2"/>
  <c r="J34" i="2"/>
  <c r="J33" i="2"/>
  <c r="J32" i="2"/>
  <c r="J31" i="2"/>
  <c r="J27" i="2"/>
  <c r="J26" i="2"/>
  <c r="U27" i="2" s="1"/>
  <c r="J23" i="2"/>
  <c r="J22" i="2"/>
  <c r="J20" i="2"/>
  <c r="J19" i="2"/>
  <c r="C24" i="2"/>
  <c r="L35" i="2"/>
  <c r="N37" i="2"/>
  <c r="N34" i="2"/>
  <c r="N33" i="2"/>
  <c r="N31" i="2"/>
  <c r="N32" i="2"/>
  <c r="N27" i="2"/>
  <c r="V27" i="2" s="1"/>
  <c r="N26" i="2"/>
  <c r="V26" i="2" s="1"/>
  <c r="N28" i="2"/>
  <c r="N23" i="2"/>
  <c r="N22" i="2"/>
  <c r="N24" i="2" s="1"/>
  <c r="N20" i="2"/>
  <c r="N19" i="2"/>
  <c r="N21" i="2" s="1"/>
  <c r="P35" i="2"/>
  <c r="P30" i="2"/>
  <c r="P28" i="2"/>
  <c r="P24" i="2"/>
  <c r="P21" i="2"/>
  <c r="P25" i="2" s="1"/>
  <c r="C35" i="2"/>
  <c r="D35" i="2"/>
  <c r="E35" i="2"/>
  <c r="G35" i="2"/>
  <c r="H35" i="2"/>
  <c r="I35" i="2"/>
  <c r="K35" i="2"/>
  <c r="M35" i="2"/>
  <c r="D30" i="2"/>
  <c r="E30" i="2"/>
  <c r="G30" i="2"/>
  <c r="H30" i="2"/>
  <c r="I30" i="2"/>
  <c r="K30" i="2"/>
  <c r="L30" i="2"/>
  <c r="M30" i="2"/>
  <c r="O30" i="2"/>
  <c r="O35" i="2"/>
  <c r="O28" i="2"/>
  <c r="M28" i="2"/>
  <c r="L28" i="2"/>
  <c r="K28" i="2"/>
  <c r="M24" i="2"/>
  <c r="L24" i="2"/>
  <c r="K24" i="2"/>
  <c r="M21" i="2"/>
  <c r="L21" i="2"/>
  <c r="K21" i="2"/>
  <c r="I28" i="2"/>
  <c r="H28" i="2"/>
  <c r="G28" i="2"/>
  <c r="I24" i="2"/>
  <c r="H24" i="2"/>
  <c r="G24" i="2"/>
  <c r="I21" i="2"/>
  <c r="H21" i="2"/>
  <c r="G21" i="2"/>
  <c r="E28" i="2"/>
  <c r="D28" i="2"/>
  <c r="E24" i="2"/>
  <c r="D24" i="2"/>
  <c r="E21" i="2"/>
  <c r="D21" i="2"/>
  <c r="C21" i="2"/>
  <c r="C25" i="2" l="1"/>
  <c r="W31" i="2"/>
  <c r="T31" i="2"/>
  <c r="U31" i="2"/>
  <c r="V31" i="2"/>
  <c r="U33" i="2"/>
  <c r="T33" i="2"/>
  <c r="V33" i="2"/>
  <c r="W33" i="2"/>
  <c r="R55" i="2"/>
  <c r="V30" i="2"/>
  <c r="J28" i="2"/>
  <c r="W34" i="2"/>
  <c r="V34" i="2"/>
  <c r="U34" i="2"/>
  <c r="T34" i="2"/>
  <c r="K36" i="2"/>
  <c r="K38" i="2" s="1"/>
  <c r="V21" i="2"/>
  <c r="V32" i="2"/>
  <c r="W32" i="2"/>
  <c r="U32" i="2"/>
  <c r="T32" i="2"/>
  <c r="J24" i="2"/>
  <c r="W26" i="2"/>
  <c r="V28" i="2"/>
  <c r="W37" i="2"/>
  <c r="V37" i="2"/>
  <c r="T37" i="2"/>
  <c r="U37" i="2"/>
  <c r="L36" i="2"/>
  <c r="L38" i="2" s="1"/>
  <c r="L39" i="2" s="1"/>
  <c r="N35" i="2"/>
  <c r="J21" i="2"/>
  <c r="U21" i="2" s="1"/>
  <c r="J35" i="2"/>
  <c r="F30" i="2"/>
  <c r="P54" i="2"/>
  <c r="Q54" i="2" s="1"/>
  <c r="T27" i="2"/>
  <c r="T30" i="2" s="1"/>
  <c r="N25" i="2"/>
  <c r="N42" i="2" s="1"/>
  <c r="N29" i="2"/>
  <c r="F21" i="2"/>
  <c r="F25" i="2" s="1"/>
  <c r="N30" i="2"/>
  <c r="F35" i="2"/>
  <c r="W35" i="2" s="1"/>
  <c r="J30" i="2"/>
  <c r="F28" i="2"/>
  <c r="C36" i="2"/>
  <c r="C43" i="2" s="1"/>
  <c r="G36" i="2"/>
  <c r="G43" i="2" s="1"/>
  <c r="G45" i="2"/>
  <c r="G25" i="2"/>
  <c r="D25" i="2"/>
  <c r="D42" i="2" s="1"/>
  <c r="D36" i="2"/>
  <c r="H36" i="2"/>
  <c r="H38" i="2" s="1"/>
  <c r="H39" i="2" s="1"/>
  <c r="E36" i="2"/>
  <c r="N45" i="2"/>
  <c r="I36" i="2"/>
  <c r="I38" i="2" s="1"/>
  <c r="I39" i="2" s="1"/>
  <c r="I45" i="2"/>
  <c r="M36" i="2"/>
  <c r="M43" i="2" s="1"/>
  <c r="M45" i="2"/>
  <c r="L45" i="2"/>
  <c r="P42" i="2"/>
  <c r="P45" i="2"/>
  <c r="P36" i="2"/>
  <c r="P43" i="2" s="1"/>
  <c r="K25" i="2"/>
  <c r="K45" i="2"/>
  <c r="H25" i="2"/>
  <c r="H29" i="2" s="1"/>
  <c r="E45" i="2"/>
  <c r="I25" i="2"/>
  <c r="I29" i="2" s="1"/>
  <c r="D45" i="2"/>
  <c r="H45" i="2"/>
  <c r="L25" i="2"/>
  <c r="L29" i="2" s="1"/>
  <c r="M25" i="2"/>
  <c r="M29" i="2" s="1"/>
  <c r="K43" i="2"/>
  <c r="K39" i="2"/>
  <c r="E25" i="2"/>
  <c r="C45" i="2"/>
  <c r="O24" i="2"/>
  <c r="O21" i="2"/>
  <c r="O36" i="2" s="1"/>
  <c r="J36" i="2" l="1"/>
  <c r="J38" i="2" s="1"/>
  <c r="J39" i="2" s="1"/>
  <c r="J45" i="2"/>
  <c r="T28" i="2"/>
  <c r="N36" i="2"/>
  <c r="N43" i="2" s="1"/>
  <c r="U24" i="2"/>
  <c r="U25" i="2"/>
  <c r="AS37" i="2"/>
  <c r="AK37" i="2"/>
  <c r="AC37" i="2"/>
  <c r="AR37" i="2"/>
  <c r="AJ37" i="2"/>
  <c r="AB37" i="2"/>
  <c r="AX37" i="2"/>
  <c r="AP37" i="2"/>
  <c r="AH37" i="2"/>
  <c r="Z37" i="2"/>
  <c r="AQ37" i="2"/>
  <c r="AI37" i="2"/>
  <c r="AA37" i="2"/>
  <c r="AT37" i="2"/>
  <c r="AL37" i="2"/>
  <c r="AD37" i="2"/>
  <c r="AF37" i="2"/>
  <c r="AW37" i="2"/>
  <c r="AE37" i="2"/>
  <c r="AU37" i="2"/>
  <c r="X37" i="2"/>
  <c r="AO37" i="2"/>
  <c r="AG37" i="2"/>
  <c r="AV37" i="2"/>
  <c r="Y37" i="2"/>
  <c r="AN37" i="2"/>
  <c r="AM37" i="2"/>
  <c r="AX32" i="2"/>
  <c r="AP32" i="2"/>
  <c r="AH32" i="2"/>
  <c r="Z32" i="2"/>
  <c r="AW32" i="2"/>
  <c r="AO32" i="2"/>
  <c r="AG32" i="2"/>
  <c r="Y32" i="2"/>
  <c r="AU32" i="2"/>
  <c r="AM32" i="2"/>
  <c r="AE32" i="2"/>
  <c r="AV32" i="2"/>
  <c r="AN32" i="2"/>
  <c r="AF32" i="2"/>
  <c r="X32" i="2"/>
  <c r="AQ32" i="2"/>
  <c r="AI32" i="2"/>
  <c r="AA32" i="2"/>
  <c r="AJ32" i="2"/>
  <c r="AD32" i="2"/>
  <c r="AT32" i="2"/>
  <c r="AR32" i="2"/>
  <c r="AK32" i="2"/>
  <c r="AC32" i="2"/>
  <c r="AB32" i="2"/>
  <c r="AS32" i="2"/>
  <c r="AL32" i="2"/>
  <c r="I43" i="2"/>
  <c r="U35" i="2"/>
  <c r="J25" i="2"/>
  <c r="J29" i="2" s="1"/>
  <c r="V35" i="2"/>
  <c r="V36" i="2" s="1"/>
  <c r="V38" i="2" s="1"/>
  <c r="V39" i="2" s="1"/>
  <c r="V24" i="2"/>
  <c r="V25" i="2"/>
  <c r="W21" i="2"/>
  <c r="AD31" i="2"/>
  <c r="AL31" i="2"/>
  <c r="AT31" i="2"/>
  <c r="AE31" i="2"/>
  <c r="AM31" i="2"/>
  <c r="AU31" i="2"/>
  <c r="Y31" i="2"/>
  <c r="AG31" i="2"/>
  <c r="AO31" i="2"/>
  <c r="AW31" i="2"/>
  <c r="AF31" i="2"/>
  <c r="AN31" i="2"/>
  <c r="AV31" i="2"/>
  <c r="AC31" i="2"/>
  <c r="AK31" i="2"/>
  <c r="AS31" i="2"/>
  <c r="AI31" i="2"/>
  <c r="AJ31" i="2"/>
  <c r="AP31" i="2"/>
  <c r="Z31" i="2"/>
  <c r="AQ31" i="2"/>
  <c r="AR31" i="2"/>
  <c r="AA31" i="2"/>
  <c r="AX31" i="2"/>
  <c r="AH31" i="2"/>
  <c r="AB31" i="2"/>
  <c r="X31" i="2"/>
  <c r="G29" i="2"/>
  <c r="U26" i="2"/>
  <c r="T21" i="2"/>
  <c r="T45" i="2" s="1"/>
  <c r="AB33" i="2"/>
  <c r="AJ33" i="2"/>
  <c r="AR33" i="2"/>
  <c r="AC33" i="2"/>
  <c r="AK33" i="2"/>
  <c r="AS33" i="2"/>
  <c r="AE33" i="2"/>
  <c r="AM33" i="2"/>
  <c r="AU33" i="2"/>
  <c r="AD33" i="2"/>
  <c r="AL33" i="2"/>
  <c r="AT33" i="2"/>
  <c r="AA33" i="2"/>
  <c r="AI33" i="2"/>
  <c r="AQ33" i="2"/>
  <c r="X33" i="2"/>
  <c r="Y33" i="2"/>
  <c r="AV33" i="2"/>
  <c r="Z33" i="2"/>
  <c r="AW33" i="2"/>
  <c r="AX33" i="2"/>
  <c r="AG33" i="2"/>
  <c r="AH33" i="2"/>
  <c r="AF33" i="2"/>
  <c r="AN33" i="2"/>
  <c r="AP33" i="2"/>
  <c r="AO33" i="2"/>
  <c r="D29" i="2"/>
  <c r="V45" i="2"/>
  <c r="X45" i="2"/>
  <c r="X26" i="2"/>
  <c r="G38" i="2"/>
  <c r="G39" i="2" s="1"/>
  <c r="M38" i="2"/>
  <c r="M39" i="2" s="1"/>
  <c r="AX27" i="2"/>
  <c r="AP27" i="2"/>
  <c r="AH27" i="2"/>
  <c r="Z27" i="2"/>
  <c r="AW27" i="2"/>
  <c r="AO27" i="2"/>
  <c r="AG27" i="2"/>
  <c r="Y27" i="2"/>
  <c r="AU27" i="2"/>
  <c r="AM27" i="2"/>
  <c r="AE27" i="2"/>
  <c r="W27" i="2"/>
  <c r="W28" i="2" s="1"/>
  <c r="AV27" i="2"/>
  <c r="AN27" i="2"/>
  <c r="AF27" i="2"/>
  <c r="X27" i="2"/>
  <c r="AQ27" i="2"/>
  <c r="AI27" i="2"/>
  <c r="AA27" i="2"/>
  <c r="AT27" i="2"/>
  <c r="AB27" i="2"/>
  <c r="AS27" i="2"/>
  <c r="AR27" i="2"/>
  <c r="AL27" i="2"/>
  <c r="AJ27" i="2"/>
  <c r="AC27" i="2"/>
  <c r="AK27" i="2"/>
  <c r="AD27" i="2"/>
  <c r="AF34" i="2"/>
  <c r="AN34" i="2"/>
  <c r="AV34" i="2"/>
  <c r="Y34" i="2"/>
  <c r="AG34" i="2"/>
  <c r="AO34" i="2"/>
  <c r="AW34" i="2"/>
  <c r="AA34" i="2"/>
  <c r="AQ34" i="2"/>
  <c r="Z34" i="2"/>
  <c r="AH34" i="2"/>
  <c r="AP34" i="2"/>
  <c r="AX34" i="2"/>
  <c r="AI34" i="2"/>
  <c r="AE34" i="2"/>
  <c r="AM34" i="2"/>
  <c r="AU34" i="2"/>
  <c r="AD34" i="2"/>
  <c r="AK34" i="2"/>
  <c r="AR34" i="2"/>
  <c r="AC34" i="2"/>
  <c r="AJ34" i="2"/>
  <c r="AS34" i="2"/>
  <c r="AL34" i="2"/>
  <c r="AB34" i="2"/>
  <c r="AT34" i="2"/>
  <c r="X34" i="2"/>
  <c r="T35" i="2"/>
  <c r="F45" i="2"/>
  <c r="E38" i="2"/>
  <c r="E39" i="2" s="1"/>
  <c r="P29" i="2"/>
  <c r="F36" i="2"/>
  <c r="F38" i="2" s="1"/>
  <c r="F39" i="2" s="1"/>
  <c r="H43" i="2"/>
  <c r="J43" i="2"/>
  <c r="F29" i="2"/>
  <c r="F42" i="2"/>
  <c r="G42" i="2"/>
  <c r="H42" i="2"/>
  <c r="E43" i="2"/>
  <c r="M42" i="2"/>
  <c r="L43" i="2"/>
  <c r="P38" i="2"/>
  <c r="P39" i="2" s="1"/>
  <c r="K42" i="2"/>
  <c r="K29" i="2"/>
  <c r="L42" i="2"/>
  <c r="I42" i="2"/>
  <c r="O45" i="2"/>
  <c r="D38" i="2"/>
  <c r="D39" i="2" s="1"/>
  <c r="D43" i="2"/>
  <c r="E29" i="2"/>
  <c r="E42" i="2"/>
  <c r="C38" i="2"/>
  <c r="C39" i="2" s="1"/>
  <c r="C29" i="2"/>
  <c r="O25" i="2"/>
  <c r="O29" i="2" s="1"/>
  <c r="B5" i="1"/>
  <c r="B8" i="1" s="1"/>
  <c r="B10" i="1"/>
  <c r="N38" i="2" l="1"/>
  <c r="N39" i="2" s="1"/>
  <c r="J42" i="2"/>
  <c r="X30" i="2"/>
  <c r="V42" i="2"/>
  <c r="V29" i="2"/>
  <c r="X42" i="2"/>
  <c r="U28" i="2"/>
  <c r="U45" i="2" s="1"/>
  <c r="U30" i="2"/>
  <c r="U36" i="2" s="1"/>
  <c r="Y45" i="2"/>
  <c r="W45" i="2"/>
  <c r="T36" i="2"/>
  <c r="T24" i="2"/>
  <c r="T25" i="2"/>
  <c r="X28" i="2"/>
  <c r="Y26" i="2"/>
  <c r="Y30" i="2" s="1"/>
  <c r="U29" i="2"/>
  <c r="U42" i="2"/>
  <c r="W24" i="2"/>
  <c r="W25" i="2"/>
  <c r="X21" i="2"/>
  <c r="V43" i="2"/>
  <c r="R54" i="2"/>
  <c r="W30" i="2"/>
  <c r="W36" i="2" s="1"/>
  <c r="X43" i="2"/>
  <c r="AV35" i="2"/>
  <c r="AN35" i="2"/>
  <c r="AF35" i="2"/>
  <c r="X35" i="2"/>
  <c r="AU35" i="2"/>
  <c r="AM35" i="2"/>
  <c r="AE35" i="2"/>
  <c r="AS35" i="2"/>
  <c r="AK35" i="2"/>
  <c r="AC35" i="2"/>
  <c r="AT35" i="2"/>
  <c r="AL35" i="2"/>
  <c r="AD35" i="2"/>
  <c r="AW35" i="2"/>
  <c r="AO35" i="2"/>
  <c r="AG35" i="2"/>
  <c r="Y35" i="2"/>
  <c r="AJ35" i="2"/>
  <c r="AI35" i="2"/>
  <c r="AB35" i="2"/>
  <c r="AX35" i="2"/>
  <c r="AR35" i="2"/>
  <c r="AH35" i="2"/>
  <c r="AA35" i="2"/>
  <c r="Z35" i="2"/>
  <c r="AP35" i="2"/>
  <c r="AQ35" i="2"/>
  <c r="F43" i="2"/>
  <c r="O42" i="2"/>
  <c r="P53" i="2" s="1"/>
  <c r="T42" i="2" l="1"/>
  <c r="T29" i="2"/>
  <c r="Y21" i="2"/>
  <c r="X36" i="2"/>
  <c r="X24" i="2"/>
  <c r="X25" i="2"/>
  <c r="Z42" i="2" s="1"/>
  <c r="Z26" i="2"/>
  <c r="Y28" i="2"/>
  <c r="Y42" i="2"/>
  <c r="W42" i="2"/>
  <c r="Z45" i="2"/>
  <c r="W29" i="2"/>
  <c r="U38" i="2"/>
  <c r="U39" i="2" s="1"/>
  <c r="U43" i="2"/>
  <c r="T38" i="2"/>
  <c r="T39" i="2" s="1"/>
  <c r="T43" i="2"/>
  <c r="W38" i="2"/>
  <c r="W39" i="2" s="1"/>
  <c r="W43" i="2"/>
  <c r="Y43" i="2"/>
  <c r="O43" i="2"/>
  <c r="O38" i="2"/>
  <c r="O39" i="2" s="1"/>
  <c r="X38" i="2" l="1"/>
  <c r="X39" i="2" s="1"/>
  <c r="Z43" i="2"/>
  <c r="Z21" i="2"/>
  <c r="Y25" i="2"/>
  <c r="AA42" i="2" s="1"/>
  <c r="Y24" i="2"/>
  <c r="AA26" i="2"/>
  <c r="Z28" i="2"/>
  <c r="AB45" i="2" s="1"/>
  <c r="Z30" i="2"/>
  <c r="Z36" i="2" s="1"/>
  <c r="X29" i="2"/>
  <c r="Y36" i="2"/>
  <c r="AA45" i="2"/>
  <c r="Z38" i="2" l="1"/>
  <c r="Z39" i="2" s="1"/>
  <c r="AB43" i="2"/>
  <c r="AA28" i="2"/>
  <c r="AB26" i="2"/>
  <c r="AA30" i="2"/>
  <c r="Y29" i="2"/>
  <c r="AA21" i="2"/>
  <c r="Z25" i="2"/>
  <c r="Z24" i="2"/>
  <c r="AA43" i="2"/>
  <c r="Y38" i="2"/>
  <c r="Y39" i="2" s="1"/>
  <c r="AB42" i="2" l="1"/>
  <c r="Z29" i="2"/>
  <c r="AA36" i="2"/>
  <c r="AB21" i="2"/>
  <c r="AA24" i="2"/>
  <c r="AA25" i="2"/>
  <c r="AC26" i="2"/>
  <c r="AB28" i="2"/>
  <c r="AD45" i="2" s="1"/>
  <c r="AB30" i="2"/>
  <c r="AC45" i="2"/>
  <c r="AC42" i="2" l="1"/>
  <c r="AA29" i="2"/>
  <c r="AC21" i="2"/>
  <c r="AB24" i="2"/>
  <c r="AB25" i="2"/>
  <c r="AC28" i="2"/>
  <c r="AE45" i="2" s="1"/>
  <c r="AD26" i="2"/>
  <c r="AC30" i="2"/>
  <c r="AC36" i="2" s="1"/>
  <c r="AA38" i="2"/>
  <c r="AA39" i="2" s="1"/>
  <c r="AC43" i="2"/>
  <c r="AB36" i="2"/>
  <c r="AC38" i="2" l="1"/>
  <c r="AC39" i="2" s="1"/>
  <c r="AE43" i="2"/>
  <c r="AE26" i="2"/>
  <c r="AD28" i="2"/>
  <c r="AF45" i="2" s="1"/>
  <c r="AD30" i="2"/>
  <c r="AD36" i="2" s="1"/>
  <c r="AD42" i="2"/>
  <c r="AB29" i="2"/>
  <c r="AB38" i="2"/>
  <c r="AB39" i="2" s="1"/>
  <c r="AD43" i="2"/>
  <c r="AD21" i="2"/>
  <c r="AC24" i="2"/>
  <c r="AC25" i="2"/>
  <c r="AD38" i="2" l="1"/>
  <c r="AD39" i="2" s="1"/>
  <c r="AF43" i="2"/>
  <c r="AE42" i="2"/>
  <c r="AC29" i="2"/>
  <c r="AE28" i="2"/>
  <c r="AF26" i="2"/>
  <c r="AE30" i="2"/>
  <c r="AE21" i="2"/>
  <c r="AD24" i="2"/>
  <c r="AD25" i="2"/>
  <c r="AE36" i="2" l="1"/>
  <c r="AG26" i="2"/>
  <c r="AF28" i="2"/>
  <c r="AF30" i="2"/>
  <c r="AF21" i="2"/>
  <c r="AE24" i="2"/>
  <c r="AE25" i="2"/>
  <c r="AG45" i="2"/>
  <c r="AF42" i="2"/>
  <c r="AD29" i="2"/>
  <c r="AG42" i="2" l="1"/>
  <c r="AE29" i="2"/>
  <c r="AG21" i="2"/>
  <c r="AF25" i="2"/>
  <c r="AF24" i="2"/>
  <c r="AF36" i="2"/>
  <c r="AH45" i="2"/>
  <c r="AG28" i="2"/>
  <c r="AI45" i="2" s="1"/>
  <c r="AH26" i="2"/>
  <c r="AG30" i="2"/>
  <c r="AE38" i="2"/>
  <c r="AE39" i="2" s="1"/>
  <c r="AG43" i="2"/>
  <c r="AH42" i="2" l="1"/>
  <c r="AF29" i="2"/>
  <c r="AH21" i="2"/>
  <c r="AG25" i="2"/>
  <c r="AG24" i="2"/>
  <c r="AF38" i="2"/>
  <c r="AF39" i="2" s="1"/>
  <c r="AH43" i="2"/>
  <c r="AG36" i="2"/>
  <c r="AI26" i="2"/>
  <c r="AH28" i="2"/>
  <c r="AH30" i="2"/>
  <c r="AH36" i="2" s="1"/>
  <c r="AG38" i="2" l="1"/>
  <c r="AG39" i="2" s="1"/>
  <c r="AI43" i="2"/>
  <c r="AI42" i="2"/>
  <c r="AG29" i="2"/>
  <c r="AH38" i="2"/>
  <c r="AH39" i="2" s="1"/>
  <c r="AJ43" i="2"/>
  <c r="AI21" i="2"/>
  <c r="AH25" i="2"/>
  <c r="AH24" i="2"/>
  <c r="AJ45" i="2"/>
  <c r="AJ26" i="2"/>
  <c r="AI28" i="2"/>
  <c r="AI30" i="2"/>
  <c r="AJ42" i="2" l="1"/>
  <c r="AH29" i="2"/>
  <c r="AI36" i="2"/>
  <c r="AK45" i="2"/>
  <c r="AJ21" i="2"/>
  <c r="AI24" i="2"/>
  <c r="AI25" i="2"/>
  <c r="AK26" i="2"/>
  <c r="AJ28" i="2"/>
  <c r="AJ30" i="2"/>
  <c r="AK28" i="2" l="1"/>
  <c r="AL26" i="2"/>
  <c r="AK30" i="2"/>
  <c r="AK42" i="2"/>
  <c r="AI29" i="2"/>
  <c r="AK21" i="2"/>
  <c r="AJ24" i="2"/>
  <c r="AJ25" i="2"/>
  <c r="AI38" i="2"/>
  <c r="AI39" i="2" s="1"/>
  <c r="AK43" i="2"/>
  <c r="AJ36" i="2"/>
  <c r="AL45" i="2"/>
  <c r="AL42" i="2" l="1"/>
  <c r="AJ29" i="2"/>
  <c r="AJ38" i="2"/>
  <c r="AJ39" i="2" s="1"/>
  <c r="AL43" i="2"/>
  <c r="AL21" i="2"/>
  <c r="AK24" i="2"/>
  <c r="AK25" i="2"/>
  <c r="AK36" i="2"/>
  <c r="AM26" i="2"/>
  <c r="AL28" i="2"/>
  <c r="AL30" i="2"/>
  <c r="AM45" i="2"/>
  <c r="AK38" i="2" l="1"/>
  <c r="AK39" i="2" s="1"/>
  <c r="AM43" i="2"/>
  <c r="AL36" i="2"/>
  <c r="AM42" i="2"/>
  <c r="AK29" i="2"/>
  <c r="AM21" i="2"/>
  <c r="AL24" i="2"/>
  <c r="AL25" i="2"/>
  <c r="AN45" i="2"/>
  <c r="AM28" i="2"/>
  <c r="AN26" i="2"/>
  <c r="AM30" i="2"/>
  <c r="AL38" i="2" l="1"/>
  <c r="AL39" i="2" s="1"/>
  <c r="AN43" i="2"/>
  <c r="AN42" i="2"/>
  <c r="AL29" i="2"/>
  <c r="AN21" i="2"/>
  <c r="AM24" i="2"/>
  <c r="AM25" i="2"/>
  <c r="AM36" i="2"/>
  <c r="AO26" i="2"/>
  <c r="AN28" i="2"/>
  <c r="AN30" i="2"/>
  <c r="AO45" i="2"/>
  <c r="AM38" i="2" l="1"/>
  <c r="AM39" i="2" s="1"/>
  <c r="AO43" i="2"/>
  <c r="AO42" i="2"/>
  <c r="AM29" i="2"/>
  <c r="AO21" i="2"/>
  <c r="AN24" i="2"/>
  <c r="AN25" i="2"/>
  <c r="AN36" i="2"/>
  <c r="AP45" i="2"/>
  <c r="AO28" i="2"/>
  <c r="AP26" i="2"/>
  <c r="AO30" i="2"/>
  <c r="AP42" i="2" l="1"/>
  <c r="AN29" i="2"/>
  <c r="AP21" i="2"/>
  <c r="AO24" i="2"/>
  <c r="AO25" i="2"/>
  <c r="AN38" i="2"/>
  <c r="AN39" i="2" s="1"/>
  <c r="AP43" i="2"/>
  <c r="AO36" i="2"/>
  <c r="AQ26" i="2"/>
  <c r="AP28" i="2"/>
  <c r="AP30" i="2"/>
  <c r="AP36" i="2" s="1"/>
  <c r="AQ45" i="2"/>
  <c r="AO38" i="2" l="1"/>
  <c r="AO39" i="2" s="1"/>
  <c r="AQ43" i="2"/>
  <c r="AQ42" i="2"/>
  <c r="AO29" i="2"/>
  <c r="AP38" i="2"/>
  <c r="AP39" i="2" s="1"/>
  <c r="AR43" i="2"/>
  <c r="AQ21" i="2"/>
  <c r="AP24" i="2"/>
  <c r="AP25" i="2"/>
  <c r="AR45" i="2"/>
  <c r="AQ28" i="2"/>
  <c r="AR26" i="2"/>
  <c r="AQ30" i="2"/>
  <c r="AQ36" i="2" l="1"/>
  <c r="AR28" i="2"/>
  <c r="AS26" i="2"/>
  <c r="AR30" i="2"/>
  <c r="AR21" i="2"/>
  <c r="AQ25" i="2"/>
  <c r="AQ24" i="2"/>
  <c r="AS45" i="2"/>
  <c r="AR42" i="2"/>
  <c r="AP29" i="2"/>
  <c r="AS42" i="2" l="1"/>
  <c r="AQ29" i="2"/>
  <c r="AS21" i="2"/>
  <c r="AR24" i="2"/>
  <c r="AR25" i="2"/>
  <c r="AR36" i="2"/>
  <c r="AS28" i="2"/>
  <c r="AU45" i="2" s="1"/>
  <c r="AT26" i="2"/>
  <c r="AS30" i="2"/>
  <c r="AT45" i="2"/>
  <c r="AQ38" i="2"/>
  <c r="AQ39" i="2" s="1"/>
  <c r="AS43" i="2"/>
  <c r="AT28" i="2" l="1"/>
  <c r="AU26" i="2"/>
  <c r="AT30" i="2"/>
  <c r="AR38" i="2"/>
  <c r="AR39" i="2" s="1"/>
  <c r="AT43" i="2"/>
  <c r="AT42" i="2"/>
  <c r="AR29" i="2"/>
  <c r="AT21" i="2"/>
  <c r="AS24" i="2"/>
  <c r="AS25" i="2"/>
  <c r="AS36" i="2"/>
  <c r="AU21" i="2" l="1"/>
  <c r="AT24" i="2"/>
  <c r="AT25" i="2"/>
  <c r="AS38" i="2"/>
  <c r="AS39" i="2" s="1"/>
  <c r="AU43" i="2"/>
  <c r="AT36" i="2"/>
  <c r="AU42" i="2"/>
  <c r="AS29" i="2"/>
  <c r="AU28" i="2"/>
  <c r="AW45" i="2" s="1"/>
  <c r="AV26" i="2"/>
  <c r="AU30" i="2"/>
  <c r="AU36" i="2" s="1"/>
  <c r="AV45" i="2"/>
  <c r="AT38" i="2" l="1"/>
  <c r="AT39" i="2" s="1"/>
  <c r="AV43" i="2"/>
  <c r="AU38" i="2"/>
  <c r="AU39" i="2" s="1"/>
  <c r="AW43" i="2"/>
  <c r="AV42" i="2"/>
  <c r="AT29" i="2"/>
  <c r="AW26" i="2"/>
  <c r="AV28" i="2"/>
  <c r="AX45" i="2" s="1"/>
  <c r="AV30" i="2"/>
  <c r="AV21" i="2"/>
  <c r="AU24" i="2"/>
  <c r="AU25" i="2"/>
  <c r="AW42" i="2" l="1"/>
  <c r="AU29" i="2"/>
  <c r="AW28" i="2"/>
  <c r="AX26" i="2"/>
  <c r="AW30" i="2"/>
  <c r="AW21" i="2"/>
  <c r="AV25" i="2"/>
  <c r="AV24" i="2"/>
  <c r="AV36" i="2"/>
  <c r="AX21" i="2" l="1"/>
  <c r="AW25" i="2"/>
  <c r="AW29" i="2" s="1"/>
  <c r="AW24" i="2"/>
  <c r="AX42" i="2"/>
  <c r="AV29" i="2"/>
  <c r="AW36" i="2"/>
  <c r="AW38" i="2" s="1"/>
  <c r="AW39" i="2" s="1"/>
  <c r="AX28" i="2"/>
  <c r="AX30" i="2"/>
  <c r="AX36" i="2" s="1"/>
  <c r="AX38" i="2" s="1"/>
  <c r="AX39" i="2" s="1"/>
  <c r="AV38" i="2"/>
  <c r="AV39" i="2" s="1"/>
  <c r="AX43" i="2"/>
  <c r="AX24" i="2" l="1"/>
  <c r="AX25" i="2"/>
  <c r="AX29" i="2" s="1"/>
</calcChain>
</file>

<file path=xl/sharedStrings.xml><?xml version="1.0" encoding="utf-8"?>
<sst xmlns="http://schemas.openxmlformats.org/spreadsheetml/2006/main" count="116" uniqueCount="95">
  <si>
    <t>Ticker</t>
  </si>
  <si>
    <t>$DIS</t>
  </si>
  <si>
    <t>Price</t>
  </si>
  <si>
    <t xml:space="preserve">shares outstanding </t>
  </si>
  <si>
    <t xml:space="preserve">market cap </t>
  </si>
  <si>
    <t xml:space="preserve">debt </t>
  </si>
  <si>
    <t xml:space="preserve">cash </t>
  </si>
  <si>
    <t>EV</t>
  </si>
  <si>
    <t>Net Cash</t>
  </si>
  <si>
    <t xml:space="preserve">Revenue </t>
  </si>
  <si>
    <t xml:space="preserve">SG&amp;A </t>
  </si>
  <si>
    <t>Operating Expenses</t>
  </si>
  <si>
    <t xml:space="preserve">Total Other Income </t>
  </si>
  <si>
    <t xml:space="preserve">PreTax Income </t>
  </si>
  <si>
    <t>Taxes</t>
  </si>
  <si>
    <t xml:space="preserve">Net Income </t>
  </si>
  <si>
    <t xml:space="preserve">EPS </t>
  </si>
  <si>
    <t xml:space="preserve">Shares </t>
  </si>
  <si>
    <t xml:space="preserve">Gross Margin % </t>
  </si>
  <si>
    <t xml:space="preserve">Tax Rate </t>
  </si>
  <si>
    <t xml:space="preserve">Revenue Y/Y </t>
  </si>
  <si>
    <t>SG&amp;A y/y</t>
  </si>
  <si>
    <t xml:space="preserve">R&amp;D y/y </t>
  </si>
  <si>
    <t>Net Income y/y/</t>
  </si>
  <si>
    <t>millions</t>
  </si>
  <si>
    <t>Services</t>
  </si>
  <si>
    <t>Products</t>
  </si>
  <si>
    <t xml:space="preserve">Total Revenue </t>
  </si>
  <si>
    <t>Cost of Services</t>
  </si>
  <si>
    <t xml:space="preserve">Cost of Products </t>
  </si>
  <si>
    <t>COGS</t>
  </si>
  <si>
    <t xml:space="preserve">Depreciation &amp; Amortisation </t>
  </si>
  <si>
    <t>Gross Profit</t>
  </si>
  <si>
    <t>Total Costs &amp; Expenses</t>
  </si>
  <si>
    <t xml:space="preserve">Restructuring &amp; Impairment </t>
  </si>
  <si>
    <t xml:space="preserve">Other income (expense) </t>
  </si>
  <si>
    <t xml:space="preserve">Interest Expense </t>
  </si>
  <si>
    <t xml:space="preserve">Equity in income </t>
  </si>
  <si>
    <t>Continued Ops before income tax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</si>
  <si>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</si>
  <si>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</si>
  <si>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</si>
  <si>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</si>
  <si>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</si>
  <si>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</si>
  <si>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</si>
  <si>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</si>
  <si>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</si>
  <si>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</si>
  <si>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</si>
  <si>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Q2 2024</t>
  </si>
  <si>
    <t>Q3 2024</t>
  </si>
  <si>
    <t>Q4 2024</t>
  </si>
  <si>
    <t>Operating Revenue</t>
  </si>
  <si>
    <t>Dec</t>
  </si>
  <si>
    <t>March</t>
  </si>
  <si>
    <t>June</t>
  </si>
  <si>
    <t>Sept</t>
  </si>
  <si>
    <t>Q1 2020</t>
  </si>
  <si>
    <t>Jan</t>
  </si>
  <si>
    <t xml:space="preserve">Average Revenue growth </t>
  </si>
  <si>
    <t xml:space="preserve">COGS average growth </t>
  </si>
  <si>
    <t xml:space="preserve">Average Margin </t>
  </si>
  <si>
    <t xml:space="preserve">Depreciation average </t>
  </si>
  <si>
    <t>SG&amp;A average</t>
  </si>
  <si>
    <t xml:space="preserve">Segment Data </t>
  </si>
  <si>
    <t xml:space="preserve">Entertainment </t>
  </si>
  <si>
    <t xml:space="preserve">Sports </t>
  </si>
  <si>
    <t xml:space="preserve">Experiences </t>
  </si>
  <si>
    <t xml:space="preserve">Third Parties </t>
  </si>
  <si>
    <t xml:space="preserve">Intergsegment </t>
  </si>
  <si>
    <t xml:space="preserve">Revenue Segments </t>
  </si>
  <si>
    <t>Subscription fees</t>
  </si>
  <si>
    <t xml:space="preserve">Affiliate Fees </t>
  </si>
  <si>
    <t xml:space="preserve">Theme Park Admissions </t>
  </si>
  <si>
    <t xml:space="preserve">Resort &amp; Vacations </t>
  </si>
  <si>
    <t xml:space="preserve">Retail &amp; Wholesale </t>
  </si>
  <si>
    <t xml:space="preserve">Merchandise Licensing </t>
  </si>
  <si>
    <t>TV/VOD distribution</t>
  </si>
  <si>
    <t xml:space="preserve">Theatrical Licensing </t>
  </si>
  <si>
    <t xml:space="preserve">Home Entertainment </t>
  </si>
  <si>
    <t xml:space="preserve">Other </t>
  </si>
  <si>
    <t xml:space="preserve">Americas </t>
  </si>
  <si>
    <t xml:space="preserve">Europe </t>
  </si>
  <si>
    <t xml:space="preserve">Asia Pacific </t>
  </si>
  <si>
    <t xml:space="preserve">Locations Revenues </t>
  </si>
  <si>
    <t xml:space="preserve">Eliminations </t>
  </si>
  <si>
    <t xml:space="preserve">Advertising </t>
  </si>
  <si>
    <t xml:space="preserve">Subscription fee growth YoY </t>
  </si>
  <si>
    <t xml:space="preserve">Theme Park Admissions YoY </t>
  </si>
  <si>
    <t xml:space="preserve">Total </t>
  </si>
  <si>
    <t>Revenue Mix YoY</t>
  </si>
  <si>
    <t>Entertainment %</t>
  </si>
  <si>
    <t>Sports %</t>
  </si>
  <si>
    <t>Experiences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</si>
</sst>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"/>
    <numFmt numFmtId="165" formatCode="[$$-409]#,##0.00"/>
  </numFmts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Times New Roman"/>
      <family val="1"/>
    </font>
    <font>
      <i/>
      <sz val="12"/>
      <color theme="1"/>
      <name val="Aptos Narrow"/>
      <scheme val="minor"/>
    </font>
    <font>
      <b/>
      <sz val="11"/>
      <color rgb="FF000000"/>
      <name val="Times New Roman"/>
      <family val="1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3" fontId="2" fillId="0" borderId="0" xfId="0" applyNumberFormat="1" applyFont="1"/>
    <xf numFmtId="0" fontId="3" fillId="0" borderId="0" xfId="0" applyFont="1"/>
    <xf numFmtId="3" fontId="4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4" xfId="0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3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5" fillId="0" borderId="0" xfId="0" applyFont="1"/>
    <xf numFmtId="0" fontId="1" fillId="0" borderId="0" xfId="0" applyFont="1"/>
    <xf numFmtId="164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0" borderId="0" xfId="0" applyNumberFormat="1"/>
    <xf numFmtId="9" fontId="0" fillId="0" borderId="0" xfId="0" applyNumberFormat="1"/>
    <xf numFmtId="9" fontId="0" fillId="2" borderId="0" xfId="0" applyNumberFormat="1" applyFill="1"/>
    <xf numFmtId="165" fontId="0" fillId="0" borderId="0" xfId="0" applyNumberFormat="1"/>
    <xf numFmtId="164" fontId="0" fillId="0" borderId="0" xfId="0" applyNumberFormat="1" applyAlignment="1">
      <alignment horizontal="center"/>
    </xf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0" fontId="0" fillId="0" borderId="2" xfId="0" applyBorder="1"/>
    <xf numFmtId="164" fontId="5" fillId="0" borderId="2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164" fontId="5" fillId="0" borderId="2" xfId="0" applyNumberFormat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0" fillId="0" borderId="1" xfId="0" applyBorder="1"/>
    <xf numFmtId="164" fontId="5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46D96-6140-BE4D-9F29-B67CE596CCE3}">
  <dimension ref="A2:D10"/>
  <sheetViews>
    <sheetView workbookViewId="0">
      <selection activeCell="C12" sqref="C12"/>
    </sheetView>
  </sheetViews>
  <sheetFormatPr baseColWidth="10" defaultRowHeight="16" x14ac:dyDescent="0.2"/>
  <cols>
    <col min="1" max="1" width="16.83203125" bestFit="1" customWidth="1"/>
    <col min="2" max="2" width="17.33203125" bestFit="1" customWidth="1"/>
  </cols>
  <sheetData>
    <row r="2" spans="1:4" x14ac:dyDescent="0.2">
      <c r="A2" t="s">
        <v>0</v>
      </c>
      <c r="B2" s="1" t="s">
        <v>1</v>
      </c>
    </row>
    <row r="3" spans="1:4" x14ac:dyDescent="0.2">
      <c r="A3" t="s">
        <v>2</v>
      </c>
      <c r="B3" s="2">
        <v>97.37</v>
      </c>
    </row>
    <row r="4" spans="1:4" x14ac:dyDescent="0.2">
      <c r="A4" t="s">
        <v>3</v>
      </c>
      <c r="B4" s="3">
        <v>1823</v>
      </c>
      <c r="C4" s="4" t="s">
        <v>24</v>
      </c>
    </row>
    <row r="5" spans="1:4" x14ac:dyDescent="0.2">
      <c r="A5" t="s">
        <v>4</v>
      </c>
      <c r="B5" s="2">
        <f>B4*B3</f>
        <v>177505.51</v>
      </c>
      <c r="C5" s="4" t="s">
        <v>24</v>
      </c>
    </row>
    <row r="6" spans="1:4" x14ac:dyDescent="0.2">
      <c r="A6" t="s">
        <v>5</v>
      </c>
      <c r="B6" s="5">
        <v>32874</v>
      </c>
      <c r="C6" s="4" t="s">
        <v>24</v>
      </c>
      <c r="D6" s="4"/>
    </row>
    <row r="7" spans="1:4" x14ac:dyDescent="0.2">
      <c r="A7" t="s">
        <v>6</v>
      </c>
      <c r="B7" s="5">
        <v>6635</v>
      </c>
      <c r="C7" s="4" t="s">
        <v>24</v>
      </c>
    </row>
    <row r="8" spans="1:4" x14ac:dyDescent="0.2">
      <c r="A8" t="s">
        <v>7</v>
      </c>
      <c r="B8" s="2">
        <f>B5+B6-B7</f>
        <v>203744.51</v>
      </c>
      <c r="C8" s="4" t="s">
        <v>24</v>
      </c>
    </row>
    <row r="9" spans="1:4" x14ac:dyDescent="0.2">
      <c r="B9" s="2"/>
    </row>
    <row r="10" spans="1:4" x14ac:dyDescent="0.2">
      <c r="A10" t="s">
        <v>8</v>
      </c>
      <c r="B10" s="2">
        <f>B6-B7</f>
        <v>26239</v>
      </c>
      <c r="C10" s="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7F19A-A692-444A-BE0C-2E8B375665C1}">
  <dimension ref="B3:AX84"/>
  <sheetViews>
    <sheetView tabSelected="1" workbookViewId="0">
      <pane xSplit="2" ySplit="4" topLeftCell="C17" activePane="bottomRight" state="frozen"/>
      <selection pane="topRight" activeCell="C1" sqref="C1"/>
      <selection pane="bottomLeft" activeCell="A5" sqref="A5"/>
      <selection pane="bottomRight" activeCell="C42" sqref="C42"/>
    </sheetView>
  </sheetViews>
  <sheetFormatPr baseColWidth="10" defaultRowHeight="16" x14ac:dyDescent="0.2"/>
  <cols>
    <col min="2" max="2" width="28.33203125" bestFit="1" customWidth="1"/>
    <col min="23" max="41" width="11.1640625" bestFit="1" customWidth="1"/>
    <col min="42" max="50" width="12.6640625" bestFit="1" customWidth="1"/>
  </cols>
  <sheetData>
    <row r="3" spans="2:50" x14ac:dyDescent="0.2">
      <c r="C3" s="6" t="s">
        <v>54</v>
      </c>
      <c r="D3" s="6" t="s">
        <v>55</v>
      </c>
      <c r="E3" s="6" t="s">
        <v>56</v>
      </c>
      <c r="F3" s="6" t="s">
        <v>57</v>
      </c>
      <c r="G3" s="6" t="s">
        <v>59</v>
      </c>
      <c r="H3" s="6" t="s">
        <v>55</v>
      </c>
      <c r="I3" s="6" t="s">
        <v>56</v>
      </c>
      <c r="J3" s="6" t="s">
        <v>57</v>
      </c>
      <c r="K3" s="6" t="s">
        <v>54</v>
      </c>
      <c r="L3" s="6" t="s">
        <v>55</v>
      </c>
      <c r="M3" s="6" t="s">
        <v>56</v>
      </c>
      <c r="N3" s="6" t="s">
        <v>57</v>
      </c>
      <c r="O3" s="6" t="s">
        <v>54</v>
      </c>
      <c r="P3" s="6" t="s">
        <v>55</v>
      </c>
      <c r="Q3" s="6" t="s">
        <v>56</v>
      </c>
      <c r="R3" s="6" t="s">
        <v>57</v>
      </c>
    </row>
    <row r="4" spans="2:50" x14ac:dyDescent="0.2">
      <c r="C4" s="8" t="s">
        <v>58</v>
      </c>
      <c r="D4" s="8" t="s">
        <v>39</v>
      </c>
      <c r="E4" s="8" t="s">
        <v>40</v>
      </c>
      <c r="F4" s="8" t="s">
        <v>41</v>
      </c>
      <c r="G4" s="10" t="s">
        <v>42</v>
      </c>
      <c r="H4" s="8" t="s">
        <v>43</v>
      </c>
      <c r="I4" s="8" t="s">
        <v>44</v>
      </c>
      <c r="J4" s="8" t="s">
        <v>45</v>
      </c>
      <c r="K4" s="10" t="s">
        <v>42</v>
      </c>
      <c r="L4" s="8" t="s">
        <v>47</v>
      </c>
      <c r="M4" s="8" t="s">
        <v>48</v>
      </c>
      <c r="N4" s="8" t="s">
        <v>49</v>
      </c>
      <c r="O4" s="10" t="s">
        <v>46</v>
      </c>
      <c r="P4" s="8" t="s">
        <v>50</v>
      </c>
      <c r="Q4" s="8" t="s">
        <v>51</v>
      </c>
      <c r="R4" s="8" t="s">
        <v>52</v>
      </c>
      <c r="T4" s="29">
        <v>2021</v>
      </c>
      <c r="U4" s="29">
        <v>2022</v>
      </c>
      <c r="V4" s="29">
        <v>2023</v>
      </c>
      <c r="W4" s="30">
        <v>2024</v>
      </c>
      <c r="X4" s="29">
        <v>2025</v>
      </c>
      <c r="Y4" s="29">
        <v>2026</v>
      </c>
      <c r="Z4" s="29">
        <v>2027</v>
      </c>
      <c r="AA4" s="29">
        <v>2028</v>
      </c>
      <c r="AB4" s="29">
        <v>2029</v>
      </c>
      <c r="AC4" s="29">
        <v>2030</v>
      </c>
      <c r="AD4" s="29">
        <v>2031</v>
      </c>
      <c r="AE4" s="29">
        <v>2032</v>
      </c>
      <c r="AF4" s="29">
        <v>2033</v>
      </c>
      <c r="AG4" s="29">
        <v>2034</v>
      </c>
      <c r="AH4" s="29">
        <v>2035</v>
      </c>
      <c r="AI4" s="29">
        <v>2036</v>
      </c>
      <c r="AJ4" s="29">
        <v>2037</v>
      </c>
      <c r="AK4" s="29">
        <v>2038</v>
      </c>
      <c r="AL4" s="29">
        <v>2039</v>
      </c>
      <c r="AM4" s="29">
        <v>2040</v>
      </c>
      <c r="AN4" s="29">
        <v>2041</v>
      </c>
      <c r="AO4" s="29">
        <v>2042</v>
      </c>
      <c r="AP4" s="29">
        <v>2043</v>
      </c>
      <c r="AQ4" s="29">
        <v>2044</v>
      </c>
      <c r="AR4" s="29">
        <v>2045</v>
      </c>
      <c r="AS4" s="29">
        <v>2046</v>
      </c>
      <c r="AT4" s="29">
        <v>2047</v>
      </c>
      <c r="AU4" s="29">
        <v>2048</v>
      </c>
      <c r="AV4" s="29">
        <v>2049</v>
      </c>
      <c r="AW4" s="29">
        <v>2050</v>
      </c>
      <c r="AX4" s="29">
        <v>2051</v>
      </c>
    </row>
    <row r="5" spans="2:50" x14ac:dyDescent="0.2">
      <c r="B5" s="14" t="s">
        <v>65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</row>
    <row r="6" spans="2:50" x14ac:dyDescent="0.2">
      <c r="B6" s="14" t="s">
        <v>66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</row>
    <row r="7" spans="2:50" x14ac:dyDescent="0.2">
      <c r="B7" s="13" t="s">
        <v>69</v>
      </c>
      <c r="C7" s="24"/>
      <c r="D7" s="24"/>
      <c r="E7" s="24"/>
      <c r="F7" s="24"/>
      <c r="G7" s="24"/>
      <c r="H7" s="24"/>
      <c r="I7" s="24"/>
      <c r="J7" s="24"/>
      <c r="K7" s="24"/>
      <c r="L7" s="24">
        <v>10212</v>
      </c>
      <c r="M7" s="24"/>
      <c r="N7" s="24"/>
      <c r="O7" s="24"/>
      <c r="P7" s="24">
        <v>9691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</row>
    <row r="8" spans="2:50" x14ac:dyDescent="0.2">
      <c r="B8" s="13" t="s">
        <v>70</v>
      </c>
      <c r="C8" s="24"/>
      <c r="D8" s="24"/>
      <c r="E8" s="24"/>
      <c r="F8" s="24"/>
      <c r="G8" s="24"/>
      <c r="H8" s="24"/>
      <c r="I8" s="24"/>
      <c r="J8" s="24"/>
      <c r="K8" s="24"/>
      <c r="L8" s="24">
        <v>97</v>
      </c>
      <c r="M8" s="24"/>
      <c r="N8" s="24"/>
      <c r="O8" s="24"/>
      <c r="P8" s="24">
        <v>105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</row>
    <row r="9" spans="2:50" ht="17" thickBot="1" x14ac:dyDescent="0.25">
      <c r="B9" s="13" t="s">
        <v>90</v>
      </c>
      <c r="C9" s="24"/>
      <c r="D9" s="24"/>
      <c r="E9" s="24"/>
      <c r="F9" s="24"/>
      <c r="G9" s="24"/>
      <c r="H9" s="24"/>
      <c r="I9" s="24"/>
      <c r="J9" s="24"/>
      <c r="K9" s="24"/>
      <c r="L9" s="38">
        <f>SUM(L7:L8)</f>
        <v>10309</v>
      </c>
      <c r="M9" s="24"/>
      <c r="N9" s="24"/>
      <c r="O9" s="24"/>
      <c r="P9" s="38">
        <f>SUM(P7:P8)</f>
        <v>9796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</row>
    <row r="10" spans="2:50" ht="17" thickTop="1" x14ac:dyDescent="0.2">
      <c r="B10" s="14" t="s">
        <v>67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</row>
    <row r="11" spans="2:50" x14ac:dyDescent="0.2">
      <c r="B11" s="13" t="s">
        <v>69</v>
      </c>
      <c r="C11" s="24"/>
      <c r="D11" s="24"/>
      <c r="E11" s="24"/>
      <c r="F11" s="24"/>
      <c r="G11" s="24"/>
      <c r="H11" s="24"/>
      <c r="I11" s="24"/>
      <c r="J11" s="24"/>
      <c r="K11" s="24"/>
      <c r="L11" s="24">
        <v>3957</v>
      </c>
      <c r="M11" s="24"/>
      <c r="N11" s="24"/>
      <c r="O11" s="24"/>
      <c r="P11" s="24">
        <v>3999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</row>
    <row r="12" spans="2:50" x14ac:dyDescent="0.2">
      <c r="B12" s="13" t="s">
        <v>70</v>
      </c>
      <c r="C12" s="24"/>
      <c r="D12" s="24"/>
      <c r="E12" s="24"/>
      <c r="F12" s="24"/>
      <c r="G12" s="24"/>
      <c r="H12" s="24"/>
      <c r="I12" s="24"/>
      <c r="J12" s="24"/>
      <c r="K12" s="24"/>
      <c r="L12" s="24">
        <v>269</v>
      </c>
      <c r="M12" s="24"/>
      <c r="N12" s="24"/>
      <c r="O12" s="24"/>
      <c r="P12" s="24">
        <v>313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</row>
    <row r="13" spans="2:50" ht="17" thickBot="1" x14ac:dyDescent="0.25">
      <c r="B13" s="13" t="s">
        <v>90</v>
      </c>
      <c r="C13" s="24"/>
      <c r="D13" s="24"/>
      <c r="E13" s="24"/>
      <c r="F13" s="24"/>
      <c r="G13" s="24"/>
      <c r="H13" s="24"/>
      <c r="I13" s="24"/>
      <c r="J13" s="24"/>
      <c r="K13" s="24"/>
      <c r="L13" s="38">
        <f>SUM(L11:L12)</f>
        <v>4226</v>
      </c>
      <c r="M13" s="24"/>
      <c r="N13" s="24"/>
      <c r="O13" s="24"/>
      <c r="P13" s="38">
        <f>SUM(P11:P12)</f>
        <v>4312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</row>
    <row r="14" spans="2:50" ht="17" thickTop="1" x14ac:dyDescent="0.2"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</row>
    <row r="15" spans="2:50" ht="17" thickBot="1" x14ac:dyDescent="0.25">
      <c r="B15" s="36" t="s">
        <v>68</v>
      </c>
      <c r="C15" s="24"/>
      <c r="D15" s="24"/>
      <c r="E15" s="24"/>
      <c r="F15" s="24"/>
      <c r="G15" s="24"/>
      <c r="H15" s="24"/>
      <c r="I15" s="24"/>
      <c r="J15" s="24"/>
      <c r="K15" s="24"/>
      <c r="L15" s="38">
        <v>7646</v>
      </c>
      <c r="M15" s="24"/>
      <c r="N15" s="24"/>
      <c r="O15" s="24"/>
      <c r="P15" s="38">
        <v>8393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</row>
    <row r="16" spans="2:50" ht="17" thickTop="1" x14ac:dyDescent="0.2">
      <c r="B16" s="36" t="s">
        <v>86</v>
      </c>
      <c r="C16" s="24"/>
      <c r="D16" s="24"/>
      <c r="E16" s="24"/>
      <c r="F16" s="24"/>
      <c r="G16" s="24"/>
      <c r="H16" s="24"/>
      <c r="I16" s="24"/>
      <c r="J16" s="24"/>
      <c r="K16" s="24"/>
      <c r="L16" s="24">
        <v>-366</v>
      </c>
      <c r="M16" s="24"/>
      <c r="N16" s="24"/>
      <c r="O16" s="24"/>
      <c r="P16" s="24">
        <v>-418</v>
      </c>
    </row>
    <row r="18" spans="2:50" x14ac:dyDescent="0.2">
      <c r="B18" s="9" t="s">
        <v>9</v>
      </c>
      <c r="C18" s="7"/>
      <c r="D18" s="7"/>
      <c r="E18" s="7"/>
      <c r="F18" s="19"/>
      <c r="G18" s="11"/>
      <c r="H18" s="7"/>
      <c r="I18" s="7"/>
      <c r="J18" s="19"/>
      <c r="K18" s="11"/>
      <c r="L18" s="7"/>
      <c r="M18" s="7"/>
      <c r="N18" s="7"/>
      <c r="O18" s="11"/>
      <c r="P18" s="7"/>
      <c r="Q18" s="7"/>
      <c r="R18" s="7"/>
      <c r="W18" s="27"/>
    </row>
    <row r="19" spans="2:50" x14ac:dyDescent="0.2">
      <c r="B19" s="12" t="s">
        <v>25</v>
      </c>
      <c r="C19" s="7">
        <v>14871</v>
      </c>
      <c r="D19" s="7">
        <v>14522</v>
      </c>
      <c r="E19" s="7">
        <v>15585</v>
      </c>
      <c r="F19" s="7">
        <f>(61678-SUM(C19:E19))</f>
        <v>16700</v>
      </c>
      <c r="G19" s="7">
        <v>19542</v>
      </c>
      <c r="H19" s="7">
        <v>17212</v>
      </c>
      <c r="I19" s="7">
        <v>19461</v>
      </c>
      <c r="J19" s="7">
        <f>(74200-SUM(G19:I19))</f>
        <v>17985</v>
      </c>
      <c r="K19" s="7">
        <v>20997</v>
      </c>
      <c r="L19" s="7">
        <v>19586</v>
      </c>
      <c r="M19" s="7">
        <v>20008</v>
      </c>
      <c r="N19" s="7">
        <f>(79562-SUM(K19:M19))</f>
        <v>18971</v>
      </c>
      <c r="O19" s="7">
        <v>20975</v>
      </c>
      <c r="P19" s="7">
        <v>19757</v>
      </c>
      <c r="Q19" s="7"/>
      <c r="R19" s="7"/>
      <c r="W19" s="27"/>
    </row>
    <row r="20" spans="2:50" x14ac:dyDescent="0.2">
      <c r="B20" s="13" t="s">
        <v>26</v>
      </c>
      <c r="C20" s="7">
        <v>1378</v>
      </c>
      <c r="D20" s="7">
        <v>1091</v>
      </c>
      <c r="E20" s="7">
        <v>1437</v>
      </c>
      <c r="F20" s="7">
        <f>(5650-(SUM(C20:E20)))</f>
        <v>1744</v>
      </c>
      <c r="G20" s="7">
        <v>2277</v>
      </c>
      <c r="H20" s="7">
        <v>2037</v>
      </c>
      <c r="I20" s="7">
        <v>2043</v>
      </c>
      <c r="J20" s="7">
        <f>(8522-(SUM(G20:I20)))</f>
        <v>2165</v>
      </c>
      <c r="K20" s="7">
        <v>2515</v>
      </c>
      <c r="L20" s="7">
        <v>2229</v>
      </c>
      <c r="M20" s="7">
        <v>2322</v>
      </c>
      <c r="N20" s="7">
        <f>(9335-(SUM(K20:M20)))</f>
        <v>2269</v>
      </c>
      <c r="O20" s="7">
        <v>2574</v>
      </c>
      <c r="P20" s="7">
        <v>2326</v>
      </c>
      <c r="Q20" s="7"/>
      <c r="R20" s="7"/>
      <c r="W20" s="27"/>
    </row>
    <row r="21" spans="2:50" x14ac:dyDescent="0.2">
      <c r="B21" s="14" t="s">
        <v>27</v>
      </c>
      <c r="C21" s="16">
        <f t="shared" ref="C21" si="0">SUM(C19:C20)</f>
        <v>16249</v>
      </c>
      <c r="D21" s="16">
        <f t="shared" ref="D21" si="1">SUM(D19:D20)</f>
        <v>15613</v>
      </c>
      <c r="E21" s="16">
        <f t="shared" ref="E21:F21" si="2">SUM(E19:E20)</f>
        <v>17022</v>
      </c>
      <c r="F21" s="16">
        <f t="shared" si="2"/>
        <v>18444</v>
      </c>
      <c r="G21" s="16">
        <f t="shared" ref="G21" si="3">SUM(G19:G20)</f>
        <v>21819</v>
      </c>
      <c r="H21" s="16">
        <f t="shared" ref="H21" si="4">SUM(H19:H20)</f>
        <v>19249</v>
      </c>
      <c r="I21" s="16">
        <f t="shared" ref="I21:J21" si="5">SUM(I19:I20)</f>
        <v>21504</v>
      </c>
      <c r="J21" s="16">
        <f t="shared" si="5"/>
        <v>20150</v>
      </c>
      <c r="K21" s="16">
        <f t="shared" ref="K21" si="6">SUM(K19:K20)</f>
        <v>23512</v>
      </c>
      <c r="L21" s="16">
        <f t="shared" ref="L21" si="7">SUM(L19:L20)</f>
        <v>21815</v>
      </c>
      <c r="M21" s="16">
        <f t="shared" ref="M21:N21" si="8">SUM(M19:M20)</f>
        <v>22330</v>
      </c>
      <c r="N21" s="16">
        <f t="shared" si="8"/>
        <v>21240</v>
      </c>
      <c r="O21" s="16">
        <f>SUM(O19:O20)</f>
        <v>23549</v>
      </c>
      <c r="P21" s="16">
        <f t="shared" ref="P21" si="9">SUM(P19:P20)</f>
        <v>22083</v>
      </c>
      <c r="Q21" s="16"/>
      <c r="R21" s="7"/>
      <c r="T21" s="25">
        <f>SUM(C21:F21)</f>
        <v>67328</v>
      </c>
      <c r="U21" s="25">
        <f>SUM(G21:J21)</f>
        <v>82722</v>
      </c>
      <c r="V21" s="25">
        <f>SUM(K21:N21)</f>
        <v>88897</v>
      </c>
      <c r="W21" s="28">
        <f>V21*1.13</f>
        <v>100453.60999999999</v>
      </c>
      <c r="X21" s="26">
        <f t="shared" ref="X21:AX21" si="10">W21*1.13</f>
        <v>113512.57929999997</v>
      </c>
      <c r="Y21" s="26">
        <f t="shared" si="10"/>
        <v>128269.21460899996</v>
      </c>
      <c r="Z21" s="26">
        <f t="shared" si="10"/>
        <v>144944.21250816993</v>
      </c>
      <c r="AA21" s="26">
        <f t="shared" si="10"/>
        <v>163786.96013423201</v>
      </c>
      <c r="AB21" s="26">
        <f t="shared" si="10"/>
        <v>185079.26495168215</v>
      </c>
      <c r="AC21" s="26">
        <f t="shared" si="10"/>
        <v>209139.56939540082</v>
      </c>
      <c r="AD21" s="26">
        <f t="shared" si="10"/>
        <v>236327.7134168029</v>
      </c>
      <c r="AE21" s="26">
        <f t="shared" si="10"/>
        <v>267050.31616098725</v>
      </c>
      <c r="AF21" s="26">
        <f t="shared" si="10"/>
        <v>301766.85726191557</v>
      </c>
      <c r="AG21" s="26">
        <f t="shared" si="10"/>
        <v>340996.54870596458</v>
      </c>
      <c r="AH21" s="26">
        <f t="shared" si="10"/>
        <v>385326.10003773996</v>
      </c>
      <c r="AI21" s="26">
        <f t="shared" si="10"/>
        <v>435418.49304264609</v>
      </c>
      <c r="AJ21" s="26">
        <f t="shared" si="10"/>
        <v>492022.89713819005</v>
      </c>
      <c r="AK21" s="26">
        <f t="shared" si="10"/>
        <v>555985.87376615475</v>
      </c>
      <c r="AL21" s="26">
        <f t="shared" si="10"/>
        <v>628264.03735575476</v>
      </c>
      <c r="AM21" s="26">
        <f t="shared" si="10"/>
        <v>709938.36221200286</v>
      </c>
      <c r="AN21" s="26">
        <f t="shared" si="10"/>
        <v>802230.34929956321</v>
      </c>
      <c r="AO21" s="26">
        <f t="shared" si="10"/>
        <v>906520.29470850632</v>
      </c>
      <c r="AP21" s="26">
        <f t="shared" si="10"/>
        <v>1024367.933020612</v>
      </c>
      <c r="AQ21" s="26">
        <f t="shared" si="10"/>
        <v>1157535.7643132915</v>
      </c>
      <c r="AR21" s="26">
        <f t="shared" si="10"/>
        <v>1308015.4136740193</v>
      </c>
      <c r="AS21" s="26">
        <f t="shared" si="10"/>
        <v>1478057.4174516418</v>
      </c>
      <c r="AT21" s="26">
        <f t="shared" si="10"/>
        <v>1670204.881720355</v>
      </c>
      <c r="AU21" s="26">
        <f t="shared" si="10"/>
        <v>1887331.5163440011</v>
      </c>
      <c r="AV21" s="26">
        <f t="shared" si="10"/>
        <v>2132684.613468721</v>
      </c>
      <c r="AW21" s="26">
        <f t="shared" si="10"/>
        <v>2409933.6132196547</v>
      </c>
      <c r="AX21" s="26">
        <f t="shared" si="10"/>
        <v>2723224.9829382095</v>
      </c>
    </row>
    <row r="22" spans="2:50" x14ac:dyDescent="0.2">
      <c r="B22" s="12" t="s">
        <v>28</v>
      </c>
      <c r="C22" s="7">
        <v>10738</v>
      </c>
      <c r="D22" s="7">
        <v>8932</v>
      </c>
      <c r="E22" s="7">
        <v>10251</v>
      </c>
      <c r="F22" s="7">
        <f>(41129-SUM(C22:E22))</f>
        <v>11208</v>
      </c>
      <c r="G22" s="7">
        <v>13161</v>
      </c>
      <c r="H22" s="7">
        <v>11330</v>
      </c>
      <c r="I22" s="7">
        <v>12404</v>
      </c>
      <c r="J22" s="7">
        <f>(48962-SUM(G22:I22))</f>
        <v>12067</v>
      </c>
      <c r="K22" s="7">
        <v>14781</v>
      </c>
      <c r="L22" s="7">
        <v>13160</v>
      </c>
      <c r="M22" s="7">
        <v>12974</v>
      </c>
      <c r="N22" s="7">
        <f>(53139-SUM(K22:M22))</f>
        <v>12224</v>
      </c>
      <c r="O22" s="7">
        <v>13922</v>
      </c>
      <c r="P22" s="7">
        <v>12663</v>
      </c>
      <c r="Q22" s="7"/>
      <c r="R22" s="7"/>
      <c r="W22" s="27"/>
    </row>
    <row r="23" spans="2:50" x14ac:dyDescent="0.2">
      <c r="B23" s="12" t="s">
        <v>29</v>
      </c>
      <c r="C23" s="7">
        <v>1037</v>
      </c>
      <c r="D23" s="7">
        <v>850</v>
      </c>
      <c r="E23" s="7">
        <v>982</v>
      </c>
      <c r="F23" s="7">
        <f>(4002-SUM(C23:E23))</f>
        <v>1133</v>
      </c>
      <c r="G23" s="7">
        <v>1406</v>
      </c>
      <c r="H23" s="7">
        <v>1264</v>
      </c>
      <c r="I23" s="7">
        <v>1278</v>
      </c>
      <c r="J23" s="7">
        <f>(5439-SUM(G23:I23))</f>
        <v>1491</v>
      </c>
      <c r="K23" s="7">
        <v>1605</v>
      </c>
      <c r="L23" s="7">
        <v>1456</v>
      </c>
      <c r="M23" s="7">
        <v>1497</v>
      </c>
      <c r="N23" s="7">
        <f>(6062-SUM(K23:M23))</f>
        <v>1504</v>
      </c>
      <c r="O23" s="7">
        <v>1665</v>
      </c>
      <c r="P23" s="7">
        <v>1509</v>
      </c>
      <c r="Q23" s="7"/>
      <c r="R23" s="7"/>
      <c r="W23" s="27"/>
    </row>
    <row r="24" spans="2:50" x14ac:dyDescent="0.2">
      <c r="B24" s="14" t="s">
        <v>30</v>
      </c>
      <c r="C24" s="16">
        <f t="shared" ref="C24" si="11">SUM(C22:C23)</f>
        <v>11775</v>
      </c>
      <c r="D24" s="16">
        <f t="shared" ref="D24" si="12">SUM(D22:D23)</f>
        <v>9782</v>
      </c>
      <c r="E24" s="16">
        <f t="shared" ref="E24:F24" si="13">SUM(E22:E23)</f>
        <v>11233</v>
      </c>
      <c r="F24" s="16">
        <f t="shared" si="13"/>
        <v>12341</v>
      </c>
      <c r="G24" s="16">
        <f t="shared" ref="G24" si="14">SUM(G22:G23)</f>
        <v>14567</v>
      </c>
      <c r="H24" s="16">
        <f t="shared" ref="H24" si="15">SUM(H22:H23)</f>
        <v>12594</v>
      </c>
      <c r="I24" s="16">
        <f t="shared" ref="I24:J24" si="16">SUM(I22:I23)</f>
        <v>13682</v>
      </c>
      <c r="J24" s="16">
        <f t="shared" si="16"/>
        <v>13558</v>
      </c>
      <c r="K24" s="16">
        <f t="shared" ref="K24" si="17">SUM(K22:K23)</f>
        <v>16386</v>
      </c>
      <c r="L24" s="16">
        <f t="shared" ref="L24" si="18">SUM(L22:L23)</f>
        <v>14616</v>
      </c>
      <c r="M24" s="16">
        <f t="shared" ref="M24:N24" si="19">SUM(M22:M23)</f>
        <v>14471</v>
      </c>
      <c r="N24" s="16">
        <f t="shared" si="19"/>
        <v>13728</v>
      </c>
      <c r="O24" s="16">
        <f>SUM(O22:O23)</f>
        <v>15587</v>
      </c>
      <c r="P24" s="16">
        <f t="shared" ref="P24" si="20">SUM(P22:P23)</f>
        <v>14172</v>
      </c>
      <c r="Q24" s="16"/>
      <c r="R24" s="7"/>
      <c r="T24" s="26">
        <f>T21*0.66</f>
        <v>44436.480000000003</v>
      </c>
      <c r="U24" s="26">
        <f t="shared" ref="U24:AX24" si="21">U21*0.66</f>
        <v>54596.520000000004</v>
      </c>
      <c r="V24" s="26">
        <f t="shared" si="21"/>
        <v>58672.020000000004</v>
      </c>
      <c r="W24" s="28">
        <f t="shared" si="21"/>
        <v>66299.382599999997</v>
      </c>
      <c r="X24" s="26">
        <f t="shared" si="21"/>
        <v>74918.302337999979</v>
      </c>
      <c r="Y24" s="26">
        <f t="shared" si="21"/>
        <v>84657.681641939984</v>
      </c>
      <c r="Z24" s="26">
        <f t="shared" si="21"/>
        <v>95663.180255392159</v>
      </c>
      <c r="AA24" s="26">
        <f t="shared" si="21"/>
        <v>108099.39368859313</v>
      </c>
      <c r="AB24" s="26">
        <f t="shared" si="21"/>
        <v>122152.31486811023</v>
      </c>
      <c r="AC24" s="26">
        <f t="shared" si="21"/>
        <v>138032.11580096456</v>
      </c>
      <c r="AD24" s="26">
        <f t="shared" si="21"/>
        <v>155976.29085508993</v>
      </c>
      <c r="AE24" s="26">
        <f t="shared" si="21"/>
        <v>176253.20866625159</v>
      </c>
      <c r="AF24" s="26">
        <f t="shared" si="21"/>
        <v>199166.1257928643</v>
      </c>
      <c r="AG24" s="26">
        <f t="shared" si="21"/>
        <v>225057.72214593663</v>
      </c>
      <c r="AH24" s="26">
        <f t="shared" si="21"/>
        <v>254315.22602490839</v>
      </c>
      <c r="AI24" s="26">
        <f t="shared" si="21"/>
        <v>287376.20540814643</v>
      </c>
      <c r="AJ24" s="26">
        <f t="shared" si="21"/>
        <v>324735.11211120547</v>
      </c>
      <c r="AK24" s="26">
        <f t="shared" si="21"/>
        <v>366950.67668566213</v>
      </c>
      <c r="AL24" s="26">
        <f t="shared" si="21"/>
        <v>414654.26465479814</v>
      </c>
      <c r="AM24" s="26">
        <f t="shared" si="21"/>
        <v>468559.31905992189</v>
      </c>
      <c r="AN24" s="26">
        <f t="shared" si="21"/>
        <v>529472.03053771169</v>
      </c>
      <c r="AO24" s="26">
        <f t="shared" si="21"/>
        <v>598303.3945076142</v>
      </c>
      <c r="AP24" s="26">
        <f t="shared" si="21"/>
        <v>676082.83579360391</v>
      </c>
      <c r="AQ24" s="26">
        <f t="shared" si="21"/>
        <v>763973.60444677249</v>
      </c>
      <c r="AR24" s="26">
        <f t="shared" si="21"/>
        <v>863290.17302485276</v>
      </c>
      <c r="AS24" s="26">
        <f t="shared" si="21"/>
        <v>975517.89551808359</v>
      </c>
      <c r="AT24" s="26">
        <f t="shared" si="21"/>
        <v>1102335.2219354343</v>
      </c>
      <c r="AU24" s="26">
        <f t="shared" si="21"/>
        <v>1245638.8007870407</v>
      </c>
      <c r="AV24" s="26">
        <f t="shared" si="21"/>
        <v>1407571.8448893561</v>
      </c>
      <c r="AW24" s="26">
        <f t="shared" si="21"/>
        <v>1590556.1847249721</v>
      </c>
      <c r="AX24" s="26">
        <f t="shared" si="21"/>
        <v>1797328.4887392183</v>
      </c>
    </row>
    <row r="25" spans="2:50" x14ac:dyDescent="0.2">
      <c r="B25" s="14" t="s">
        <v>32</v>
      </c>
      <c r="C25" s="16">
        <f t="shared" ref="C25" si="22">C21-C24</f>
        <v>4474</v>
      </c>
      <c r="D25" s="16">
        <f t="shared" ref="D25" si="23">D21-D24</f>
        <v>5831</v>
      </c>
      <c r="E25" s="16">
        <f t="shared" ref="E25" si="24">E21-E24</f>
        <v>5789</v>
      </c>
      <c r="F25" s="16">
        <f>F21-F24</f>
        <v>6103</v>
      </c>
      <c r="G25" s="16">
        <f t="shared" ref="G25" si="25">G21-G24</f>
        <v>7252</v>
      </c>
      <c r="H25" s="16">
        <f t="shared" ref="H25" si="26">H21-H24</f>
        <v>6655</v>
      </c>
      <c r="I25" s="16">
        <f t="shared" ref="I25" si="27">I21-I24</f>
        <v>7822</v>
      </c>
      <c r="J25" s="16">
        <f>J21-J24</f>
        <v>6592</v>
      </c>
      <c r="K25" s="16">
        <f t="shared" ref="K25" si="28">K21-K24</f>
        <v>7126</v>
      </c>
      <c r="L25" s="16">
        <f t="shared" ref="L25" si="29">L21-L24</f>
        <v>7199</v>
      </c>
      <c r="M25" s="16">
        <f t="shared" ref="M25" si="30">M21-M24</f>
        <v>7859</v>
      </c>
      <c r="N25" s="16">
        <f>N21-N24</f>
        <v>7512</v>
      </c>
      <c r="O25" s="16">
        <f>O21-O24</f>
        <v>7962</v>
      </c>
      <c r="P25" s="16">
        <f>P21-P24</f>
        <v>7911</v>
      </c>
      <c r="Q25" s="16"/>
      <c r="R25" s="7"/>
      <c r="T25" s="26">
        <f>T21*0.34</f>
        <v>22891.52</v>
      </c>
      <c r="U25" s="26">
        <f t="shared" ref="U25:AX25" si="31">U21*0.34</f>
        <v>28125.480000000003</v>
      </c>
      <c r="V25" s="26">
        <f t="shared" si="31"/>
        <v>30224.980000000003</v>
      </c>
      <c r="W25" s="28">
        <f t="shared" si="31"/>
        <v>34154.227399999996</v>
      </c>
      <c r="X25" s="26">
        <f t="shared" si="31"/>
        <v>38594.276961999989</v>
      </c>
      <c r="Y25" s="26">
        <f t="shared" si="31"/>
        <v>43611.532967059989</v>
      </c>
      <c r="Z25" s="26">
        <f t="shared" si="31"/>
        <v>49281.032252777783</v>
      </c>
      <c r="AA25" s="26">
        <f t="shared" si="31"/>
        <v>55687.566445638884</v>
      </c>
      <c r="AB25" s="26">
        <f t="shared" si="31"/>
        <v>62926.950083571937</v>
      </c>
      <c r="AC25" s="26">
        <f t="shared" si="31"/>
        <v>71107.453594436287</v>
      </c>
      <c r="AD25" s="26">
        <f t="shared" si="31"/>
        <v>80351.422561712985</v>
      </c>
      <c r="AE25" s="26">
        <f t="shared" si="31"/>
        <v>90797.107494735668</v>
      </c>
      <c r="AF25" s="26">
        <f t="shared" si="31"/>
        <v>102600.7314690513</v>
      </c>
      <c r="AG25" s="26">
        <f t="shared" si="31"/>
        <v>115938.82656002797</v>
      </c>
      <c r="AH25" s="26">
        <f t="shared" si="31"/>
        <v>131010.8740128316</v>
      </c>
      <c r="AI25" s="26">
        <f t="shared" si="31"/>
        <v>148042.28763449969</v>
      </c>
      <c r="AJ25" s="26">
        <f t="shared" si="31"/>
        <v>167287.78502698464</v>
      </c>
      <c r="AK25" s="26">
        <f t="shared" si="31"/>
        <v>189035.19708049262</v>
      </c>
      <c r="AL25" s="26">
        <f t="shared" si="31"/>
        <v>213609.77270095664</v>
      </c>
      <c r="AM25" s="26">
        <f t="shared" si="31"/>
        <v>241379.04315208099</v>
      </c>
      <c r="AN25" s="26">
        <f t="shared" si="31"/>
        <v>272758.31876185152</v>
      </c>
      <c r="AO25" s="26">
        <f t="shared" si="31"/>
        <v>308216.90020089218</v>
      </c>
      <c r="AP25" s="26">
        <f t="shared" si="31"/>
        <v>348285.09722700808</v>
      </c>
      <c r="AQ25" s="26">
        <f t="shared" si="31"/>
        <v>393562.15986651916</v>
      </c>
      <c r="AR25" s="26">
        <f t="shared" si="31"/>
        <v>444725.24064916658</v>
      </c>
      <c r="AS25" s="26">
        <f t="shared" si="31"/>
        <v>502539.52193355822</v>
      </c>
      <c r="AT25" s="26">
        <f t="shared" si="31"/>
        <v>567869.65978492075</v>
      </c>
      <c r="AU25" s="26">
        <f t="shared" si="31"/>
        <v>641692.71555696044</v>
      </c>
      <c r="AV25" s="26">
        <f t="shared" si="31"/>
        <v>725112.76857936522</v>
      </c>
      <c r="AW25" s="26">
        <f t="shared" si="31"/>
        <v>819377.42849468265</v>
      </c>
      <c r="AX25" s="26">
        <f t="shared" si="31"/>
        <v>925896.49419899133</v>
      </c>
    </row>
    <row r="26" spans="2:50" x14ac:dyDescent="0.2">
      <c r="B26" t="s">
        <v>10</v>
      </c>
      <c r="C26" s="7">
        <v>2917</v>
      </c>
      <c r="D26" s="7">
        <v>3113</v>
      </c>
      <c r="E26" s="7">
        <v>3168</v>
      </c>
      <c r="F26" s="7">
        <f>(13517-SUM(C26:E26))</f>
        <v>4319</v>
      </c>
      <c r="G26" s="7">
        <v>3787</v>
      </c>
      <c r="H26" s="7">
        <v>3768</v>
      </c>
      <c r="I26" s="7">
        <v>4100</v>
      </c>
      <c r="J26" s="7">
        <f>(16388-SUM(G26:I26))</f>
        <v>4733</v>
      </c>
      <c r="K26" s="7">
        <v>3827</v>
      </c>
      <c r="L26" s="7">
        <v>3614</v>
      </c>
      <c r="M26" s="7">
        <v>3874</v>
      </c>
      <c r="N26" s="7">
        <f>(15336-SUM(K26:M26))</f>
        <v>4021</v>
      </c>
      <c r="O26" s="7">
        <v>3783</v>
      </c>
      <c r="P26" s="7">
        <v>3790</v>
      </c>
      <c r="Q26" s="7"/>
      <c r="R26" s="7"/>
      <c r="T26" s="24">
        <f>SUM(C26:F26)</f>
        <v>13517</v>
      </c>
      <c r="U26" s="24">
        <f>SUM(G25:J25)</f>
        <v>28321</v>
      </c>
      <c r="V26" s="24">
        <f>SUM(K26:N26)</f>
        <v>15336</v>
      </c>
      <c r="W26" s="23">
        <f>V26*1.1</f>
        <v>16869.600000000002</v>
      </c>
      <c r="X26" s="23">
        <f>W26*1.1</f>
        <v>18556.560000000005</v>
      </c>
      <c r="Y26" s="23">
        <f t="shared" ref="Y26:AX26" si="32">X26*1.1</f>
        <v>20412.216000000008</v>
      </c>
      <c r="Z26" s="23">
        <f t="shared" si="32"/>
        <v>22453.437600000008</v>
      </c>
      <c r="AA26" s="23">
        <f t="shared" si="32"/>
        <v>24698.781360000012</v>
      </c>
      <c r="AB26" s="23">
        <f t="shared" si="32"/>
        <v>27168.659496000015</v>
      </c>
      <c r="AC26" s="23">
        <f t="shared" si="32"/>
        <v>29885.525445600018</v>
      </c>
      <c r="AD26" s="23">
        <f t="shared" si="32"/>
        <v>32874.077990160025</v>
      </c>
      <c r="AE26" s="23">
        <f t="shared" si="32"/>
        <v>36161.485789176033</v>
      </c>
      <c r="AF26" s="23">
        <f t="shared" si="32"/>
        <v>39777.634368093641</v>
      </c>
      <c r="AG26" s="23">
        <f t="shared" si="32"/>
        <v>43755.397804903005</v>
      </c>
      <c r="AH26" s="23">
        <f t="shared" si="32"/>
        <v>48130.937585393309</v>
      </c>
      <c r="AI26" s="23">
        <f t="shared" si="32"/>
        <v>52944.031343932642</v>
      </c>
      <c r="AJ26" s="23">
        <f t="shared" si="32"/>
        <v>58238.434478325908</v>
      </c>
      <c r="AK26" s="23">
        <f t="shared" si="32"/>
        <v>64062.277926158502</v>
      </c>
      <c r="AL26" s="23">
        <f t="shared" si="32"/>
        <v>70468.505718774351</v>
      </c>
      <c r="AM26" s="23">
        <f t="shared" si="32"/>
        <v>77515.356290651791</v>
      </c>
      <c r="AN26" s="23">
        <f t="shared" si="32"/>
        <v>85266.891919716974</v>
      </c>
      <c r="AO26" s="23">
        <f t="shared" si="32"/>
        <v>93793.581111688676</v>
      </c>
      <c r="AP26" s="23">
        <f t="shared" si="32"/>
        <v>103172.93922285755</v>
      </c>
      <c r="AQ26" s="23">
        <f t="shared" si="32"/>
        <v>113490.23314514331</v>
      </c>
      <c r="AR26" s="23">
        <f t="shared" si="32"/>
        <v>124839.25645965766</v>
      </c>
      <c r="AS26" s="23">
        <f t="shared" si="32"/>
        <v>137323.18210562342</v>
      </c>
      <c r="AT26" s="23">
        <f t="shared" si="32"/>
        <v>151055.50031618576</v>
      </c>
      <c r="AU26" s="23">
        <f t="shared" si="32"/>
        <v>166161.05034780435</v>
      </c>
      <c r="AV26" s="23">
        <f t="shared" si="32"/>
        <v>182777.15538258481</v>
      </c>
      <c r="AW26" s="23">
        <f t="shared" si="32"/>
        <v>201054.8709208433</v>
      </c>
      <c r="AX26" s="23">
        <f t="shared" si="32"/>
        <v>221160.35801292764</v>
      </c>
    </row>
    <row r="27" spans="2:50" x14ac:dyDescent="0.2">
      <c r="B27" t="s">
        <v>31</v>
      </c>
      <c r="C27" s="7">
        <v>1298</v>
      </c>
      <c r="D27" s="7">
        <v>1272</v>
      </c>
      <c r="E27" s="7">
        <v>1266</v>
      </c>
      <c r="F27" s="7">
        <f>(5111-SUM(C27:E27))</f>
        <v>1275</v>
      </c>
      <c r="G27" s="7">
        <v>1269</v>
      </c>
      <c r="H27" s="7">
        <v>1287</v>
      </c>
      <c r="I27" s="7">
        <v>1290</v>
      </c>
      <c r="J27" s="7">
        <f>(5163-SUM(G27:I27))</f>
        <v>1317</v>
      </c>
      <c r="K27" s="7">
        <v>1306</v>
      </c>
      <c r="L27" s="7">
        <v>1310</v>
      </c>
      <c r="M27" s="7">
        <v>1344</v>
      </c>
      <c r="N27" s="7">
        <f>(5369-SUM(K27:M27))</f>
        <v>1409</v>
      </c>
      <c r="O27" s="7">
        <v>1243</v>
      </c>
      <c r="P27" s="7">
        <v>1242</v>
      </c>
      <c r="Q27" s="7"/>
      <c r="R27" s="7"/>
      <c r="T27" s="24">
        <f>SUM(C27:F27)</f>
        <v>5111</v>
      </c>
      <c r="U27" s="24">
        <f>SUM(G26:J26)</f>
        <v>16388</v>
      </c>
      <c r="V27" s="24">
        <f>SUM(K27:N27)</f>
        <v>5369</v>
      </c>
      <c r="W27" s="23">
        <f t="shared" ref="W27:AX27" si="33">$Q$54</f>
        <v>5179.4285714285716</v>
      </c>
      <c r="X27" s="23">
        <f t="shared" si="33"/>
        <v>5179.4285714285716</v>
      </c>
      <c r="Y27" s="23">
        <f t="shared" si="33"/>
        <v>5179.4285714285716</v>
      </c>
      <c r="Z27" s="23">
        <f t="shared" si="33"/>
        <v>5179.4285714285716</v>
      </c>
      <c r="AA27" s="23">
        <f t="shared" si="33"/>
        <v>5179.4285714285716</v>
      </c>
      <c r="AB27" s="23">
        <f t="shared" si="33"/>
        <v>5179.4285714285716</v>
      </c>
      <c r="AC27" s="23">
        <f t="shared" si="33"/>
        <v>5179.4285714285716</v>
      </c>
      <c r="AD27" s="23">
        <f t="shared" si="33"/>
        <v>5179.4285714285716</v>
      </c>
      <c r="AE27" s="23">
        <f t="shared" si="33"/>
        <v>5179.4285714285716</v>
      </c>
      <c r="AF27" s="23">
        <f t="shared" si="33"/>
        <v>5179.4285714285716</v>
      </c>
      <c r="AG27" s="23">
        <f t="shared" si="33"/>
        <v>5179.4285714285716</v>
      </c>
      <c r="AH27" s="23">
        <f t="shared" si="33"/>
        <v>5179.4285714285716</v>
      </c>
      <c r="AI27" s="23">
        <f t="shared" si="33"/>
        <v>5179.4285714285716</v>
      </c>
      <c r="AJ27" s="23">
        <f t="shared" si="33"/>
        <v>5179.4285714285716</v>
      </c>
      <c r="AK27" s="23">
        <f t="shared" si="33"/>
        <v>5179.4285714285716</v>
      </c>
      <c r="AL27" s="23">
        <f t="shared" si="33"/>
        <v>5179.4285714285716</v>
      </c>
      <c r="AM27" s="23">
        <f t="shared" si="33"/>
        <v>5179.4285714285716</v>
      </c>
      <c r="AN27" s="23">
        <f t="shared" si="33"/>
        <v>5179.4285714285716</v>
      </c>
      <c r="AO27" s="23">
        <f t="shared" si="33"/>
        <v>5179.4285714285716</v>
      </c>
      <c r="AP27" s="23">
        <f t="shared" si="33"/>
        <v>5179.4285714285716</v>
      </c>
      <c r="AQ27" s="23">
        <f t="shared" si="33"/>
        <v>5179.4285714285716</v>
      </c>
      <c r="AR27" s="23">
        <f t="shared" si="33"/>
        <v>5179.4285714285716</v>
      </c>
      <c r="AS27" s="23">
        <f t="shared" si="33"/>
        <v>5179.4285714285716</v>
      </c>
      <c r="AT27" s="23">
        <f t="shared" si="33"/>
        <v>5179.4285714285716</v>
      </c>
      <c r="AU27" s="23">
        <f t="shared" si="33"/>
        <v>5179.4285714285716</v>
      </c>
      <c r="AV27" s="23">
        <f t="shared" si="33"/>
        <v>5179.4285714285716</v>
      </c>
      <c r="AW27" s="23">
        <f t="shared" si="33"/>
        <v>5179.4285714285716</v>
      </c>
      <c r="AX27" s="23">
        <f t="shared" si="33"/>
        <v>5179.4285714285716</v>
      </c>
    </row>
    <row r="28" spans="2:50" x14ac:dyDescent="0.2">
      <c r="B28" s="14" t="s">
        <v>11</v>
      </c>
      <c r="C28" s="16">
        <f>SUM(C26:C27)</f>
        <v>4215</v>
      </c>
      <c r="D28" s="16">
        <f t="shared" ref="D28" si="34">SUM(D26:D27)</f>
        <v>4385</v>
      </c>
      <c r="E28" s="16">
        <f t="shared" ref="E28:F28" si="35">SUM(E26:E27)</f>
        <v>4434</v>
      </c>
      <c r="F28" s="16">
        <f t="shared" si="35"/>
        <v>5594</v>
      </c>
      <c r="G28" s="16">
        <f t="shared" ref="G28" si="36">SUM(G26:G27)</f>
        <v>5056</v>
      </c>
      <c r="H28" s="16">
        <f t="shared" ref="H28" si="37">SUM(H26:H27)</f>
        <v>5055</v>
      </c>
      <c r="I28" s="16">
        <f t="shared" ref="I28:J28" si="38">SUM(I26:I27)</f>
        <v>5390</v>
      </c>
      <c r="J28" s="16">
        <f t="shared" si="38"/>
        <v>6050</v>
      </c>
      <c r="K28" s="16">
        <f t="shared" ref="K28" si="39">SUM(K26:K27)</f>
        <v>5133</v>
      </c>
      <c r="L28" s="16">
        <f t="shared" ref="L28" si="40">SUM(L26:L27)</f>
        <v>4924</v>
      </c>
      <c r="M28" s="16">
        <f t="shared" ref="M28:N28" si="41">SUM(M26:M27)</f>
        <v>5218</v>
      </c>
      <c r="N28" s="16">
        <f t="shared" si="41"/>
        <v>5430</v>
      </c>
      <c r="O28" s="16">
        <f>SUM(O26:O27)</f>
        <v>5026</v>
      </c>
      <c r="P28" s="16">
        <f t="shared" ref="P28" si="42">SUM(P26:P27)</f>
        <v>5032</v>
      </c>
      <c r="Q28" s="16"/>
      <c r="R28" s="7"/>
      <c r="T28" s="16">
        <f t="shared" ref="T28:V28" si="43">SUM(T26:T27)</f>
        <v>18628</v>
      </c>
      <c r="U28" s="16">
        <f t="shared" si="43"/>
        <v>44709</v>
      </c>
      <c r="V28" s="16">
        <f t="shared" si="43"/>
        <v>20705</v>
      </c>
      <c r="W28" s="31">
        <f>SUM(W26:W27)</f>
        <v>22049.028571428575</v>
      </c>
      <c r="X28" s="16">
        <f>SUM(X26:X27)</f>
        <v>23735.988571428577</v>
      </c>
      <c r="Y28" s="16">
        <f t="shared" ref="Y28:AX28" si="44">SUM(Y26:Y27)</f>
        <v>25591.64457142858</v>
      </c>
      <c r="Z28" s="16">
        <f t="shared" si="44"/>
        <v>27632.866171428581</v>
      </c>
      <c r="AA28" s="16">
        <f t="shared" si="44"/>
        <v>29878.209931428584</v>
      </c>
      <c r="AB28" s="16">
        <f t="shared" si="44"/>
        <v>32348.088067428587</v>
      </c>
      <c r="AC28" s="16">
        <f t="shared" si="44"/>
        <v>35064.954017028591</v>
      </c>
      <c r="AD28" s="16">
        <f t="shared" si="44"/>
        <v>38053.506561588598</v>
      </c>
      <c r="AE28" s="16">
        <f t="shared" si="44"/>
        <v>41340.914360604605</v>
      </c>
      <c r="AF28" s="16">
        <f t="shared" si="44"/>
        <v>44957.062939522213</v>
      </c>
      <c r="AG28" s="16">
        <f t="shared" si="44"/>
        <v>48934.826376331577</v>
      </c>
      <c r="AH28" s="16">
        <f t="shared" si="44"/>
        <v>53310.366156821881</v>
      </c>
      <c r="AI28" s="16">
        <f t="shared" si="44"/>
        <v>58123.459915361214</v>
      </c>
      <c r="AJ28" s="16">
        <f t="shared" si="44"/>
        <v>63417.86304975448</v>
      </c>
      <c r="AK28" s="16">
        <f t="shared" si="44"/>
        <v>69241.706497587074</v>
      </c>
      <c r="AL28" s="16">
        <f t="shared" si="44"/>
        <v>75647.934290202917</v>
      </c>
      <c r="AM28" s="16">
        <f t="shared" si="44"/>
        <v>82694.784862080356</v>
      </c>
      <c r="AN28" s="16">
        <f t="shared" si="44"/>
        <v>90446.32049114554</v>
      </c>
      <c r="AO28" s="16">
        <f t="shared" si="44"/>
        <v>98973.009683117241</v>
      </c>
      <c r="AP28" s="16">
        <f t="shared" si="44"/>
        <v>108352.36779428611</v>
      </c>
      <c r="AQ28" s="16">
        <f t="shared" si="44"/>
        <v>118669.66171657188</v>
      </c>
      <c r="AR28" s="16">
        <f t="shared" si="44"/>
        <v>130018.68503108622</v>
      </c>
      <c r="AS28" s="16">
        <f t="shared" si="44"/>
        <v>142502.610677052</v>
      </c>
      <c r="AT28" s="16">
        <f t="shared" si="44"/>
        <v>156234.92888761434</v>
      </c>
      <c r="AU28" s="16">
        <f t="shared" si="44"/>
        <v>171340.47891923293</v>
      </c>
      <c r="AV28" s="16">
        <f t="shared" si="44"/>
        <v>187956.58395401339</v>
      </c>
      <c r="AW28" s="16">
        <f t="shared" si="44"/>
        <v>206234.29949227188</v>
      </c>
      <c r="AX28" s="16">
        <f t="shared" si="44"/>
        <v>226339.78658435622</v>
      </c>
    </row>
    <row r="29" spans="2:50" x14ac:dyDescent="0.2">
      <c r="B29" s="14" t="s">
        <v>53</v>
      </c>
      <c r="C29" s="16">
        <f t="shared" ref="C29" si="45">C25-C28</f>
        <v>259</v>
      </c>
      <c r="D29" s="16">
        <f t="shared" ref="D29" si="46">D25-D28</f>
        <v>1446</v>
      </c>
      <c r="E29" s="16">
        <f t="shared" ref="E29:F29" si="47">E25-E28</f>
        <v>1355</v>
      </c>
      <c r="F29" s="16">
        <f t="shared" si="47"/>
        <v>509</v>
      </c>
      <c r="G29" s="16">
        <f t="shared" ref="G29" si="48">G25-G28</f>
        <v>2196</v>
      </c>
      <c r="H29" s="16">
        <f t="shared" ref="H29" si="49">H25-H28</f>
        <v>1600</v>
      </c>
      <c r="I29" s="16">
        <f t="shared" ref="I29:J29" si="50">I25-I28</f>
        <v>2432</v>
      </c>
      <c r="J29" s="16">
        <f t="shared" si="50"/>
        <v>542</v>
      </c>
      <c r="K29" s="16">
        <f t="shared" ref="K29" si="51">K25-K28</f>
        <v>1993</v>
      </c>
      <c r="L29" s="16">
        <f t="shared" ref="L29" si="52">L25-L28</f>
        <v>2275</v>
      </c>
      <c r="M29" s="16">
        <f t="shared" ref="M29:N29" si="53">M25-M28</f>
        <v>2641</v>
      </c>
      <c r="N29" s="16">
        <f t="shared" si="53"/>
        <v>2082</v>
      </c>
      <c r="O29" s="16">
        <f>O25-O28</f>
        <v>2936</v>
      </c>
      <c r="P29" s="16">
        <f t="shared" ref="P29" si="54">P25-P28</f>
        <v>2879</v>
      </c>
      <c r="Q29" s="16"/>
      <c r="R29" s="7"/>
      <c r="T29" s="16">
        <f t="shared" ref="T29:W29" si="55">T25-T28</f>
        <v>4263.5200000000004</v>
      </c>
      <c r="U29" s="16">
        <f t="shared" si="55"/>
        <v>-16583.519999999997</v>
      </c>
      <c r="V29" s="16">
        <f t="shared" si="55"/>
        <v>9519.9800000000032</v>
      </c>
      <c r="W29" s="31">
        <f t="shared" si="55"/>
        <v>12105.198828571421</v>
      </c>
      <c r="X29" s="16">
        <f t="shared" ref="X29:AX29" si="56">X25-X28</f>
        <v>14858.288390571412</v>
      </c>
      <c r="Y29" s="16">
        <f t="shared" si="56"/>
        <v>18019.888395631409</v>
      </c>
      <c r="Z29" s="16">
        <f t="shared" si="56"/>
        <v>21648.166081349202</v>
      </c>
      <c r="AA29" s="16">
        <f t="shared" si="56"/>
        <v>25809.3565142103</v>
      </c>
      <c r="AB29" s="16">
        <f t="shared" si="56"/>
        <v>30578.86201614335</v>
      </c>
      <c r="AC29" s="16">
        <f t="shared" si="56"/>
        <v>36042.499577407696</v>
      </c>
      <c r="AD29" s="16">
        <f t="shared" si="56"/>
        <v>42297.916000124387</v>
      </c>
      <c r="AE29" s="16">
        <f t="shared" si="56"/>
        <v>49456.193134131063</v>
      </c>
      <c r="AF29" s="16">
        <f t="shared" si="56"/>
        <v>57643.668529529088</v>
      </c>
      <c r="AG29" s="16">
        <f t="shared" si="56"/>
        <v>67004.000183696393</v>
      </c>
      <c r="AH29" s="16">
        <f t="shared" si="56"/>
        <v>77700.507856009717</v>
      </c>
      <c r="AI29" s="16">
        <f t="shared" si="56"/>
        <v>89918.82771913847</v>
      </c>
      <c r="AJ29" s="16">
        <f t="shared" si="56"/>
        <v>103869.92197723016</v>
      </c>
      <c r="AK29" s="16">
        <f t="shared" si="56"/>
        <v>119793.49058290555</v>
      </c>
      <c r="AL29" s="16">
        <f t="shared" si="56"/>
        <v>137961.83841075373</v>
      </c>
      <c r="AM29" s="16">
        <f t="shared" si="56"/>
        <v>158684.25829000064</v>
      </c>
      <c r="AN29" s="16">
        <f t="shared" si="56"/>
        <v>182311.99827070598</v>
      </c>
      <c r="AO29" s="16">
        <f t="shared" si="56"/>
        <v>209243.89051777494</v>
      </c>
      <c r="AP29" s="16">
        <f t="shared" si="56"/>
        <v>239932.72943272197</v>
      </c>
      <c r="AQ29" s="16">
        <f t="shared" si="56"/>
        <v>274892.49814994726</v>
      </c>
      <c r="AR29" s="16">
        <f t="shared" si="56"/>
        <v>314706.55561808037</v>
      </c>
      <c r="AS29" s="16">
        <f t="shared" si="56"/>
        <v>360036.91125650622</v>
      </c>
      <c r="AT29" s="16">
        <f t="shared" si="56"/>
        <v>411634.73089730641</v>
      </c>
      <c r="AU29" s="16">
        <f t="shared" si="56"/>
        <v>470352.23663772747</v>
      </c>
      <c r="AV29" s="16">
        <f t="shared" si="56"/>
        <v>537156.1846253518</v>
      </c>
      <c r="AW29" s="16">
        <f t="shared" si="56"/>
        <v>613143.1290024108</v>
      </c>
      <c r="AX29" s="16">
        <f t="shared" si="56"/>
        <v>699556.70761463512</v>
      </c>
    </row>
    <row r="30" spans="2:50" x14ac:dyDescent="0.2">
      <c r="B30" s="14" t="s">
        <v>33</v>
      </c>
      <c r="C30" s="16">
        <f>C27+C26+C23+C22</f>
        <v>15990</v>
      </c>
      <c r="D30" s="16">
        <f t="shared" ref="D30:P30" si="57">D27+D26+D23+D22</f>
        <v>14167</v>
      </c>
      <c r="E30" s="16">
        <f t="shared" si="57"/>
        <v>15667</v>
      </c>
      <c r="F30" s="16">
        <f t="shared" si="57"/>
        <v>17935</v>
      </c>
      <c r="G30" s="16">
        <f t="shared" si="57"/>
        <v>19623</v>
      </c>
      <c r="H30" s="16">
        <f t="shared" si="57"/>
        <v>17649</v>
      </c>
      <c r="I30" s="16">
        <f t="shared" si="57"/>
        <v>19072</v>
      </c>
      <c r="J30" s="16">
        <f t="shared" si="57"/>
        <v>19608</v>
      </c>
      <c r="K30" s="16">
        <f t="shared" si="57"/>
        <v>21519</v>
      </c>
      <c r="L30" s="16">
        <f t="shared" si="57"/>
        <v>19540</v>
      </c>
      <c r="M30" s="16">
        <f t="shared" si="57"/>
        <v>19689</v>
      </c>
      <c r="N30" s="16">
        <f t="shared" si="57"/>
        <v>19158</v>
      </c>
      <c r="O30" s="16">
        <f t="shared" si="57"/>
        <v>20613</v>
      </c>
      <c r="P30" s="16">
        <f t="shared" si="57"/>
        <v>19204</v>
      </c>
      <c r="Q30" s="16"/>
      <c r="R30" s="7"/>
      <c r="T30" s="16">
        <f t="shared" ref="T30:W30" si="58">T27+T26+T23+T22</f>
        <v>18628</v>
      </c>
      <c r="U30" s="16">
        <f t="shared" si="58"/>
        <v>44709</v>
      </c>
      <c r="V30" s="16">
        <f t="shared" si="58"/>
        <v>20705</v>
      </c>
      <c r="W30" s="31">
        <f t="shared" si="58"/>
        <v>22049.028571428575</v>
      </c>
      <c r="X30" s="16">
        <f t="shared" ref="X30:AX30" si="59">X27+X26+X23+X22</f>
        <v>23735.988571428577</v>
      </c>
      <c r="Y30" s="16">
        <f t="shared" si="59"/>
        <v>25591.64457142858</v>
      </c>
      <c r="Z30" s="16">
        <f t="shared" si="59"/>
        <v>27632.866171428581</v>
      </c>
      <c r="AA30" s="16">
        <f t="shared" si="59"/>
        <v>29878.209931428584</v>
      </c>
      <c r="AB30" s="16">
        <f t="shared" si="59"/>
        <v>32348.088067428587</v>
      </c>
      <c r="AC30" s="16">
        <f t="shared" si="59"/>
        <v>35064.954017028591</v>
      </c>
      <c r="AD30" s="16">
        <f t="shared" si="59"/>
        <v>38053.506561588598</v>
      </c>
      <c r="AE30" s="16">
        <f t="shared" si="59"/>
        <v>41340.914360604605</v>
      </c>
      <c r="AF30" s="16">
        <f t="shared" si="59"/>
        <v>44957.062939522213</v>
      </c>
      <c r="AG30" s="16">
        <f t="shared" si="59"/>
        <v>48934.826376331577</v>
      </c>
      <c r="AH30" s="16">
        <f t="shared" si="59"/>
        <v>53310.366156821881</v>
      </c>
      <c r="AI30" s="16">
        <f t="shared" si="59"/>
        <v>58123.459915361214</v>
      </c>
      <c r="AJ30" s="16">
        <f t="shared" si="59"/>
        <v>63417.86304975448</v>
      </c>
      <c r="AK30" s="16">
        <f t="shared" si="59"/>
        <v>69241.706497587074</v>
      </c>
      <c r="AL30" s="16">
        <f t="shared" si="59"/>
        <v>75647.934290202917</v>
      </c>
      <c r="AM30" s="16">
        <f t="shared" si="59"/>
        <v>82694.784862080356</v>
      </c>
      <c r="AN30" s="16">
        <f t="shared" si="59"/>
        <v>90446.32049114554</v>
      </c>
      <c r="AO30" s="16">
        <f t="shared" si="59"/>
        <v>98973.009683117241</v>
      </c>
      <c r="AP30" s="16">
        <f t="shared" si="59"/>
        <v>108352.36779428611</v>
      </c>
      <c r="AQ30" s="16">
        <f t="shared" si="59"/>
        <v>118669.66171657188</v>
      </c>
      <c r="AR30" s="16">
        <f t="shared" si="59"/>
        <v>130018.68503108622</v>
      </c>
      <c r="AS30" s="16">
        <f t="shared" si="59"/>
        <v>142502.610677052</v>
      </c>
      <c r="AT30" s="16">
        <f t="shared" si="59"/>
        <v>156234.92888761434</v>
      </c>
      <c r="AU30" s="16">
        <f t="shared" si="59"/>
        <v>171340.47891923293</v>
      </c>
      <c r="AV30" s="16">
        <f t="shared" si="59"/>
        <v>187956.58395401339</v>
      </c>
      <c r="AW30" s="16">
        <f t="shared" si="59"/>
        <v>206234.29949227188</v>
      </c>
      <c r="AX30" s="16">
        <f t="shared" si="59"/>
        <v>226339.78658435622</v>
      </c>
    </row>
    <row r="31" spans="2:50" x14ac:dyDescent="0.2">
      <c r="B31" t="s">
        <v>34</v>
      </c>
      <c r="C31" s="7">
        <v>-113</v>
      </c>
      <c r="D31" s="7">
        <v>-414</v>
      </c>
      <c r="E31" s="7">
        <v>-35</v>
      </c>
      <c r="F31" s="7">
        <f>(-654-SUM(C31:E31))</f>
        <v>-92</v>
      </c>
      <c r="G31" s="7">
        <v>0</v>
      </c>
      <c r="H31" s="7">
        <v>-195</v>
      </c>
      <c r="I31" s="7">
        <v>-42</v>
      </c>
      <c r="J31" s="7">
        <f>(-237-SUM(G31:I31))</f>
        <v>0</v>
      </c>
      <c r="K31" s="7">
        <v>-69</v>
      </c>
      <c r="L31" s="7">
        <v>-152</v>
      </c>
      <c r="M31" s="7">
        <v>-2650</v>
      </c>
      <c r="N31" s="7">
        <f>(-3892-SUM(K31:M31))</f>
        <v>-1021</v>
      </c>
      <c r="O31" s="7"/>
      <c r="P31" s="7">
        <v>-2052</v>
      </c>
      <c r="Q31" s="7"/>
      <c r="R31" s="7"/>
      <c r="T31" s="24">
        <f t="shared" ref="T31:T35" si="60">SUM(C31:F31)</f>
        <v>-654</v>
      </c>
      <c r="U31" s="24">
        <f t="shared" ref="U31:U35" si="61">SUM(D31:G31)</f>
        <v>-541</v>
      </c>
      <c r="V31" s="24">
        <f t="shared" ref="V31:W35" si="62">SUM(E31:H31)</f>
        <v>-322</v>
      </c>
      <c r="W31" s="32">
        <f>SUM(F31:I31)</f>
        <v>-329</v>
      </c>
      <c r="X31" s="35">
        <f t="shared" ref="X31:AX31" si="63">AVERAGE($T$31:$W$31)</f>
        <v>-461.5</v>
      </c>
      <c r="Y31" s="35">
        <f t="shared" si="63"/>
        <v>-461.5</v>
      </c>
      <c r="Z31" s="35">
        <f t="shared" si="63"/>
        <v>-461.5</v>
      </c>
      <c r="AA31" s="35">
        <f t="shared" si="63"/>
        <v>-461.5</v>
      </c>
      <c r="AB31" s="35">
        <f t="shared" si="63"/>
        <v>-461.5</v>
      </c>
      <c r="AC31" s="35">
        <f t="shared" si="63"/>
        <v>-461.5</v>
      </c>
      <c r="AD31" s="35">
        <f t="shared" si="63"/>
        <v>-461.5</v>
      </c>
      <c r="AE31" s="35">
        <f t="shared" si="63"/>
        <v>-461.5</v>
      </c>
      <c r="AF31" s="35">
        <f t="shared" si="63"/>
        <v>-461.5</v>
      </c>
      <c r="AG31" s="35">
        <f t="shared" si="63"/>
        <v>-461.5</v>
      </c>
      <c r="AH31" s="35">
        <f t="shared" si="63"/>
        <v>-461.5</v>
      </c>
      <c r="AI31" s="35">
        <f t="shared" si="63"/>
        <v>-461.5</v>
      </c>
      <c r="AJ31" s="35">
        <f t="shared" si="63"/>
        <v>-461.5</v>
      </c>
      <c r="AK31" s="35">
        <f t="shared" si="63"/>
        <v>-461.5</v>
      </c>
      <c r="AL31" s="35">
        <f t="shared" si="63"/>
        <v>-461.5</v>
      </c>
      <c r="AM31" s="35">
        <f t="shared" si="63"/>
        <v>-461.5</v>
      </c>
      <c r="AN31" s="35">
        <f t="shared" si="63"/>
        <v>-461.5</v>
      </c>
      <c r="AO31" s="35">
        <f t="shared" si="63"/>
        <v>-461.5</v>
      </c>
      <c r="AP31" s="35">
        <f t="shared" si="63"/>
        <v>-461.5</v>
      </c>
      <c r="AQ31" s="35">
        <f t="shared" si="63"/>
        <v>-461.5</v>
      </c>
      <c r="AR31" s="35">
        <f t="shared" si="63"/>
        <v>-461.5</v>
      </c>
      <c r="AS31" s="35">
        <f t="shared" si="63"/>
        <v>-461.5</v>
      </c>
      <c r="AT31" s="35">
        <f t="shared" si="63"/>
        <v>-461.5</v>
      </c>
      <c r="AU31" s="35">
        <f t="shared" si="63"/>
        <v>-461.5</v>
      </c>
      <c r="AV31" s="35">
        <f t="shared" si="63"/>
        <v>-461.5</v>
      </c>
      <c r="AW31" s="35">
        <f t="shared" si="63"/>
        <v>-461.5</v>
      </c>
      <c r="AX31" s="35">
        <f t="shared" si="63"/>
        <v>-461.5</v>
      </c>
    </row>
    <row r="32" spans="2:50" x14ac:dyDescent="0.2">
      <c r="B32" t="s">
        <v>35</v>
      </c>
      <c r="C32" s="7">
        <v>0</v>
      </c>
      <c r="D32" s="7">
        <v>305</v>
      </c>
      <c r="E32" s="7">
        <v>-91</v>
      </c>
      <c r="F32" s="7">
        <f>(201-SUM(C32:E32))</f>
        <v>-13</v>
      </c>
      <c r="G32" s="7">
        <v>-436</v>
      </c>
      <c r="H32" s="7">
        <v>-158</v>
      </c>
      <c r="I32" s="7">
        <v>-136</v>
      </c>
      <c r="J32" s="7">
        <f>(-667-SUM(G32:I32))</f>
        <v>63</v>
      </c>
      <c r="K32" s="7">
        <v>-42</v>
      </c>
      <c r="L32" s="7">
        <v>149</v>
      </c>
      <c r="M32" s="7">
        <v>-11</v>
      </c>
      <c r="N32" s="7">
        <f>(96-SUM(K32:M32))</f>
        <v>0</v>
      </c>
      <c r="O32" s="7"/>
      <c r="P32" s="7">
        <v>0</v>
      </c>
      <c r="Q32" s="7"/>
      <c r="R32" s="7"/>
      <c r="T32" s="24">
        <f t="shared" si="60"/>
        <v>201</v>
      </c>
      <c r="U32" s="24">
        <f t="shared" si="61"/>
        <v>-235</v>
      </c>
      <c r="V32" s="24">
        <f t="shared" si="62"/>
        <v>-698</v>
      </c>
      <c r="W32" s="32">
        <f t="shared" si="62"/>
        <v>-743</v>
      </c>
      <c r="X32" s="24">
        <f t="shared" ref="X32:AX32" si="64">AVERAGE($T$32:$W$32)</f>
        <v>-368.75</v>
      </c>
      <c r="Y32" s="24">
        <f t="shared" si="64"/>
        <v>-368.75</v>
      </c>
      <c r="Z32" s="24">
        <f t="shared" si="64"/>
        <v>-368.75</v>
      </c>
      <c r="AA32" s="24">
        <f t="shared" si="64"/>
        <v>-368.75</v>
      </c>
      <c r="AB32" s="24">
        <f t="shared" si="64"/>
        <v>-368.75</v>
      </c>
      <c r="AC32" s="24">
        <f t="shared" si="64"/>
        <v>-368.75</v>
      </c>
      <c r="AD32" s="24">
        <f t="shared" si="64"/>
        <v>-368.75</v>
      </c>
      <c r="AE32" s="24">
        <f t="shared" si="64"/>
        <v>-368.75</v>
      </c>
      <c r="AF32" s="24">
        <f t="shared" si="64"/>
        <v>-368.75</v>
      </c>
      <c r="AG32" s="24">
        <f t="shared" si="64"/>
        <v>-368.75</v>
      </c>
      <c r="AH32" s="24">
        <f t="shared" si="64"/>
        <v>-368.75</v>
      </c>
      <c r="AI32" s="24">
        <f t="shared" si="64"/>
        <v>-368.75</v>
      </c>
      <c r="AJ32" s="24">
        <f t="shared" si="64"/>
        <v>-368.75</v>
      </c>
      <c r="AK32" s="24">
        <f t="shared" si="64"/>
        <v>-368.75</v>
      </c>
      <c r="AL32" s="24">
        <f t="shared" si="64"/>
        <v>-368.75</v>
      </c>
      <c r="AM32" s="24">
        <f t="shared" si="64"/>
        <v>-368.75</v>
      </c>
      <c r="AN32" s="24">
        <f t="shared" si="64"/>
        <v>-368.75</v>
      </c>
      <c r="AO32" s="24">
        <f t="shared" si="64"/>
        <v>-368.75</v>
      </c>
      <c r="AP32" s="24">
        <f t="shared" si="64"/>
        <v>-368.75</v>
      </c>
      <c r="AQ32" s="24">
        <f t="shared" si="64"/>
        <v>-368.75</v>
      </c>
      <c r="AR32" s="24">
        <f t="shared" si="64"/>
        <v>-368.75</v>
      </c>
      <c r="AS32" s="24">
        <f t="shared" si="64"/>
        <v>-368.75</v>
      </c>
      <c r="AT32" s="24">
        <f t="shared" si="64"/>
        <v>-368.75</v>
      </c>
      <c r="AU32" s="24">
        <f t="shared" si="64"/>
        <v>-368.75</v>
      </c>
      <c r="AV32" s="24">
        <f t="shared" si="64"/>
        <v>-368.75</v>
      </c>
      <c r="AW32" s="24">
        <f t="shared" si="64"/>
        <v>-368.75</v>
      </c>
      <c r="AX32" s="24">
        <f t="shared" si="64"/>
        <v>-368.75</v>
      </c>
    </row>
    <row r="33" spans="2:50" x14ac:dyDescent="0.2">
      <c r="B33" t="s">
        <v>36</v>
      </c>
      <c r="C33" s="7">
        <v>-324</v>
      </c>
      <c r="D33" s="7">
        <v>-320</v>
      </c>
      <c r="E33" s="7">
        <v>-445</v>
      </c>
      <c r="F33" s="7">
        <f>-1406-SUM(C33:E33)</f>
        <v>-317</v>
      </c>
      <c r="G33" s="7">
        <v>-311</v>
      </c>
      <c r="H33" s="7">
        <v>-355</v>
      </c>
      <c r="I33" s="7">
        <v>-360</v>
      </c>
      <c r="J33" s="7">
        <f>-1397-SUM(G33:I33)</f>
        <v>-371</v>
      </c>
      <c r="K33" s="7">
        <v>-300</v>
      </c>
      <c r="L33" s="7">
        <v>-322</v>
      </c>
      <c r="M33" s="7">
        <v>-305</v>
      </c>
      <c r="N33" s="7">
        <f>-1209-SUM(K33:M33)</f>
        <v>-282</v>
      </c>
      <c r="O33" s="7">
        <v>-246</v>
      </c>
      <c r="P33" s="7">
        <v>-311</v>
      </c>
      <c r="Q33" s="7"/>
      <c r="R33" s="7"/>
      <c r="T33" s="24">
        <f t="shared" si="60"/>
        <v>-1406</v>
      </c>
      <c r="U33" s="24">
        <f t="shared" si="61"/>
        <v>-1393</v>
      </c>
      <c r="V33" s="24">
        <f t="shared" si="62"/>
        <v>-1428</v>
      </c>
      <c r="W33" s="32">
        <f t="shared" si="62"/>
        <v>-1343</v>
      </c>
      <c r="X33" s="24">
        <f t="shared" ref="X33:AX33" si="65">AVERAGE($T$33:$W$33)</f>
        <v>-1392.5</v>
      </c>
      <c r="Y33" s="24">
        <f t="shared" si="65"/>
        <v>-1392.5</v>
      </c>
      <c r="Z33" s="24">
        <f t="shared" si="65"/>
        <v>-1392.5</v>
      </c>
      <c r="AA33" s="24">
        <f t="shared" si="65"/>
        <v>-1392.5</v>
      </c>
      <c r="AB33" s="24">
        <f t="shared" si="65"/>
        <v>-1392.5</v>
      </c>
      <c r="AC33" s="24">
        <f t="shared" si="65"/>
        <v>-1392.5</v>
      </c>
      <c r="AD33" s="24">
        <f t="shared" si="65"/>
        <v>-1392.5</v>
      </c>
      <c r="AE33" s="24">
        <f t="shared" si="65"/>
        <v>-1392.5</v>
      </c>
      <c r="AF33" s="24">
        <f t="shared" si="65"/>
        <v>-1392.5</v>
      </c>
      <c r="AG33" s="24">
        <f t="shared" si="65"/>
        <v>-1392.5</v>
      </c>
      <c r="AH33" s="24">
        <f t="shared" si="65"/>
        <v>-1392.5</v>
      </c>
      <c r="AI33" s="24">
        <f t="shared" si="65"/>
        <v>-1392.5</v>
      </c>
      <c r="AJ33" s="24">
        <f t="shared" si="65"/>
        <v>-1392.5</v>
      </c>
      <c r="AK33" s="24">
        <f t="shared" si="65"/>
        <v>-1392.5</v>
      </c>
      <c r="AL33" s="24">
        <f t="shared" si="65"/>
        <v>-1392.5</v>
      </c>
      <c r="AM33" s="24">
        <f t="shared" si="65"/>
        <v>-1392.5</v>
      </c>
      <c r="AN33" s="24">
        <f t="shared" si="65"/>
        <v>-1392.5</v>
      </c>
      <c r="AO33" s="24">
        <f t="shared" si="65"/>
        <v>-1392.5</v>
      </c>
      <c r="AP33" s="24">
        <f t="shared" si="65"/>
        <v>-1392.5</v>
      </c>
      <c r="AQ33" s="24">
        <f t="shared" si="65"/>
        <v>-1392.5</v>
      </c>
      <c r="AR33" s="24">
        <f t="shared" si="65"/>
        <v>-1392.5</v>
      </c>
      <c r="AS33" s="24">
        <f t="shared" si="65"/>
        <v>-1392.5</v>
      </c>
      <c r="AT33" s="24">
        <f t="shared" si="65"/>
        <v>-1392.5</v>
      </c>
      <c r="AU33" s="24">
        <f t="shared" si="65"/>
        <v>-1392.5</v>
      </c>
      <c r="AV33" s="24">
        <f t="shared" si="65"/>
        <v>-1392.5</v>
      </c>
      <c r="AW33" s="24">
        <f t="shared" si="65"/>
        <v>-1392.5</v>
      </c>
      <c r="AX33" s="24">
        <f t="shared" si="65"/>
        <v>-1392.5</v>
      </c>
    </row>
    <row r="34" spans="2:50" x14ac:dyDescent="0.2">
      <c r="B34" t="s">
        <v>37</v>
      </c>
      <c r="C34" s="7">
        <v>224</v>
      </c>
      <c r="D34" s="7">
        <v>213</v>
      </c>
      <c r="E34" s="7">
        <v>211</v>
      </c>
      <c r="F34" s="7">
        <f>(761-SUM(C34:E34))</f>
        <v>113</v>
      </c>
      <c r="G34" s="7">
        <v>239</v>
      </c>
      <c r="H34" s="7">
        <v>210</v>
      </c>
      <c r="I34" s="7">
        <v>225</v>
      </c>
      <c r="J34" s="7">
        <f>(816-SUM(G34:I34))</f>
        <v>142</v>
      </c>
      <c r="K34" s="7">
        <v>191</v>
      </c>
      <c r="L34" s="7">
        <v>173</v>
      </c>
      <c r="M34" s="7">
        <v>191</v>
      </c>
      <c r="N34" s="7">
        <f>(782-SUM(K34:M34))</f>
        <v>227</v>
      </c>
      <c r="O34" s="7">
        <v>181</v>
      </c>
      <c r="P34" s="7">
        <v>141</v>
      </c>
      <c r="Q34" s="7"/>
      <c r="R34" s="7"/>
      <c r="T34" s="24">
        <f t="shared" si="60"/>
        <v>761</v>
      </c>
      <c r="U34" s="24">
        <f t="shared" si="61"/>
        <v>776</v>
      </c>
      <c r="V34" s="24">
        <f t="shared" si="62"/>
        <v>773</v>
      </c>
      <c r="W34" s="32">
        <f t="shared" si="62"/>
        <v>787</v>
      </c>
      <c r="X34" s="24">
        <f t="shared" ref="X34:AX34" si="66">AVERAGE($T$34:$W$34)</f>
        <v>774.25</v>
      </c>
      <c r="Y34" s="24">
        <f t="shared" si="66"/>
        <v>774.25</v>
      </c>
      <c r="Z34" s="24">
        <f t="shared" si="66"/>
        <v>774.25</v>
      </c>
      <c r="AA34" s="24">
        <f t="shared" si="66"/>
        <v>774.25</v>
      </c>
      <c r="AB34" s="24">
        <f t="shared" si="66"/>
        <v>774.25</v>
      </c>
      <c r="AC34" s="24">
        <f t="shared" si="66"/>
        <v>774.25</v>
      </c>
      <c r="AD34" s="24">
        <f t="shared" si="66"/>
        <v>774.25</v>
      </c>
      <c r="AE34" s="24">
        <f t="shared" si="66"/>
        <v>774.25</v>
      </c>
      <c r="AF34" s="24">
        <f t="shared" si="66"/>
        <v>774.25</v>
      </c>
      <c r="AG34" s="24">
        <f t="shared" si="66"/>
        <v>774.25</v>
      </c>
      <c r="AH34" s="24">
        <f t="shared" si="66"/>
        <v>774.25</v>
      </c>
      <c r="AI34" s="24">
        <f t="shared" si="66"/>
        <v>774.25</v>
      </c>
      <c r="AJ34" s="24">
        <f t="shared" si="66"/>
        <v>774.25</v>
      </c>
      <c r="AK34" s="24">
        <f t="shared" si="66"/>
        <v>774.25</v>
      </c>
      <c r="AL34" s="24">
        <f t="shared" si="66"/>
        <v>774.25</v>
      </c>
      <c r="AM34" s="24">
        <f t="shared" si="66"/>
        <v>774.25</v>
      </c>
      <c r="AN34" s="24">
        <f t="shared" si="66"/>
        <v>774.25</v>
      </c>
      <c r="AO34" s="24">
        <f t="shared" si="66"/>
        <v>774.25</v>
      </c>
      <c r="AP34" s="24">
        <f t="shared" si="66"/>
        <v>774.25</v>
      </c>
      <c r="AQ34" s="24">
        <f t="shared" si="66"/>
        <v>774.25</v>
      </c>
      <c r="AR34" s="24">
        <f t="shared" si="66"/>
        <v>774.25</v>
      </c>
      <c r="AS34" s="24">
        <f t="shared" si="66"/>
        <v>774.25</v>
      </c>
      <c r="AT34" s="24">
        <f t="shared" si="66"/>
        <v>774.25</v>
      </c>
      <c r="AU34" s="24">
        <f t="shared" si="66"/>
        <v>774.25</v>
      </c>
      <c r="AV34" s="24">
        <f t="shared" si="66"/>
        <v>774.25</v>
      </c>
      <c r="AW34" s="24">
        <f t="shared" si="66"/>
        <v>774.25</v>
      </c>
      <c r="AX34" s="24">
        <f t="shared" si="66"/>
        <v>774.25</v>
      </c>
    </row>
    <row r="35" spans="2:50" x14ac:dyDescent="0.2">
      <c r="B35" t="s">
        <v>38</v>
      </c>
      <c r="C35" s="7">
        <f t="shared" ref="C35:P35" si="67">SUM(C31:C34)</f>
        <v>-213</v>
      </c>
      <c r="D35" s="7">
        <f t="shared" si="67"/>
        <v>-216</v>
      </c>
      <c r="E35" s="7">
        <f t="shared" si="67"/>
        <v>-360</v>
      </c>
      <c r="F35" s="7">
        <f t="shared" si="67"/>
        <v>-309</v>
      </c>
      <c r="G35" s="7">
        <f t="shared" si="67"/>
        <v>-508</v>
      </c>
      <c r="H35" s="7">
        <f t="shared" si="67"/>
        <v>-498</v>
      </c>
      <c r="I35" s="7">
        <f t="shared" si="67"/>
        <v>-313</v>
      </c>
      <c r="J35" s="7">
        <f t="shared" si="67"/>
        <v>-166</v>
      </c>
      <c r="K35" s="7">
        <f t="shared" si="67"/>
        <v>-220</v>
      </c>
      <c r="L35" s="7">
        <f t="shared" si="67"/>
        <v>-152</v>
      </c>
      <c r="M35" s="7">
        <f t="shared" si="67"/>
        <v>-2775</v>
      </c>
      <c r="N35" s="7">
        <f t="shared" si="67"/>
        <v>-1076</v>
      </c>
      <c r="O35" s="7">
        <f t="shared" si="67"/>
        <v>-65</v>
      </c>
      <c r="P35" s="7">
        <f t="shared" si="67"/>
        <v>-2222</v>
      </c>
      <c r="Q35" s="7"/>
      <c r="R35" s="7"/>
      <c r="T35" s="24">
        <f t="shared" si="60"/>
        <v>-1098</v>
      </c>
      <c r="U35" s="24">
        <f t="shared" si="61"/>
        <v>-1393</v>
      </c>
      <c r="V35" s="24">
        <f t="shared" si="62"/>
        <v>-1675</v>
      </c>
      <c r="W35" s="32">
        <f t="shared" si="62"/>
        <v>-1628</v>
      </c>
      <c r="X35" s="24">
        <f t="shared" ref="X35:AX35" si="68">AVERAGE($T$35:$W$35)</f>
        <v>-1448.5</v>
      </c>
      <c r="Y35" s="24">
        <f t="shared" si="68"/>
        <v>-1448.5</v>
      </c>
      <c r="Z35" s="24">
        <f t="shared" si="68"/>
        <v>-1448.5</v>
      </c>
      <c r="AA35" s="24">
        <f t="shared" si="68"/>
        <v>-1448.5</v>
      </c>
      <c r="AB35" s="24">
        <f t="shared" si="68"/>
        <v>-1448.5</v>
      </c>
      <c r="AC35" s="24">
        <f t="shared" si="68"/>
        <v>-1448.5</v>
      </c>
      <c r="AD35" s="24">
        <f t="shared" si="68"/>
        <v>-1448.5</v>
      </c>
      <c r="AE35" s="24">
        <f t="shared" si="68"/>
        <v>-1448.5</v>
      </c>
      <c r="AF35" s="24">
        <f t="shared" si="68"/>
        <v>-1448.5</v>
      </c>
      <c r="AG35" s="24">
        <f t="shared" si="68"/>
        <v>-1448.5</v>
      </c>
      <c r="AH35" s="24">
        <f t="shared" si="68"/>
        <v>-1448.5</v>
      </c>
      <c r="AI35" s="24">
        <f t="shared" si="68"/>
        <v>-1448.5</v>
      </c>
      <c r="AJ35" s="24">
        <f t="shared" si="68"/>
        <v>-1448.5</v>
      </c>
      <c r="AK35" s="24">
        <f t="shared" si="68"/>
        <v>-1448.5</v>
      </c>
      <c r="AL35" s="24">
        <f t="shared" si="68"/>
        <v>-1448.5</v>
      </c>
      <c r="AM35" s="24">
        <f t="shared" si="68"/>
        <v>-1448.5</v>
      </c>
      <c r="AN35" s="24">
        <f t="shared" si="68"/>
        <v>-1448.5</v>
      </c>
      <c r="AO35" s="24">
        <f t="shared" si="68"/>
        <v>-1448.5</v>
      </c>
      <c r="AP35" s="24">
        <f t="shared" si="68"/>
        <v>-1448.5</v>
      </c>
      <c r="AQ35" s="24">
        <f t="shared" si="68"/>
        <v>-1448.5</v>
      </c>
      <c r="AR35" s="24">
        <f t="shared" si="68"/>
        <v>-1448.5</v>
      </c>
      <c r="AS35" s="24">
        <f t="shared" si="68"/>
        <v>-1448.5</v>
      </c>
      <c r="AT35" s="24">
        <f t="shared" si="68"/>
        <v>-1448.5</v>
      </c>
      <c r="AU35" s="24">
        <f t="shared" si="68"/>
        <v>-1448.5</v>
      </c>
      <c r="AV35" s="24">
        <f t="shared" si="68"/>
        <v>-1448.5</v>
      </c>
      <c r="AW35" s="24">
        <f t="shared" si="68"/>
        <v>-1448.5</v>
      </c>
      <c r="AX35" s="24">
        <f t="shared" si="68"/>
        <v>-1448.5</v>
      </c>
    </row>
    <row r="36" spans="2:50" x14ac:dyDescent="0.2">
      <c r="B36" s="15" t="s">
        <v>13</v>
      </c>
      <c r="C36" s="16">
        <f t="shared" ref="C36:P36" si="69">C21-(C30-C35)</f>
        <v>46</v>
      </c>
      <c r="D36" s="16">
        <f t="shared" si="69"/>
        <v>1230</v>
      </c>
      <c r="E36" s="16">
        <f t="shared" si="69"/>
        <v>995</v>
      </c>
      <c r="F36" s="16">
        <f t="shared" si="69"/>
        <v>200</v>
      </c>
      <c r="G36" s="16">
        <f t="shared" si="69"/>
        <v>1688</v>
      </c>
      <c r="H36" s="16">
        <f t="shared" si="69"/>
        <v>1102</v>
      </c>
      <c r="I36" s="16">
        <f t="shared" si="69"/>
        <v>2119</v>
      </c>
      <c r="J36" s="16">
        <f t="shared" si="69"/>
        <v>376</v>
      </c>
      <c r="K36" s="16">
        <f t="shared" si="69"/>
        <v>1773</v>
      </c>
      <c r="L36" s="16">
        <f t="shared" si="69"/>
        <v>2123</v>
      </c>
      <c r="M36" s="16">
        <f t="shared" si="69"/>
        <v>-134</v>
      </c>
      <c r="N36" s="16">
        <f t="shared" si="69"/>
        <v>1006</v>
      </c>
      <c r="O36" s="16">
        <f t="shared" si="69"/>
        <v>2871</v>
      </c>
      <c r="P36" s="16">
        <f t="shared" si="69"/>
        <v>657</v>
      </c>
      <c r="Q36" s="16"/>
      <c r="R36" s="7"/>
      <c r="T36" s="16">
        <f t="shared" ref="T36" si="70">T21-(T30-T35)</f>
        <v>47602</v>
      </c>
      <c r="U36" s="16">
        <f t="shared" ref="U36" si="71">U21-(U30-U35)</f>
        <v>36620</v>
      </c>
      <c r="V36" s="16">
        <f t="shared" ref="V36" si="72">V21-(V30-V35)</f>
        <v>66517</v>
      </c>
      <c r="W36" s="31">
        <f>W21-(W30-W35)</f>
        <v>76776.581428571415</v>
      </c>
      <c r="X36" s="16">
        <f t="shared" ref="X36" si="73">X21-(X30-X35)</f>
        <v>88328.090728571391</v>
      </c>
      <c r="Y36" s="16">
        <f t="shared" ref="Y36" si="74">Y21-(Y30-Y35)</f>
        <v>101229.07003757138</v>
      </c>
      <c r="Z36" s="16">
        <f t="shared" ref="Z36" si="75">Z21-(Z30-Z35)</f>
        <v>115862.84633674135</v>
      </c>
      <c r="AA36" s="16">
        <f t="shared" ref="AA36" si="76">AA21-(AA30-AA35)</f>
        <v>132460.25020280344</v>
      </c>
      <c r="AB36" s="16">
        <f t="shared" ref="AB36" si="77">AB21-(AB30-AB35)</f>
        <v>151282.67688425357</v>
      </c>
      <c r="AC36" s="16">
        <f t="shared" ref="AC36" si="78">AC21-(AC30-AC35)</f>
        <v>172626.11537837223</v>
      </c>
      <c r="AD36" s="16">
        <f t="shared" ref="AD36" si="79">AD21-(AD30-AD35)</f>
        <v>196825.70685521432</v>
      </c>
      <c r="AE36" s="16">
        <f t="shared" ref="AE36" si="80">AE21-(AE30-AE35)</f>
        <v>224260.90180038265</v>
      </c>
      <c r="AF36" s="16">
        <f t="shared" ref="AF36" si="81">AF21-(AF30-AF35)</f>
        <v>255361.29432239337</v>
      </c>
      <c r="AG36" s="16">
        <f t="shared" ref="AG36" si="82">AG21-(AG30-AG35)</f>
        <v>290613.22232963302</v>
      </c>
      <c r="AH36" s="16">
        <f t="shared" ref="AH36" si="83">AH21-(AH30-AH35)</f>
        <v>330567.23388091807</v>
      </c>
      <c r="AI36" s="16">
        <f t="shared" ref="AI36" si="84">AI21-(AI30-AI35)</f>
        <v>375846.5331272849</v>
      </c>
      <c r="AJ36" s="16">
        <f t="shared" ref="AJ36" si="85">AJ21-(AJ30-AJ35)</f>
        <v>427156.53408843558</v>
      </c>
      <c r="AK36" s="16">
        <f t="shared" ref="AK36" si="86">AK21-(AK30-AK35)</f>
        <v>485295.66726856766</v>
      </c>
      <c r="AL36" s="16">
        <f t="shared" ref="AL36" si="87">AL21-(AL30-AL35)</f>
        <v>551167.60306555184</v>
      </c>
      <c r="AM36" s="16">
        <f t="shared" ref="AM36" si="88">AM21-(AM30-AM35)</f>
        <v>625795.0773499225</v>
      </c>
      <c r="AN36" s="16">
        <f t="shared" ref="AN36" si="89">AN21-(AN30-AN35)</f>
        <v>710335.52880841773</v>
      </c>
      <c r="AO36" s="16">
        <f t="shared" ref="AO36" si="90">AO21-(AO30-AO35)</f>
        <v>806098.78502538905</v>
      </c>
      <c r="AP36" s="16">
        <f t="shared" ref="AP36" si="91">AP21-(AP30-AP35)</f>
        <v>914567.06522632588</v>
      </c>
      <c r="AQ36" s="16">
        <f t="shared" ref="AQ36" si="92">AQ21-(AQ30-AQ35)</f>
        <v>1037417.6025967196</v>
      </c>
      <c r="AR36" s="16">
        <f t="shared" ref="AR36" si="93">AR21-(AR30-AR35)</f>
        <v>1176548.2286429331</v>
      </c>
      <c r="AS36" s="16">
        <f t="shared" ref="AS36" si="94">AS21-(AS30-AS35)</f>
        <v>1334106.3067745897</v>
      </c>
      <c r="AT36" s="16">
        <f t="shared" ref="AT36" si="95">AT21-(AT30-AT35)</f>
        <v>1512521.4528327407</v>
      </c>
      <c r="AU36" s="16">
        <f t="shared" ref="AU36" si="96">AU21-(AU30-AU35)</f>
        <v>1714542.5374247681</v>
      </c>
      <c r="AV36" s="16">
        <f t="shared" ref="AV36" si="97">AV21-(AV30-AV35)</f>
        <v>1943279.5295147076</v>
      </c>
      <c r="AW36" s="16">
        <f t="shared" ref="AW36" si="98">AW21-(AW30-AW35)</f>
        <v>2202250.8137273826</v>
      </c>
      <c r="AX36" s="16">
        <f t="shared" ref="AX36" si="99">AX21-(AX30-AX35)</f>
        <v>2495436.6963538532</v>
      </c>
    </row>
    <row r="37" spans="2:50" x14ac:dyDescent="0.2">
      <c r="B37" t="s">
        <v>14</v>
      </c>
      <c r="C37" s="7">
        <v>16</v>
      </c>
      <c r="D37" s="7">
        <v>108</v>
      </c>
      <c r="E37" s="7">
        <v>-133</v>
      </c>
      <c r="F37" s="7">
        <f>(25-SUM(C37:E37))</f>
        <v>34</v>
      </c>
      <c r="G37" s="7">
        <v>488</v>
      </c>
      <c r="H37" s="7">
        <v>505</v>
      </c>
      <c r="I37" s="7">
        <v>617</v>
      </c>
      <c r="J37" s="7">
        <f>(1732-SUM(G37:I37))</f>
        <v>122</v>
      </c>
      <c r="K37" s="7">
        <v>412</v>
      </c>
      <c r="L37" s="7">
        <v>635</v>
      </c>
      <c r="M37" s="7">
        <v>19</v>
      </c>
      <c r="N37" s="7">
        <f>(1379-SUM(K37:M37))</f>
        <v>313</v>
      </c>
      <c r="O37" s="7">
        <v>720</v>
      </c>
      <c r="P37" s="7">
        <v>441</v>
      </c>
      <c r="Q37" s="7"/>
      <c r="R37" s="7"/>
      <c r="T37" s="24">
        <f t="shared" ref="T37" si="100">SUM(C37:F37)</f>
        <v>25</v>
      </c>
      <c r="U37" s="24">
        <f t="shared" ref="U37" si="101">SUM(D37:G37)</f>
        <v>497</v>
      </c>
      <c r="V37" s="24">
        <f t="shared" ref="V37:W37" si="102">SUM(E37:H37)</f>
        <v>894</v>
      </c>
      <c r="W37" s="32">
        <f t="shared" si="102"/>
        <v>1644</v>
      </c>
      <c r="X37" s="24">
        <f t="shared" ref="X37:AX37" si="103">AVERAGE($T$37:$W$37)</f>
        <v>765</v>
      </c>
      <c r="Y37" s="24">
        <f t="shared" si="103"/>
        <v>765</v>
      </c>
      <c r="Z37" s="24">
        <f t="shared" si="103"/>
        <v>765</v>
      </c>
      <c r="AA37" s="24">
        <f t="shared" si="103"/>
        <v>765</v>
      </c>
      <c r="AB37" s="24">
        <f t="shared" si="103"/>
        <v>765</v>
      </c>
      <c r="AC37" s="24">
        <f t="shared" si="103"/>
        <v>765</v>
      </c>
      <c r="AD37" s="24">
        <f t="shared" si="103"/>
        <v>765</v>
      </c>
      <c r="AE37" s="24">
        <f t="shared" si="103"/>
        <v>765</v>
      </c>
      <c r="AF37" s="24">
        <f t="shared" si="103"/>
        <v>765</v>
      </c>
      <c r="AG37" s="24">
        <f t="shared" si="103"/>
        <v>765</v>
      </c>
      <c r="AH37" s="24">
        <f t="shared" si="103"/>
        <v>765</v>
      </c>
      <c r="AI37" s="24">
        <f t="shared" si="103"/>
        <v>765</v>
      </c>
      <c r="AJ37" s="24">
        <f t="shared" si="103"/>
        <v>765</v>
      </c>
      <c r="AK37" s="24">
        <f t="shared" si="103"/>
        <v>765</v>
      </c>
      <c r="AL37" s="24">
        <f t="shared" si="103"/>
        <v>765</v>
      </c>
      <c r="AM37" s="24">
        <f t="shared" si="103"/>
        <v>765</v>
      </c>
      <c r="AN37" s="24">
        <f t="shared" si="103"/>
        <v>765</v>
      </c>
      <c r="AO37" s="24">
        <f t="shared" si="103"/>
        <v>765</v>
      </c>
      <c r="AP37" s="24">
        <f t="shared" si="103"/>
        <v>765</v>
      </c>
      <c r="AQ37" s="24">
        <f t="shared" si="103"/>
        <v>765</v>
      </c>
      <c r="AR37" s="24">
        <f t="shared" si="103"/>
        <v>765</v>
      </c>
      <c r="AS37" s="24">
        <f t="shared" si="103"/>
        <v>765</v>
      </c>
      <c r="AT37" s="24">
        <f t="shared" si="103"/>
        <v>765</v>
      </c>
      <c r="AU37" s="24">
        <f t="shared" si="103"/>
        <v>765</v>
      </c>
      <c r="AV37" s="24">
        <f t="shared" si="103"/>
        <v>765</v>
      </c>
      <c r="AW37" s="24">
        <f t="shared" si="103"/>
        <v>765</v>
      </c>
      <c r="AX37" s="24">
        <f t="shared" si="103"/>
        <v>765</v>
      </c>
    </row>
    <row r="38" spans="2:50" x14ac:dyDescent="0.2">
      <c r="B38" s="15" t="s">
        <v>15</v>
      </c>
      <c r="C38" s="16">
        <f t="shared" ref="C38" si="104">C36-C37</f>
        <v>30</v>
      </c>
      <c r="D38" s="16">
        <f t="shared" ref="D38" si="105">D36-D37</f>
        <v>1122</v>
      </c>
      <c r="E38" s="16">
        <f>E36-E37</f>
        <v>1128</v>
      </c>
      <c r="F38" s="16">
        <f t="shared" ref="F38" si="106">F36-F37</f>
        <v>166</v>
      </c>
      <c r="G38" s="16">
        <f t="shared" ref="G38" si="107">G36-G37</f>
        <v>1200</v>
      </c>
      <c r="H38" s="16">
        <f t="shared" ref="H38" si="108">H36-H37</f>
        <v>597</v>
      </c>
      <c r="I38" s="16">
        <f t="shared" ref="I38:J38" si="109">I36-I37</f>
        <v>1502</v>
      </c>
      <c r="J38" s="16">
        <f t="shared" si="109"/>
        <v>254</v>
      </c>
      <c r="K38" s="16">
        <f>K36-K37</f>
        <v>1361</v>
      </c>
      <c r="L38" s="16">
        <f t="shared" ref="L38" si="110">L36-L37</f>
        <v>1488</v>
      </c>
      <c r="M38" s="16">
        <f t="shared" ref="M38:N38" si="111">M36-M37</f>
        <v>-153</v>
      </c>
      <c r="N38" s="16">
        <f t="shared" si="111"/>
        <v>693</v>
      </c>
      <c r="O38" s="16">
        <f>O36-O37</f>
        <v>2151</v>
      </c>
      <c r="P38" s="16">
        <f t="shared" ref="P38" si="112">P36-P37</f>
        <v>216</v>
      </c>
      <c r="Q38" s="16"/>
      <c r="R38" s="7"/>
      <c r="T38" s="16">
        <f t="shared" ref="T38:AX38" si="113">T36-T37</f>
        <v>47577</v>
      </c>
      <c r="U38" s="16">
        <f t="shared" si="113"/>
        <v>36123</v>
      </c>
      <c r="V38" s="16">
        <f t="shared" si="113"/>
        <v>65623</v>
      </c>
      <c r="W38" s="31">
        <f>W36-W37</f>
        <v>75132.581428571415</v>
      </c>
      <c r="X38" s="16">
        <f t="shared" si="113"/>
        <v>87563.090728571391</v>
      </c>
      <c r="Y38" s="16">
        <f t="shared" si="113"/>
        <v>100464.07003757138</v>
      </c>
      <c r="Z38" s="16">
        <f t="shared" si="113"/>
        <v>115097.84633674135</v>
      </c>
      <c r="AA38" s="16">
        <f t="shared" si="113"/>
        <v>131695.25020280344</v>
      </c>
      <c r="AB38" s="16">
        <f t="shared" si="113"/>
        <v>150517.67688425357</v>
      </c>
      <c r="AC38" s="16">
        <f t="shared" si="113"/>
        <v>171861.11537837223</v>
      </c>
      <c r="AD38" s="16">
        <f t="shared" si="113"/>
        <v>196060.70685521432</v>
      </c>
      <c r="AE38" s="16">
        <f t="shared" si="113"/>
        <v>223495.90180038265</v>
      </c>
      <c r="AF38" s="16">
        <f t="shared" si="113"/>
        <v>254596.29432239337</v>
      </c>
      <c r="AG38" s="16">
        <f t="shared" si="113"/>
        <v>289848.22232963302</v>
      </c>
      <c r="AH38" s="16">
        <f t="shared" si="113"/>
        <v>329802.23388091807</v>
      </c>
      <c r="AI38" s="16">
        <f t="shared" si="113"/>
        <v>375081.5331272849</v>
      </c>
      <c r="AJ38" s="16">
        <f t="shared" si="113"/>
        <v>426391.53408843558</v>
      </c>
      <c r="AK38" s="16">
        <f t="shared" si="113"/>
        <v>484530.66726856766</v>
      </c>
      <c r="AL38" s="16">
        <f t="shared" si="113"/>
        <v>550402.60306555184</v>
      </c>
      <c r="AM38" s="16">
        <f t="shared" si="113"/>
        <v>625030.0773499225</v>
      </c>
      <c r="AN38" s="16">
        <f t="shared" si="113"/>
        <v>709570.52880841773</v>
      </c>
      <c r="AO38" s="16">
        <f t="shared" si="113"/>
        <v>805333.78502538905</v>
      </c>
      <c r="AP38" s="16">
        <f t="shared" si="113"/>
        <v>913802.06522632588</v>
      </c>
      <c r="AQ38" s="16">
        <f t="shared" si="113"/>
        <v>1036652.6025967196</v>
      </c>
      <c r="AR38" s="16">
        <f t="shared" si="113"/>
        <v>1175783.2286429331</v>
      </c>
      <c r="AS38" s="16">
        <f t="shared" si="113"/>
        <v>1333341.3067745897</v>
      </c>
      <c r="AT38" s="16">
        <f t="shared" si="113"/>
        <v>1511756.4528327407</v>
      </c>
      <c r="AU38" s="16">
        <f t="shared" si="113"/>
        <v>1713777.5374247681</v>
      </c>
      <c r="AV38" s="16">
        <f t="shared" si="113"/>
        <v>1942514.5295147076</v>
      </c>
      <c r="AW38" s="16">
        <f t="shared" si="113"/>
        <v>2201485.8137273826</v>
      </c>
      <c r="AX38" s="16">
        <f t="shared" si="113"/>
        <v>2494671.6963538532</v>
      </c>
    </row>
    <row r="39" spans="2:50" x14ac:dyDescent="0.2">
      <c r="B39" t="s">
        <v>16</v>
      </c>
      <c r="C39" s="17" t="e">
        <f t="shared" ref="C39" si="114">C38/C40</f>
        <v>#DIV/0!</v>
      </c>
      <c r="D39" s="17" t="e">
        <f t="shared" ref="D39" si="115">D38/D40</f>
        <v>#DIV/0!</v>
      </c>
      <c r="E39" s="17" t="e">
        <f t="shared" ref="E39:F39" si="116">E38/E40</f>
        <v>#DIV/0!</v>
      </c>
      <c r="F39" s="17" t="e">
        <f t="shared" si="116"/>
        <v>#DIV/0!</v>
      </c>
      <c r="G39" s="17" t="e">
        <f t="shared" ref="G39" si="117">G38/G40</f>
        <v>#DIV/0!</v>
      </c>
      <c r="H39" s="17" t="e">
        <f t="shared" ref="H39" si="118">H38/H40</f>
        <v>#DIV/0!</v>
      </c>
      <c r="I39" s="17" t="e">
        <f t="shared" ref="I39:J39" si="119">I38/I40</f>
        <v>#DIV/0!</v>
      </c>
      <c r="J39" s="17" t="e">
        <f t="shared" si="119"/>
        <v>#DIV/0!</v>
      </c>
      <c r="K39" s="17" t="e">
        <f t="shared" ref="K39" si="120">K38/K40</f>
        <v>#DIV/0!</v>
      </c>
      <c r="L39" s="17" t="e">
        <f t="shared" ref="L39" si="121">L38/L40</f>
        <v>#DIV/0!</v>
      </c>
      <c r="M39" s="17" t="e">
        <f t="shared" ref="M39:N39" si="122">M38/M40</f>
        <v>#DIV/0!</v>
      </c>
      <c r="N39" s="17" t="e">
        <f t="shared" si="122"/>
        <v>#DIV/0!</v>
      </c>
      <c r="O39" s="17" t="e">
        <f>O38/O40</f>
        <v>#DIV/0!</v>
      </c>
      <c r="P39" s="17" t="e">
        <f t="shared" ref="P39" si="123">P38/P40</f>
        <v>#DIV/0!</v>
      </c>
      <c r="Q39" s="17"/>
      <c r="R39" s="17"/>
      <c r="T39" s="17" t="e">
        <f t="shared" ref="T39:AX39" si="124">T38/T40</f>
        <v>#DIV/0!</v>
      </c>
      <c r="U39" s="17" t="e">
        <f t="shared" si="124"/>
        <v>#DIV/0!</v>
      </c>
      <c r="V39" s="17" t="e">
        <f t="shared" si="124"/>
        <v>#DIV/0!</v>
      </c>
      <c r="W39" s="33" t="e">
        <f t="shared" si="124"/>
        <v>#DIV/0!</v>
      </c>
      <c r="X39" s="17" t="e">
        <f t="shared" si="124"/>
        <v>#DIV/0!</v>
      </c>
      <c r="Y39" s="17" t="e">
        <f t="shared" si="124"/>
        <v>#DIV/0!</v>
      </c>
      <c r="Z39" s="17" t="e">
        <f t="shared" si="124"/>
        <v>#DIV/0!</v>
      </c>
      <c r="AA39" s="17" t="e">
        <f t="shared" si="124"/>
        <v>#DIV/0!</v>
      </c>
      <c r="AB39" s="17" t="e">
        <f t="shared" si="124"/>
        <v>#DIV/0!</v>
      </c>
      <c r="AC39" s="17" t="e">
        <f t="shared" si="124"/>
        <v>#DIV/0!</v>
      </c>
      <c r="AD39" s="17" t="e">
        <f t="shared" si="124"/>
        <v>#DIV/0!</v>
      </c>
      <c r="AE39" s="17" t="e">
        <f t="shared" si="124"/>
        <v>#DIV/0!</v>
      </c>
      <c r="AF39" s="17" t="e">
        <f t="shared" si="124"/>
        <v>#DIV/0!</v>
      </c>
      <c r="AG39" s="17" t="e">
        <f t="shared" si="124"/>
        <v>#DIV/0!</v>
      </c>
      <c r="AH39" s="17" t="e">
        <f t="shared" si="124"/>
        <v>#DIV/0!</v>
      </c>
      <c r="AI39" s="17" t="e">
        <f t="shared" si="124"/>
        <v>#DIV/0!</v>
      </c>
      <c r="AJ39" s="17" t="e">
        <f t="shared" si="124"/>
        <v>#DIV/0!</v>
      </c>
      <c r="AK39" s="17" t="e">
        <f t="shared" si="124"/>
        <v>#DIV/0!</v>
      </c>
      <c r="AL39" s="17" t="e">
        <f t="shared" si="124"/>
        <v>#DIV/0!</v>
      </c>
      <c r="AM39" s="17" t="e">
        <f t="shared" si="124"/>
        <v>#DIV/0!</v>
      </c>
      <c r="AN39" s="17" t="e">
        <f t="shared" si="124"/>
        <v>#DIV/0!</v>
      </c>
      <c r="AO39" s="17" t="e">
        <f t="shared" si="124"/>
        <v>#DIV/0!</v>
      </c>
      <c r="AP39" s="17" t="e">
        <f t="shared" si="124"/>
        <v>#DIV/0!</v>
      </c>
      <c r="AQ39" s="17" t="e">
        <f t="shared" si="124"/>
        <v>#DIV/0!</v>
      </c>
      <c r="AR39" s="17" t="e">
        <f t="shared" si="124"/>
        <v>#DIV/0!</v>
      </c>
      <c r="AS39" s="17" t="e">
        <f t="shared" si="124"/>
        <v>#DIV/0!</v>
      </c>
      <c r="AT39" s="17" t="e">
        <f t="shared" si="124"/>
        <v>#DIV/0!</v>
      </c>
      <c r="AU39" s="17" t="e">
        <f t="shared" si="124"/>
        <v>#DIV/0!</v>
      </c>
      <c r="AV39" s="17" t="e">
        <f t="shared" si="124"/>
        <v>#DIV/0!</v>
      </c>
      <c r="AW39" s="17" t="e">
        <f t="shared" si="124"/>
        <v>#DIV/0!</v>
      </c>
      <c r="AX39" s="17" t="e">
        <f t="shared" si="124"/>
        <v>#DIV/0!</v>
      </c>
    </row>
    <row r="40" spans="2:50" x14ac:dyDescent="0.2">
      <c r="B40" t="s">
        <v>17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W40" s="27"/>
    </row>
    <row r="41" spans="2:50" x14ac:dyDescent="0.2"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W41" s="27"/>
    </row>
    <row r="42" spans="2:50" x14ac:dyDescent="0.2">
      <c r="B42" t="s">
        <v>18</v>
      </c>
      <c r="C42" s="18">
        <f>C25/C21</f>
        <v>0.2753400209243646</v>
      </c>
      <c r="D42" s="18">
        <f t="shared" ref="C42:P42" si="125">D25/D21</f>
        <v>0.37347082559405625</v>
      </c>
      <c r="E42" s="18">
        <f t="shared" si="125"/>
        <v>0.3400892962049113</v>
      </c>
      <c r="F42" s="18">
        <f t="shared" si="125"/>
        <v>0.33089351550639773</v>
      </c>
      <c r="G42" s="18">
        <f t="shared" si="125"/>
        <v>0.33237086942572985</v>
      </c>
      <c r="H42" s="18">
        <f t="shared" si="125"/>
        <v>0.34573224583095225</v>
      </c>
      <c r="I42" s="18">
        <f t="shared" si="125"/>
        <v>0.36374627976190477</v>
      </c>
      <c r="J42" s="18">
        <f t="shared" si="125"/>
        <v>0.32714640198511169</v>
      </c>
      <c r="K42" s="18">
        <f t="shared" si="125"/>
        <v>0.30307927866621298</v>
      </c>
      <c r="L42" s="18">
        <f t="shared" si="125"/>
        <v>0.3300022920009168</v>
      </c>
      <c r="M42" s="18">
        <f t="shared" si="125"/>
        <v>0.35194805194805195</v>
      </c>
      <c r="N42" s="18">
        <f t="shared" si="125"/>
        <v>0.35367231638418078</v>
      </c>
      <c r="O42" s="18">
        <f t="shared" si="125"/>
        <v>0.3381035288122638</v>
      </c>
      <c r="P42" s="18">
        <f t="shared" si="125"/>
        <v>0.35823936965086267</v>
      </c>
      <c r="Q42" s="18"/>
      <c r="R42" s="17"/>
      <c r="T42" s="18">
        <f t="shared" ref="T42:W42" si="126">T25/T21</f>
        <v>0.34</v>
      </c>
      <c r="U42" s="18">
        <f t="shared" si="126"/>
        <v>0.34</v>
      </c>
      <c r="V42" s="18">
        <f t="shared" ref="V42" si="127">V25/V21</f>
        <v>0.34</v>
      </c>
      <c r="W42" s="34">
        <f t="shared" si="126"/>
        <v>0.34</v>
      </c>
      <c r="X42" s="18">
        <f>V25/V21</f>
        <v>0.34</v>
      </c>
      <c r="Y42" s="18">
        <f t="shared" ref="Y42:AX42" si="128">W25/W21</f>
        <v>0.34</v>
      </c>
      <c r="Z42" s="18">
        <f t="shared" si="128"/>
        <v>0.34</v>
      </c>
      <c r="AA42" s="18">
        <f t="shared" si="128"/>
        <v>0.34</v>
      </c>
      <c r="AB42" s="18">
        <f t="shared" si="128"/>
        <v>0.34</v>
      </c>
      <c r="AC42" s="18">
        <f t="shared" si="128"/>
        <v>0.34</v>
      </c>
      <c r="AD42" s="18">
        <f t="shared" si="128"/>
        <v>0.34</v>
      </c>
      <c r="AE42" s="18">
        <f t="shared" si="128"/>
        <v>0.34</v>
      </c>
      <c r="AF42" s="18">
        <f t="shared" si="128"/>
        <v>0.33999999999999997</v>
      </c>
      <c r="AG42" s="18">
        <f t="shared" si="128"/>
        <v>0.34</v>
      </c>
      <c r="AH42" s="18">
        <f t="shared" si="128"/>
        <v>0.34</v>
      </c>
      <c r="AI42" s="18">
        <f t="shared" si="128"/>
        <v>0.34</v>
      </c>
      <c r="AJ42" s="18">
        <f t="shared" si="128"/>
        <v>0.34</v>
      </c>
      <c r="AK42" s="18">
        <f t="shared" si="128"/>
        <v>0.34</v>
      </c>
      <c r="AL42" s="18">
        <f t="shared" si="128"/>
        <v>0.34</v>
      </c>
      <c r="AM42" s="18">
        <f t="shared" si="128"/>
        <v>0.34</v>
      </c>
      <c r="AN42" s="18">
        <f t="shared" si="128"/>
        <v>0.34</v>
      </c>
      <c r="AO42" s="18">
        <f t="shared" si="128"/>
        <v>0.34</v>
      </c>
      <c r="AP42" s="18">
        <f t="shared" si="128"/>
        <v>0.34</v>
      </c>
      <c r="AQ42" s="18">
        <f t="shared" si="128"/>
        <v>0.34</v>
      </c>
      <c r="AR42" s="18">
        <f t="shared" si="128"/>
        <v>0.34</v>
      </c>
      <c r="AS42" s="18">
        <f t="shared" si="128"/>
        <v>0.34</v>
      </c>
      <c r="AT42" s="18">
        <f t="shared" si="128"/>
        <v>0.34</v>
      </c>
      <c r="AU42" s="18">
        <f t="shared" si="128"/>
        <v>0.34</v>
      </c>
      <c r="AV42" s="18">
        <f t="shared" si="128"/>
        <v>0.34</v>
      </c>
      <c r="AW42" s="18">
        <f t="shared" si="128"/>
        <v>0.34</v>
      </c>
      <c r="AX42" s="18">
        <f t="shared" si="128"/>
        <v>0.34</v>
      </c>
    </row>
    <row r="43" spans="2:50" x14ac:dyDescent="0.2">
      <c r="B43" t="s">
        <v>19</v>
      </c>
      <c r="C43" s="18">
        <f t="shared" ref="C43" si="129">C37/C36</f>
        <v>0.34782608695652173</v>
      </c>
      <c r="D43" s="18">
        <f t="shared" ref="D43:F43" si="130">D37/D36</f>
        <v>8.7804878048780483E-2</v>
      </c>
      <c r="E43" s="18">
        <f t="shared" si="130"/>
        <v>-0.13366834170854272</v>
      </c>
      <c r="F43" s="18">
        <f t="shared" si="130"/>
        <v>0.17</v>
      </c>
      <c r="G43" s="18">
        <f t="shared" ref="G43:J43" si="131">G37/G36</f>
        <v>0.2890995260663507</v>
      </c>
      <c r="H43" s="18">
        <f t="shared" si="131"/>
        <v>0.45825771324863884</v>
      </c>
      <c r="I43" s="18">
        <f t="shared" si="131"/>
        <v>0.29117508258612551</v>
      </c>
      <c r="J43" s="18">
        <f t="shared" si="131"/>
        <v>0.32446808510638298</v>
      </c>
      <c r="K43" s="18">
        <f t="shared" ref="K43:M43" si="132">K37/K36</f>
        <v>0.2323745064861816</v>
      </c>
      <c r="L43" s="18">
        <f t="shared" si="132"/>
        <v>0.29910504003768251</v>
      </c>
      <c r="M43" s="18">
        <f t="shared" si="132"/>
        <v>-0.1417910447761194</v>
      </c>
      <c r="N43" s="18">
        <f t="shared" ref="N43" si="133">N37/N36</f>
        <v>0.3111332007952286</v>
      </c>
      <c r="O43" s="18">
        <f>O37/O36</f>
        <v>0.2507836990595611</v>
      </c>
      <c r="P43" s="18">
        <f t="shared" ref="P43" si="134">P37/P36</f>
        <v>0.67123287671232879</v>
      </c>
      <c r="Q43" s="18"/>
      <c r="R43" s="17"/>
      <c r="T43" s="18">
        <f t="shared" ref="T43:W43" si="135">T37/T36</f>
        <v>5.25188017310197E-4</v>
      </c>
      <c r="U43" s="18">
        <f t="shared" si="135"/>
        <v>1.357181867831786E-2</v>
      </c>
      <c r="V43" s="18">
        <f t="shared" ref="V43" si="136">V37/V36</f>
        <v>1.3440173188808876E-2</v>
      </c>
      <c r="W43" s="34">
        <f t="shared" si="135"/>
        <v>2.1412779384160058E-2</v>
      </c>
      <c r="X43" s="18">
        <f>V37/V36</f>
        <v>1.3440173188808876E-2</v>
      </c>
      <c r="Y43" s="18">
        <f t="shared" ref="Y43:AX43" si="137">W37/W36</f>
        <v>2.1412779384160058E-2</v>
      </c>
      <c r="Z43" s="18">
        <f t="shared" si="137"/>
        <v>8.6608913844952642E-3</v>
      </c>
      <c r="AA43" s="18">
        <f t="shared" si="137"/>
        <v>7.5571177302732172E-3</v>
      </c>
      <c r="AB43" s="18">
        <f t="shared" si="137"/>
        <v>6.6026342713575324E-3</v>
      </c>
      <c r="AC43" s="18">
        <f t="shared" si="137"/>
        <v>5.775317492068343E-3</v>
      </c>
      <c r="AD43" s="18">
        <f t="shared" si="137"/>
        <v>5.0567587496174581E-3</v>
      </c>
      <c r="AE43" s="18">
        <f t="shared" si="137"/>
        <v>4.4315426916908098E-3</v>
      </c>
      <c r="AF43" s="18">
        <f t="shared" si="137"/>
        <v>3.8866874262655981E-3</v>
      </c>
      <c r="AG43" s="18">
        <f t="shared" si="137"/>
        <v>3.411205403432007E-3</v>
      </c>
      <c r="AH43" s="18">
        <f t="shared" si="137"/>
        <v>2.9957554923503338E-3</v>
      </c>
      <c r="AI43" s="18">
        <f t="shared" si="137"/>
        <v>2.6323647419327868E-3</v>
      </c>
      <c r="AJ43" s="18">
        <f t="shared" si="137"/>
        <v>2.3142039548770883E-3</v>
      </c>
      <c r="AK43" s="18">
        <f t="shared" si="137"/>
        <v>2.0354052321161723E-3</v>
      </c>
      <c r="AL43" s="18">
        <f t="shared" si="137"/>
        <v>1.7909125553528806E-3</v>
      </c>
      <c r="AM43" s="18">
        <f t="shared" si="137"/>
        <v>1.5763586027992315E-3</v>
      </c>
      <c r="AN43" s="18">
        <f t="shared" si="137"/>
        <v>1.3879625648262504E-3</v>
      </c>
      <c r="AO43" s="18">
        <f t="shared" si="137"/>
        <v>1.2224448987990983E-3</v>
      </c>
      <c r="AP43" s="18">
        <f t="shared" si="137"/>
        <v>1.0769558454766883E-3</v>
      </c>
      <c r="AQ43" s="18">
        <f t="shared" si="137"/>
        <v>9.4901520038379093E-4</v>
      </c>
      <c r="AR43" s="18">
        <f t="shared" si="137"/>
        <v>8.3646134776424203E-4</v>
      </c>
      <c r="AS43" s="18">
        <f t="shared" si="137"/>
        <v>7.3740796192888793E-4</v>
      </c>
      <c r="AT43" s="18">
        <f t="shared" si="137"/>
        <v>6.502070900080097E-4</v>
      </c>
      <c r="AU43" s="18">
        <f t="shared" si="137"/>
        <v>5.7341757258423198E-4</v>
      </c>
      <c r="AV43" s="18">
        <f t="shared" si="137"/>
        <v>5.0577795016874783E-4</v>
      </c>
      <c r="AW43" s="18">
        <f t="shared" si="137"/>
        <v>4.4618315574078735E-4</v>
      </c>
      <c r="AX43" s="18">
        <f t="shared" si="137"/>
        <v>3.9366441542820264E-4</v>
      </c>
    </row>
    <row r="44" spans="2:50" x14ac:dyDescent="0.2">
      <c r="B44" t="s">
        <v>20</v>
      </c>
      <c r="C44" s="18"/>
      <c r="D44" s="18"/>
      <c r="E44" s="18"/>
      <c r="F44" s="18"/>
      <c r="G44" s="18">
        <f>G19/C19-1</f>
        <v>0.31410127092999796</v>
      </c>
      <c r="H44" s="18"/>
      <c r="I44" s="18"/>
      <c r="J44" s="18"/>
      <c r="K44" s="18">
        <f>K19/G19-1</f>
        <v>7.4455019957015756E-2</v>
      </c>
      <c r="L44" s="18"/>
      <c r="M44" s="18"/>
      <c r="N44" s="18"/>
      <c r="O44" s="18">
        <f>O19/K19-1</f>
        <v>-1.0477687288660276E-3</v>
      </c>
      <c r="P44" s="18"/>
      <c r="Q44" s="18"/>
      <c r="R44" s="17"/>
      <c r="T44" s="18"/>
      <c r="U44" s="18"/>
      <c r="V44" s="18"/>
      <c r="W44" s="34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</row>
    <row r="45" spans="2:50" x14ac:dyDescent="0.2">
      <c r="B45" t="s">
        <v>11</v>
      </c>
      <c r="C45" s="18">
        <f>C28/C21</f>
        <v>0.25940057849713827</v>
      </c>
      <c r="D45" s="18">
        <f t="shared" ref="D45:F45" si="138">D28/D21</f>
        <v>0.28085569717543074</v>
      </c>
      <c r="E45" s="18">
        <f t="shared" si="138"/>
        <v>0.26048642932675359</v>
      </c>
      <c r="F45" s="18">
        <f t="shared" si="138"/>
        <v>0.30329646497505963</v>
      </c>
      <c r="G45" s="18">
        <f t="shared" ref="G45:J45" si="139">G28/G21</f>
        <v>0.23172464365919612</v>
      </c>
      <c r="H45" s="18">
        <f t="shared" si="139"/>
        <v>0.26261104472959634</v>
      </c>
      <c r="I45" s="18">
        <f t="shared" si="139"/>
        <v>0.25065104166666669</v>
      </c>
      <c r="J45" s="18">
        <f t="shared" si="139"/>
        <v>0.30024813895781638</v>
      </c>
      <c r="K45" s="18">
        <f t="shared" ref="K45:M45" si="140">K28/K21</f>
        <v>0.2183140523987751</v>
      </c>
      <c r="L45" s="18">
        <f t="shared" si="140"/>
        <v>0.22571625028650011</v>
      </c>
      <c r="M45" s="18">
        <f t="shared" si="140"/>
        <v>0.23367666815942678</v>
      </c>
      <c r="N45" s="18">
        <f t="shared" ref="N45" si="141">N28/N21</f>
        <v>0.2556497175141243</v>
      </c>
      <c r="O45" s="18">
        <f>O28/O21</f>
        <v>0.21342732175463927</v>
      </c>
      <c r="P45" s="18">
        <f t="shared" ref="P45" si="142">P28/P21</f>
        <v>0.22786759045419552</v>
      </c>
      <c r="Q45" s="18"/>
      <c r="R45" s="17"/>
      <c r="T45" s="18">
        <f t="shared" ref="T45:W45" si="143">T28/T21</f>
        <v>0.27667538022813687</v>
      </c>
      <c r="U45" s="18">
        <f t="shared" si="143"/>
        <v>0.54047290926234859</v>
      </c>
      <c r="V45" s="18">
        <f t="shared" ref="V45" si="144">V28/V21</f>
        <v>0.23290999696277714</v>
      </c>
      <c r="W45" s="34">
        <f t="shared" si="143"/>
        <v>0.21949463609549302</v>
      </c>
      <c r="X45" s="18">
        <f>V28/V21</f>
        <v>0.23290999696277714</v>
      </c>
      <c r="Y45" s="18">
        <f t="shared" ref="Y45:AX45" si="145">W28/W21</f>
        <v>0.21949463609549302</v>
      </c>
      <c r="Z45" s="18">
        <f t="shared" si="145"/>
        <v>0.20910447738745536</v>
      </c>
      <c r="AA45" s="18">
        <f t="shared" si="145"/>
        <v>0.19951509525835168</v>
      </c>
      <c r="AB45" s="18">
        <f t="shared" si="145"/>
        <v>0.19064483978531413</v>
      </c>
      <c r="AC45" s="18">
        <f t="shared" si="145"/>
        <v>0.182421176306965</v>
      </c>
      <c r="AD45" s="18">
        <f t="shared" si="145"/>
        <v>0.17477964414800093</v>
      </c>
      <c r="AE45" s="18">
        <f t="shared" si="145"/>
        <v>0.16766293494051587</v>
      </c>
      <c r="AF45" s="18">
        <f t="shared" si="145"/>
        <v>0.16102007678834926</v>
      </c>
      <c r="AG45" s="18">
        <f t="shared" si="145"/>
        <v>0.15480571210289398</v>
      </c>
      <c r="AH45" s="18">
        <f t="shared" si="145"/>
        <v>0.14897945833893272</v>
      </c>
      <c r="AI45" s="18">
        <f t="shared" si="145"/>
        <v>0.1435053420981314</v>
      </c>
      <c r="AJ45" s="18">
        <f t="shared" si="145"/>
        <v>0.13835129816433536</v>
      </c>
      <c r="AK45" s="18">
        <f t="shared" si="145"/>
        <v>0.13348872600518702</v>
      </c>
      <c r="AL45" s="18">
        <f t="shared" si="145"/>
        <v>0.12889209713332278</v>
      </c>
      <c r="AM45" s="18">
        <f t="shared" si="145"/>
        <v>0.1245386074803581</v>
      </c>
      <c r="AN45" s="18">
        <f t="shared" si="145"/>
        <v>0.12040786960939361</v>
      </c>
      <c r="AO45" s="18">
        <f t="shared" si="145"/>
        <v>0.11648164018693487</v>
      </c>
      <c r="AP45" s="18">
        <f t="shared" si="145"/>
        <v>0.11274357866180866</v>
      </c>
      <c r="AQ45" s="18">
        <f t="shared" si="145"/>
        <v>0.10917903356476122</v>
      </c>
      <c r="AR45" s="18">
        <f t="shared" si="145"/>
        <v>0.10577485325490552</v>
      </c>
      <c r="AS45" s="18">
        <f t="shared" si="145"/>
        <v>0.10251921830421602</v>
      </c>
      <c r="AT45" s="18">
        <f t="shared" si="145"/>
        <v>9.9401493034308536E-2</v>
      </c>
      <c r="AU45" s="18">
        <f t="shared" si="145"/>
        <v>9.6412094005620258E-2</v>
      </c>
      <c r="AV45" s="18">
        <f t="shared" si="145"/>
        <v>9.3542373512097654E-2</v>
      </c>
      <c r="AW45" s="18">
        <f t="shared" si="145"/>
        <v>9.0784516358387857E-2</v>
      </c>
      <c r="AX45" s="18">
        <f t="shared" si="145"/>
        <v>8.81314483946644E-2</v>
      </c>
    </row>
    <row r="46" spans="2:50" x14ac:dyDescent="0.2">
      <c r="B46" t="s">
        <v>21</v>
      </c>
      <c r="C46" s="18"/>
      <c r="D46" s="18"/>
      <c r="E46" s="18"/>
      <c r="F46" s="17"/>
      <c r="G46" s="18">
        <f>G26/C26-1</f>
        <v>0.29825162838532737</v>
      </c>
      <c r="H46" s="18"/>
      <c r="I46" s="18"/>
      <c r="J46" s="17"/>
      <c r="K46" s="18">
        <f>K26/G26-1</f>
        <v>1.0562450488513342E-2</v>
      </c>
      <c r="L46" s="18"/>
      <c r="M46" s="18"/>
      <c r="N46" s="18"/>
      <c r="O46" s="18">
        <f>O26/K26-1</f>
        <v>-1.1497256336556072E-2</v>
      </c>
      <c r="P46" s="18"/>
      <c r="Q46" s="18"/>
      <c r="R46" s="17"/>
      <c r="T46" s="18"/>
      <c r="U46" s="18"/>
      <c r="V46" s="18"/>
      <c r="W46" s="34"/>
    </row>
    <row r="47" spans="2:50" x14ac:dyDescent="0.2">
      <c r="B47" t="s">
        <v>22</v>
      </c>
      <c r="C47" s="18"/>
      <c r="D47" s="18"/>
      <c r="E47" s="18"/>
      <c r="F47" s="17"/>
      <c r="G47" s="18"/>
      <c r="H47" s="18"/>
      <c r="I47" s="18"/>
      <c r="J47" s="17"/>
      <c r="K47" s="18"/>
      <c r="L47" s="18"/>
      <c r="M47" s="18"/>
      <c r="N47" s="18"/>
      <c r="O47" s="18"/>
      <c r="P47" s="18"/>
      <c r="Q47" s="18"/>
      <c r="R47" s="17"/>
      <c r="T47" s="18"/>
      <c r="U47" s="18"/>
      <c r="V47" s="18"/>
      <c r="W47" s="34"/>
    </row>
    <row r="48" spans="2:50" x14ac:dyDescent="0.2">
      <c r="B48" t="s">
        <v>23</v>
      </c>
      <c r="C48" s="18"/>
      <c r="D48" s="18"/>
      <c r="E48" s="18"/>
      <c r="F48" s="17"/>
      <c r="G48" s="18"/>
      <c r="H48" s="18"/>
      <c r="I48" s="18"/>
      <c r="J48" s="17"/>
      <c r="K48" s="18"/>
      <c r="L48" s="18"/>
      <c r="M48" s="18"/>
      <c r="N48" s="18"/>
      <c r="O48" s="18"/>
      <c r="P48" s="18"/>
      <c r="Q48" s="18"/>
      <c r="R48" s="17"/>
      <c r="T48" s="18"/>
      <c r="U48" s="18"/>
      <c r="V48" s="18"/>
      <c r="W48" s="34"/>
    </row>
    <row r="49" spans="2:23" x14ac:dyDescent="0.2">
      <c r="B49" t="s">
        <v>12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W49" s="27"/>
    </row>
    <row r="50" spans="2:23" x14ac:dyDescent="0.2">
      <c r="W50" s="27"/>
    </row>
    <row r="51" spans="2:23" x14ac:dyDescent="0.2">
      <c r="B51" t="s">
        <v>60</v>
      </c>
      <c r="P51" s="22">
        <f>AVERAGE(C44:P44)</f>
        <v>0.12916950738604924</v>
      </c>
      <c r="W51" s="27"/>
    </row>
    <row r="52" spans="2:23" x14ac:dyDescent="0.2">
      <c r="B52" t="s">
        <v>61</v>
      </c>
      <c r="W52" s="27"/>
    </row>
    <row r="53" spans="2:23" x14ac:dyDescent="0.2">
      <c r="B53" t="s">
        <v>62</v>
      </c>
      <c r="P53" s="22">
        <f>AVERAGE(C42:P42)</f>
        <v>0.33741673519256554</v>
      </c>
      <c r="W53" s="27"/>
    </row>
    <row r="54" spans="2:23" x14ac:dyDescent="0.2">
      <c r="B54" t="s">
        <v>63</v>
      </c>
      <c r="P54" s="20">
        <f>AVERAGE(C27:P27)</f>
        <v>1294.8571428571429</v>
      </c>
      <c r="Q54" s="23">
        <f>P54*4</f>
        <v>5179.4285714285716</v>
      </c>
      <c r="R54" s="21">
        <f>W27/V27-1</f>
        <v>-3.5308517148710861E-2</v>
      </c>
      <c r="W54" s="27"/>
    </row>
    <row r="55" spans="2:23" x14ac:dyDescent="0.2">
      <c r="B55" t="s">
        <v>64</v>
      </c>
      <c r="P55" s="21">
        <f>AVERAGE(C46:P46)</f>
        <v>9.9105607512428209E-2</v>
      </c>
      <c r="R55" s="21">
        <f>V27/U27-1</f>
        <v>-0.67238223090065907</v>
      </c>
      <c r="W55" s="27"/>
    </row>
    <row r="60" spans="2:23" x14ac:dyDescent="0.2">
      <c r="B60" s="14" t="s">
        <v>71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</row>
    <row r="61" spans="2:23" x14ac:dyDescent="0.2">
      <c r="B61" t="s">
        <v>72</v>
      </c>
      <c r="C61" s="24"/>
      <c r="D61" s="24"/>
      <c r="E61" s="24"/>
      <c r="F61" s="24"/>
      <c r="G61" s="24"/>
      <c r="H61" s="24"/>
      <c r="I61" s="24"/>
      <c r="J61" s="24"/>
      <c r="K61" s="24"/>
      <c r="L61" s="24">
        <v>4605</v>
      </c>
      <c r="M61" s="24"/>
      <c r="N61" s="24"/>
      <c r="O61" s="24"/>
      <c r="P61" s="24">
        <v>5222</v>
      </c>
      <c r="Q61" s="24"/>
      <c r="R61" s="24"/>
    </row>
    <row r="62" spans="2:23" x14ac:dyDescent="0.2">
      <c r="B62" t="s">
        <v>87</v>
      </c>
      <c r="C62" s="24"/>
      <c r="D62" s="24"/>
      <c r="E62" s="24"/>
      <c r="F62" s="24"/>
      <c r="G62" s="24"/>
      <c r="H62" s="24"/>
      <c r="I62" s="24"/>
      <c r="J62" s="24"/>
      <c r="K62" s="24"/>
      <c r="L62" s="24">
        <v>4414</v>
      </c>
      <c r="M62" s="24"/>
      <c r="N62" s="24"/>
      <c r="O62" s="24"/>
      <c r="P62" s="24">
        <v>4138</v>
      </c>
      <c r="Q62" s="24"/>
      <c r="R62" s="24"/>
    </row>
    <row r="63" spans="2:23" x14ac:dyDescent="0.2">
      <c r="B63" t="s">
        <v>73</v>
      </c>
      <c r="C63" s="24"/>
      <c r="D63" s="24"/>
      <c r="E63" s="24"/>
      <c r="F63" s="24"/>
      <c r="G63" s="24"/>
      <c r="H63" s="24"/>
      <c r="I63" s="24"/>
      <c r="J63" s="24"/>
      <c r="K63" s="24"/>
      <c r="L63" s="24">
        <v>2564</v>
      </c>
      <c r="M63" s="24"/>
      <c r="N63" s="24"/>
      <c r="O63" s="24"/>
      <c r="P63" s="24">
        <v>2721</v>
      </c>
      <c r="Q63" s="24"/>
      <c r="R63" s="24"/>
    </row>
    <row r="64" spans="2:23" x14ac:dyDescent="0.2">
      <c r="B64" t="s">
        <v>74</v>
      </c>
      <c r="C64" s="24"/>
      <c r="D64" s="24"/>
      <c r="E64" s="24"/>
      <c r="F64" s="24"/>
      <c r="G64" s="24"/>
      <c r="H64" s="24"/>
      <c r="I64" s="24"/>
      <c r="J64" s="24"/>
      <c r="K64" s="24"/>
      <c r="L64" s="24">
        <v>2428</v>
      </c>
      <c r="M64" s="24"/>
      <c r="N64" s="24"/>
      <c r="O64" s="24"/>
      <c r="P64" s="24">
        <v>2806</v>
      </c>
      <c r="Q64" s="24"/>
      <c r="R64" s="24"/>
    </row>
    <row r="65" spans="2:18" x14ac:dyDescent="0.2">
      <c r="B65" t="s">
        <v>75</v>
      </c>
      <c r="C65" s="24"/>
      <c r="D65" s="24"/>
      <c r="E65" s="24"/>
      <c r="F65" s="24"/>
      <c r="G65" s="24"/>
      <c r="H65" s="24"/>
      <c r="I65" s="24"/>
      <c r="J65" s="24"/>
      <c r="K65" s="24"/>
      <c r="L65" s="24">
        <v>1949</v>
      </c>
      <c r="M65" s="24"/>
      <c r="N65" s="24"/>
      <c r="O65" s="24"/>
      <c r="P65" s="24">
        <v>2101</v>
      </c>
      <c r="Q65" s="24"/>
      <c r="R65" s="24"/>
    </row>
    <row r="66" spans="2:18" x14ac:dyDescent="0.2">
      <c r="B66" t="s">
        <v>76</v>
      </c>
      <c r="C66" s="24"/>
      <c r="D66" s="24"/>
      <c r="E66" s="24"/>
      <c r="F66" s="24"/>
      <c r="G66" s="24"/>
      <c r="H66" s="24"/>
      <c r="I66" s="24"/>
      <c r="J66" s="24"/>
      <c r="K66" s="24"/>
      <c r="L66" s="24">
        <v>2142</v>
      </c>
      <c r="M66" s="24"/>
      <c r="N66" s="24"/>
      <c r="O66" s="24"/>
      <c r="P66" s="24">
        <v>2266</v>
      </c>
      <c r="Q66" s="24"/>
      <c r="R66" s="24"/>
    </row>
    <row r="67" spans="2:18" x14ac:dyDescent="0.2">
      <c r="B67" t="s">
        <v>77</v>
      </c>
      <c r="C67" s="24"/>
      <c r="D67" s="24"/>
      <c r="E67" s="24"/>
      <c r="F67" s="24"/>
      <c r="G67" s="24"/>
      <c r="H67" s="24"/>
      <c r="I67" s="24"/>
      <c r="J67" s="24"/>
      <c r="K67" s="24"/>
      <c r="L67" s="24">
        <v>772</v>
      </c>
      <c r="M67" s="24"/>
      <c r="N67" s="24"/>
      <c r="O67" s="24"/>
      <c r="P67" s="24">
        <v>788</v>
      </c>
      <c r="Q67" s="24"/>
      <c r="R67" s="24"/>
    </row>
    <row r="68" spans="2:18" x14ac:dyDescent="0.2">
      <c r="B68" t="s">
        <v>78</v>
      </c>
      <c r="C68" s="24"/>
      <c r="D68" s="24"/>
      <c r="E68" s="24"/>
      <c r="F68" s="24"/>
      <c r="G68" s="24"/>
      <c r="H68" s="24"/>
      <c r="I68" s="24"/>
      <c r="J68" s="24"/>
      <c r="K68" s="24"/>
      <c r="L68" s="24">
        <v>905</v>
      </c>
      <c r="M68" s="24"/>
      <c r="N68" s="24"/>
      <c r="O68" s="24"/>
      <c r="P68" s="24">
        <v>550</v>
      </c>
      <c r="Q68" s="24"/>
      <c r="R68" s="24"/>
    </row>
    <row r="69" spans="2:18" x14ac:dyDescent="0.2">
      <c r="B69" t="s">
        <v>79</v>
      </c>
      <c r="C69" s="24"/>
      <c r="D69" s="24"/>
      <c r="E69" s="24"/>
      <c r="F69" s="24"/>
      <c r="G69" s="24"/>
      <c r="H69" s="24"/>
      <c r="I69" s="24"/>
      <c r="J69" s="24"/>
      <c r="K69" s="24"/>
      <c r="L69" s="24">
        <v>767</v>
      </c>
      <c r="M69" s="24"/>
      <c r="N69" s="24"/>
      <c r="O69" s="24"/>
      <c r="P69" s="24">
        <v>123</v>
      </c>
      <c r="Q69" s="24"/>
      <c r="R69" s="24"/>
    </row>
    <row r="70" spans="2:18" x14ac:dyDescent="0.2">
      <c r="B70" t="s">
        <v>80</v>
      </c>
      <c r="C70" s="24"/>
      <c r="D70" s="24"/>
      <c r="E70" s="24"/>
      <c r="F70" s="24"/>
      <c r="G70" s="24"/>
      <c r="H70" s="24"/>
      <c r="I70" s="24"/>
      <c r="J70" s="24"/>
      <c r="K70" s="24"/>
      <c r="L70" s="24">
        <v>202</v>
      </c>
      <c r="M70" s="24"/>
      <c r="N70" s="24"/>
      <c r="O70" s="24"/>
      <c r="P70" s="24">
        <v>189</v>
      </c>
      <c r="Q70" s="24"/>
      <c r="R70" s="24"/>
    </row>
    <row r="71" spans="2:18" x14ac:dyDescent="0.2">
      <c r="B71" t="s">
        <v>81</v>
      </c>
      <c r="C71" s="24"/>
      <c r="D71" s="24"/>
      <c r="E71" s="24"/>
      <c r="F71" s="24"/>
      <c r="G71" s="24"/>
      <c r="H71" s="24"/>
      <c r="I71" s="24"/>
      <c r="J71" s="24"/>
      <c r="K71" s="24"/>
      <c r="L71" s="24">
        <v>1067</v>
      </c>
      <c r="M71" s="24"/>
      <c r="N71" s="24"/>
      <c r="O71" s="24"/>
      <c r="P71" s="24">
        <v>1179</v>
      </c>
      <c r="Q71" s="24"/>
      <c r="R71" s="24"/>
    </row>
    <row r="73" spans="2:18" x14ac:dyDescent="0.2">
      <c r="B73" s="14" t="s">
        <v>85</v>
      </c>
    </row>
    <row r="74" spans="2:18" x14ac:dyDescent="0.2">
      <c r="B74" t="s">
        <v>82</v>
      </c>
      <c r="L74" s="24">
        <v>17630</v>
      </c>
      <c r="P74" s="24">
        <v>17614</v>
      </c>
    </row>
    <row r="75" spans="2:18" x14ac:dyDescent="0.2">
      <c r="B75" t="s">
        <v>83</v>
      </c>
      <c r="L75" s="24">
        <v>2191</v>
      </c>
      <c r="P75" s="24">
        <v>2281</v>
      </c>
    </row>
    <row r="76" spans="2:18" x14ac:dyDescent="0.2">
      <c r="B76" t="s">
        <v>84</v>
      </c>
      <c r="L76" s="24">
        <v>1994</v>
      </c>
      <c r="P76" s="24">
        <v>2161</v>
      </c>
    </row>
    <row r="79" spans="2:18" x14ac:dyDescent="0.2">
      <c r="B79" t="s">
        <v>88</v>
      </c>
    </row>
    <row r="80" spans="2:18" x14ac:dyDescent="0.2">
      <c r="B80" t="s">
        <v>89</v>
      </c>
    </row>
    <row r="81" spans="2:2" x14ac:dyDescent="0.2">
      <c r="B81" s="14" t="s">
        <v>91</v>
      </c>
    </row>
    <row r="82" spans="2:2" x14ac:dyDescent="0.2">
      <c r="B82" s="13" t="s">
        <v>92</v>
      </c>
    </row>
    <row r="83" spans="2:2" x14ac:dyDescent="0.2">
      <c r="B83" s="13" t="s">
        <v>93</v>
      </c>
    </row>
    <row r="84" spans="2:2" x14ac:dyDescent="0.2">
      <c r="B84" s="13" t="s">
        <v>94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  </vt:lpstr>
      <vt:lpstr>DIS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Ihsan Mutlu</dc:creator>
  <cp:lastModifiedBy>Ihsan Mutlu</cp:lastModifiedBy>
  <dcterms:created xsi:type="dcterms:W3CDTF">2024-07-09T08:48:31Z</dcterms:created>
  <dcterms:modified xsi:type="dcterms:W3CDTF">2024-07-12T09:24:58Z</dcterms:modified>
</cp:coreProperties>
</file>