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ihsanmutlu/Desktop/Kangal_Capital/"/>
    </mc:Choice>
  </mc:AlternateContent>
  <xr:revisionPtr revIDLastSave="0" documentId="13_ncr:1_{B3D474F2-D7F4-E344-9975-DB4CB3305B1A}" xr6:coauthVersionLast="47" xr6:coauthVersionMax="47" xr10:uidLastSave="{00000000-0000-0000-0000-000000000000}"/>
  <bookViews>
    <workbookView xWindow="0" yWindow="740" windowWidth="29400" windowHeight="17180" activeTab="1" xr2:uid="{A9B0B607-B729-A849-901D-EEC1840B0247}"/>
  </bookViews>
  <sheets>
    <sheet name="Info" sheetId="1" r:id="rId1"/>
    <sheet name="Main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36" i="2" l="1"/>
  <c r="Z38" i="2" s="1"/>
  <c r="Z39" i="2" s="1"/>
  <c r="BG24" i="2"/>
  <c r="BF24" i="2"/>
  <c r="BE24" i="2"/>
  <c r="BD24" i="2"/>
  <c r="BC24" i="2"/>
  <c r="BB24" i="2"/>
  <c r="BA24" i="2"/>
  <c r="AZ24" i="2"/>
  <c r="AY24" i="2"/>
  <c r="AX24" i="2"/>
  <c r="AW24" i="2"/>
  <c r="AV24" i="2"/>
  <c r="AU24" i="2"/>
  <c r="AT24" i="2"/>
  <c r="AS24" i="2"/>
  <c r="AR24" i="2"/>
  <c r="AQ24" i="2"/>
  <c r="AP24" i="2"/>
  <c r="AO24" i="2"/>
  <c r="AN24" i="2"/>
  <c r="AM24" i="2"/>
  <c r="AL24" i="2"/>
  <c r="AK24" i="2"/>
  <c r="AJ24" i="2"/>
  <c r="AI24" i="2"/>
  <c r="AH24" i="2"/>
  <c r="AG24" i="2"/>
  <c r="AF24" i="2"/>
  <c r="AE24" i="2"/>
  <c r="AD24" i="2"/>
  <c r="AC24" i="2"/>
  <c r="BG23" i="2"/>
  <c r="BF23" i="2"/>
  <c r="BE23" i="2"/>
  <c r="BD23" i="2"/>
  <c r="BC23" i="2"/>
  <c r="BB23" i="2"/>
  <c r="BA23" i="2"/>
  <c r="AZ23" i="2"/>
  <c r="AY23" i="2"/>
  <c r="AX23" i="2"/>
  <c r="AW23" i="2"/>
  <c r="AV23" i="2"/>
  <c r="AU23" i="2"/>
  <c r="AT23" i="2"/>
  <c r="AS23" i="2"/>
  <c r="AR23" i="2"/>
  <c r="AQ23" i="2"/>
  <c r="AP23" i="2"/>
  <c r="AO23" i="2"/>
  <c r="AN23" i="2"/>
  <c r="AM23" i="2"/>
  <c r="AL23" i="2"/>
  <c r="AK23" i="2"/>
  <c r="AJ23" i="2"/>
  <c r="AI23" i="2"/>
  <c r="AH23" i="2"/>
  <c r="AG23" i="2"/>
  <c r="AF23" i="2"/>
  <c r="AE23" i="2"/>
  <c r="AD23" i="2"/>
  <c r="AC23" i="2"/>
  <c r="BG22" i="2"/>
  <c r="BF22" i="2"/>
  <c r="BE22" i="2"/>
  <c r="BD22" i="2"/>
  <c r="BC22" i="2"/>
  <c r="BB22" i="2"/>
  <c r="BA22" i="2"/>
  <c r="AZ22" i="2"/>
  <c r="AY22" i="2"/>
  <c r="AX22" i="2"/>
  <c r="AW22" i="2"/>
  <c r="AV22" i="2"/>
  <c r="AU22" i="2"/>
  <c r="AT22" i="2"/>
  <c r="AS22" i="2"/>
  <c r="AR22" i="2"/>
  <c r="AQ22" i="2"/>
  <c r="AP22" i="2"/>
  <c r="AO22" i="2"/>
  <c r="AN22" i="2"/>
  <c r="AM22" i="2"/>
  <c r="AL22" i="2"/>
  <c r="AK22" i="2"/>
  <c r="AJ22" i="2"/>
  <c r="AI22" i="2"/>
  <c r="AH22" i="2"/>
  <c r="AG22" i="2"/>
  <c r="AF22" i="2"/>
  <c r="AE22" i="2"/>
  <c r="AD22" i="2"/>
  <c r="AC22" i="2"/>
  <c r="BG19" i="2"/>
  <c r="BF19" i="2"/>
  <c r="BE19" i="2"/>
  <c r="BD19" i="2"/>
  <c r="BC19" i="2"/>
  <c r="BB19" i="2"/>
  <c r="BA19" i="2"/>
  <c r="AZ19" i="2"/>
  <c r="AY19" i="2"/>
  <c r="AX19" i="2"/>
  <c r="AW19" i="2"/>
  <c r="AV19" i="2"/>
  <c r="AU19" i="2"/>
  <c r="AT19" i="2"/>
  <c r="AS19" i="2"/>
  <c r="AR19" i="2"/>
  <c r="AQ19" i="2"/>
  <c r="AP19" i="2"/>
  <c r="AO19" i="2"/>
  <c r="AN19" i="2"/>
  <c r="AM19" i="2"/>
  <c r="AL19" i="2"/>
  <c r="AK19" i="2"/>
  <c r="AJ19" i="2"/>
  <c r="AI19" i="2"/>
  <c r="AH19" i="2"/>
  <c r="AG19" i="2"/>
  <c r="AF19" i="2"/>
  <c r="AE19" i="2"/>
  <c r="AD19" i="2"/>
  <c r="AC19" i="2"/>
  <c r="BG17" i="2"/>
  <c r="BF17" i="2"/>
  <c r="BE17" i="2"/>
  <c r="BD17" i="2"/>
  <c r="BC17" i="2"/>
  <c r="BB17" i="2"/>
  <c r="BA17" i="2"/>
  <c r="AZ17" i="2"/>
  <c r="AY17" i="2"/>
  <c r="AX17" i="2"/>
  <c r="AW17" i="2"/>
  <c r="AV17" i="2"/>
  <c r="AU17" i="2"/>
  <c r="AT17" i="2"/>
  <c r="AS17" i="2"/>
  <c r="AR17" i="2"/>
  <c r="AQ17" i="2"/>
  <c r="AP17" i="2"/>
  <c r="AO17" i="2"/>
  <c r="AN17" i="2"/>
  <c r="AM17" i="2"/>
  <c r="AL17" i="2"/>
  <c r="AK17" i="2"/>
  <c r="AJ17" i="2"/>
  <c r="AI17" i="2"/>
  <c r="AH17" i="2"/>
  <c r="AG17" i="2"/>
  <c r="AF17" i="2"/>
  <c r="AE17" i="2"/>
  <c r="AD17" i="2"/>
  <c r="AC17" i="2"/>
  <c r="AY16" i="2"/>
  <c r="AX16" i="2"/>
  <c r="AT16" i="2"/>
  <c r="AS16" i="2"/>
  <c r="AR16" i="2"/>
  <c r="AQ16" i="2"/>
  <c r="AP16" i="2"/>
  <c r="AO16" i="2"/>
  <c r="AN16" i="2"/>
  <c r="AM16" i="2"/>
  <c r="AL16" i="2"/>
  <c r="BG16" i="2" s="1"/>
  <c r="AK16" i="2"/>
  <c r="BF16" i="2" s="1"/>
  <c r="AJ16" i="2"/>
  <c r="BE16" i="2" s="1"/>
  <c r="AI16" i="2"/>
  <c r="BD16" i="2" s="1"/>
  <c r="AH16" i="2"/>
  <c r="BC16" i="2" s="1"/>
  <c r="AG16" i="2"/>
  <c r="AF16" i="2"/>
  <c r="AE16" i="2"/>
  <c r="AD16" i="2"/>
  <c r="AC16" i="2"/>
  <c r="AW16" i="2" s="1"/>
  <c r="BG15" i="2"/>
  <c r="BF15" i="2"/>
  <c r="BE15" i="2"/>
  <c r="BD15" i="2"/>
  <c r="BC15" i="2"/>
  <c r="BB15" i="2"/>
  <c r="BA15" i="2"/>
  <c r="AZ15" i="2"/>
  <c r="AY15" i="2"/>
  <c r="AX15" i="2"/>
  <c r="AW15" i="2"/>
  <c r="AV15" i="2"/>
  <c r="AU15" i="2"/>
  <c r="AT15" i="2"/>
  <c r="AS15" i="2"/>
  <c r="AR15" i="2"/>
  <c r="AQ15" i="2"/>
  <c r="AP15" i="2"/>
  <c r="AO15" i="2"/>
  <c r="AN15" i="2"/>
  <c r="AM15" i="2"/>
  <c r="AL15" i="2"/>
  <c r="AK15" i="2"/>
  <c r="AJ15" i="2"/>
  <c r="AI15" i="2"/>
  <c r="AH15" i="2"/>
  <c r="AG15" i="2"/>
  <c r="AF15" i="2"/>
  <c r="AE15" i="2"/>
  <c r="AD15" i="2"/>
  <c r="AC15" i="2"/>
  <c r="BG13" i="2"/>
  <c r="BF13" i="2"/>
  <c r="BE13" i="2"/>
  <c r="BD13" i="2"/>
  <c r="BC13" i="2"/>
  <c r="BB13" i="2"/>
  <c r="BA13" i="2"/>
  <c r="AZ13" i="2"/>
  <c r="AY13" i="2"/>
  <c r="AX13" i="2"/>
  <c r="AW13" i="2"/>
  <c r="AV13" i="2"/>
  <c r="AU13" i="2"/>
  <c r="AT13" i="2"/>
  <c r="AS13" i="2"/>
  <c r="AR13" i="2"/>
  <c r="AQ13" i="2"/>
  <c r="AP13" i="2"/>
  <c r="AO13" i="2"/>
  <c r="AN13" i="2"/>
  <c r="AM13" i="2"/>
  <c r="AL13" i="2"/>
  <c r="AK13" i="2"/>
  <c r="AJ13" i="2"/>
  <c r="AI13" i="2"/>
  <c r="AH13" i="2"/>
  <c r="AG13" i="2"/>
  <c r="AF13" i="2"/>
  <c r="AE13" i="2"/>
  <c r="AD13" i="2"/>
  <c r="AC13" i="2"/>
  <c r="BG12" i="2"/>
  <c r="BF12" i="2"/>
  <c r="BE12" i="2"/>
  <c r="BD12" i="2"/>
  <c r="BC12" i="2"/>
  <c r="BB12" i="2"/>
  <c r="BA12" i="2"/>
  <c r="AZ12" i="2"/>
  <c r="AY12" i="2"/>
  <c r="AX12" i="2"/>
  <c r="AW12" i="2"/>
  <c r="AV12" i="2"/>
  <c r="AU12" i="2"/>
  <c r="AT12" i="2"/>
  <c r="AS12" i="2"/>
  <c r="AR12" i="2"/>
  <c r="AQ12" i="2"/>
  <c r="AP12" i="2"/>
  <c r="AO12" i="2"/>
  <c r="AN12" i="2"/>
  <c r="AM12" i="2"/>
  <c r="AL12" i="2"/>
  <c r="AK12" i="2"/>
  <c r="AJ12" i="2"/>
  <c r="AI12" i="2"/>
  <c r="AH12" i="2"/>
  <c r="AG12" i="2"/>
  <c r="AF12" i="2"/>
  <c r="AE12" i="2"/>
  <c r="AD12" i="2"/>
  <c r="AC12" i="2"/>
  <c r="BE6" i="2"/>
  <c r="BF6" i="2" s="1"/>
  <c r="BG6" i="2" s="1"/>
  <c r="BD6" i="2"/>
  <c r="AY6" i="2"/>
  <c r="AZ6" i="2" s="1"/>
  <c r="BA6" i="2" s="1"/>
  <c r="BB6" i="2" s="1"/>
  <c r="BC6" i="2" s="1"/>
  <c r="AX6" i="2"/>
  <c r="AQ6" i="2"/>
  <c r="AR6" i="2" s="1"/>
  <c r="AS6" i="2" s="1"/>
  <c r="AT6" i="2" s="1"/>
  <c r="AU6" i="2" s="1"/>
  <c r="AV6" i="2" s="1"/>
  <c r="AW6" i="2" s="1"/>
  <c r="AP6" i="2"/>
  <c r="AK6" i="2"/>
  <c r="AL6" i="2" s="1"/>
  <c r="AM6" i="2" s="1"/>
  <c r="AN6" i="2" s="1"/>
  <c r="AO6" i="2" s="1"/>
  <c r="AJ6" i="2"/>
  <c r="AD6" i="2"/>
  <c r="AE6" i="2" s="1"/>
  <c r="AF6" i="2" s="1"/>
  <c r="AG6" i="2" s="1"/>
  <c r="AH6" i="2" s="1"/>
  <c r="AI6" i="2" s="1"/>
  <c r="AC6" i="2"/>
  <c r="Z40" i="2"/>
  <c r="Z29" i="2"/>
  <c r="Z31" i="2"/>
  <c r="AB24" i="2"/>
  <c r="AA24" i="2"/>
  <c r="Z24" i="2"/>
  <c r="Y24" i="2"/>
  <c r="W24" i="2"/>
  <c r="V24" i="2"/>
  <c r="U24" i="2"/>
  <c r="T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Z28" i="2"/>
  <c r="Z27" i="2"/>
  <c r="AZ16" i="2" l="1"/>
  <c r="BA16" i="2"/>
  <c r="BB16" i="2"/>
  <c r="AU16" i="2"/>
  <c r="AV16" i="2"/>
  <c r="AA23" i="2" l="1"/>
  <c r="Z23" i="2"/>
  <c r="AB23" i="2"/>
  <c r="AB22" i="2"/>
  <c r="AA22" i="2"/>
  <c r="Z22" i="2"/>
  <c r="Y22" i="2"/>
  <c r="Y12" i="2"/>
  <c r="AB19" i="2"/>
  <c r="AA19" i="2"/>
  <c r="Z19" i="2"/>
  <c r="AB20" i="2"/>
  <c r="AA20" i="2"/>
  <c r="Z20" i="2"/>
  <c r="Y20" i="2"/>
  <c r="AB17" i="2"/>
  <c r="AA17" i="2"/>
  <c r="Z17" i="2"/>
  <c r="AB16" i="2"/>
  <c r="AA16" i="2"/>
  <c r="Z16" i="2"/>
  <c r="Y16" i="2"/>
  <c r="AB15" i="2"/>
  <c r="AA15" i="2"/>
  <c r="Z15" i="2"/>
  <c r="AB14" i="2"/>
  <c r="AA14" i="2"/>
  <c r="Z14" i="2"/>
  <c r="Y14" i="2"/>
  <c r="AB13" i="2"/>
  <c r="AA13" i="2"/>
  <c r="Z13" i="2"/>
  <c r="Y13" i="2"/>
  <c r="Y15" i="2" s="1"/>
  <c r="Y17" i="2" s="1"/>
  <c r="Y19" i="2" s="1"/>
  <c r="AB12" i="2"/>
  <c r="AA12" i="2"/>
  <c r="Z12" i="2"/>
  <c r="AB6" i="2"/>
  <c r="AA6" i="2"/>
  <c r="Z6" i="2"/>
  <c r="Y6" i="2"/>
  <c r="H23" i="2"/>
  <c r="L23" i="2"/>
  <c r="P23" i="2"/>
  <c r="T23" i="2"/>
  <c r="O16" i="2"/>
  <c r="O14" i="2"/>
  <c r="O11" i="2"/>
  <c r="O10" i="2"/>
  <c r="O9" i="2"/>
  <c r="O8" i="2"/>
  <c r="O6" i="2"/>
  <c r="S16" i="2"/>
  <c r="S14" i="2"/>
  <c r="K14" i="2"/>
  <c r="S11" i="2"/>
  <c r="S10" i="2"/>
  <c r="S9" i="2"/>
  <c r="S8" i="2"/>
  <c r="S6" i="2"/>
  <c r="G14" i="2"/>
  <c r="G11" i="2"/>
  <c r="G10" i="2"/>
  <c r="G9" i="2"/>
  <c r="G8" i="2"/>
  <c r="G6" i="2"/>
  <c r="G16" i="2"/>
  <c r="K16" i="2"/>
  <c r="K11" i="2"/>
  <c r="K10" i="2"/>
  <c r="K9" i="2"/>
  <c r="K8" i="2"/>
  <c r="K6" i="2"/>
  <c r="V19" i="2"/>
  <c r="U19" i="2"/>
  <c r="W15" i="2"/>
  <c r="V15" i="2"/>
  <c r="U15" i="2"/>
  <c r="W22" i="2"/>
  <c r="V22" i="2"/>
  <c r="U22" i="2"/>
  <c r="W12" i="2"/>
  <c r="W13" i="2" s="1"/>
  <c r="W17" i="2" s="1"/>
  <c r="V12" i="2"/>
  <c r="V13" i="2" s="1"/>
  <c r="V17" i="2" s="1"/>
  <c r="U12" i="2"/>
  <c r="U13" i="2" s="1"/>
  <c r="U17" i="2" s="1"/>
  <c r="T12" i="2"/>
  <c r="T13" i="2" s="1"/>
  <c r="T15" i="2" s="1"/>
  <c r="R12" i="2"/>
  <c r="R13" i="2" s="1"/>
  <c r="R22" i="2" s="1"/>
  <c r="Q12" i="2"/>
  <c r="Q13" i="2" s="1"/>
  <c r="Q15" i="2" s="1"/>
  <c r="P12" i="2"/>
  <c r="P13" i="2" s="1"/>
  <c r="P15" i="2" s="1"/>
  <c r="N12" i="2"/>
  <c r="N13" i="2" s="1"/>
  <c r="M12" i="2"/>
  <c r="M13" i="2" s="1"/>
  <c r="M22" i="2" s="1"/>
  <c r="L12" i="2"/>
  <c r="L13" i="2" s="1"/>
  <c r="L22" i="2" s="1"/>
  <c r="J12" i="2"/>
  <c r="J13" i="2" s="1"/>
  <c r="J15" i="2" s="1"/>
  <c r="I12" i="2"/>
  <c r="I13" i="2" s="1"/>
  <c r="I15" i="2" s="1"/>
  <c r="H12" i="2"/>
  <c r="H13" i="2" s="1"/>
  <c r="H22" i="2" s="1"/>
  <c r="F12" i="2"/>
  <c r="F13" i="2" s="1"/>
  <c r="F22" i="2" s="1"/>
  <c r="E12" i="2"/>
  <c r="E13" i="2" s="1"/>
  <c r="E15" i="2" s="1"/>
  <c r="D12" i="2"/>
  <c r="D13" i="2" s="1"/>
  <c r="D15" i="2" s="1"/>
  <c r="C9" i="1"/>
  <c r="C7" i="1"/>
  <c r="C10" i="1" s="1"/>
  <c r="O12" i="2" l="1"/>
  <c r="O13" i="2"/>
  <c r="O15" i="2" s="1"/>
  <c r="O17" i="2" s="1"/>
  <c r="O19" i="2" s="1"/>
  <c r="S12" i="2"/>
  <c r="S13" i="2"/>
  <c r="S22" i="2" s="1"/>
  <c r="G12" i="2"/>
  <c r="G13" i="2"/>
  <c r="G22" i="2" s="1"/>
  <c r="G15" i="2"/>
  <c r="G17" i="2" s="1"/>
  <c r="G19" i="2" s="1"/>
  <c r="K12" i="2"/>
  <c r="K13" i="2" s="1"/>
  <c r="K22" i="2" s="1"/>
  <c r="K15" i="2"/>
  <c r="K17" i="2" s="1"/>
  <c r="K19" i="2" s="1"/>
  <c r="D22" i="2"/>
  <c r="H15" i="2"/>
  <c r="H17" i="2" s="1"/>
  <c r="H19" i="2" s="1"/>
  <c r="E22" i="2"/>
  <c r="E17" i="2"/>
  <c r="E19" i="2" s="1"/>
  <c r="I22" i="2"/>
  <c r="F15" i="2"/>
  <c r="F17" i="2" s="1"/>
  <c r="F19" i="2" s="1"/>
  <c r="J22" i="2"/>
  <c r="L15" i="2"/>
  <c r="L17" i="2" s="1"/>
  <c r="L19" i="2" s="1"/>
  <c r="M15" i="2"/>
  <c r="M17" i="2" s="1"/>
  <c r="M19" i="2" s="1"/>
  <c r="Q22" i="2"/>
  <c r="N15" i="2"/>
  <c r="N17" i="2" s="1"/>
  <c r="N19" i="2" s="1"/>
  <c r="N22" i="2"/>
  <c r="R15" i="2"/>
  <c r="R17" i="2" s="1"/>
  <c r="R19" i="2" s="1"/>
  <c r="P22" i="2"/>
  <c r="T22" i="2"/>
  <c r="Q17" i="2"/>
  <c r="Q19" i="2" s="1"/>
  <c r="T17" i="2"/>
  <c r="T19" i="2" s="1"/>
  <c r="P17" i="2"/>
  <c r="P19" i="2" s="1"/>
  <c r="I17" i="2"/>
  <c r="I19" i="2" s="1"/>
  <c r="J17" i="2"/>
  <c r="J19" i="2" s="1"/>
  <c r="D17" i="2"/>
  <c r="D19" i="2" s="1"/>
  <c r="O22" i="2" l="1"/>
  <c r="S15" i="2"/>
  <c r="S17" i="2" s="1"/>
  <c r="S19" i="2" s="1"/>
</calcChain>
</file>

<file path=xl/sharedStrings.xml><?xml version="1.0" encoding="utf-8"?>
<sst xmlns="http://schemas.openxmlformats.org/spreadsheetml/2006/main" count="90" uniqueCount="67">
  <si>
    <t xml:space="preserve">Ticker </t>
  </si>
  <si>
    <t>Share Price</t>
  </si>
  <si>
    <t xml:space="preserve">Shares outstanding </t>
  </si>
  <si>
    <t xml:space="preserve">Cash </t>
  </si>
  <si>
    <t xml:space="preserve">Debt </t>
  </si>
  <si>
    <t xml:space="preserve">Net EV </t>
  </si>
  <si>
    <t xml:space="preserve">Market Cap </t>
  </si>
  <si>
    <t>MA</t>
  </si>
  <si>
    <t xml:space="preserve">Thousands </t>
  </si>
  <si>
    <t xml:space="preserve">Revenue </t>
  </si>
  <si>
    <t>Operating Expenses:</t>
  </si>
  <si>
    <t>G&amp;A</t>
  </si>
  <si>
    <t>A&amp;M</t>
  </si>
  <si>
    <t>D&amp;A</t>
  </si>
  <si>
    <t>Provision for litigation</t>
  </si>
  <si>
    <t>Total Operating Expenses</t>
  </si>
  <si>
    <t xml:space="preserve">Operating Income </t>
  </si>
  <si>
    <t xml:space="preserve">Total Other Income (Expense) </t>
  </si>
  <si>
    <t>Income before Taxes</t>
  </si>
  <si>
    <t>Taxes</t>
  </si>
  <si>
    <t xml:space="preserve">Net Income </t>
  </si>
  <si>
    <t xml:space="preserve">EPS </t>
  </si>
  <si>
    <t xml:space="preserve">Shares </t>
  </si>
  <si>
    <t>Q1 2020</t>
  </si>
  <si>
    <t xml:space="preserve">Q2 2020 </t>
  </si>
  <si>
    <t>Q3 2020</t>
  </si>
  <si>
    <t>Q4 2020</t>
  </si>
  <si>
    <t>Q1 2021</t>
  </si>
  <si>
    <t>Q2 2021</t>
  </si>
  <si>
    <t>Q3 2021</t>
  </si>
  <si>
    <t>Q4 2021</t>
  </si>
  <si>
    <t>Q1 2022</t>
  </si>
  <si>
    <t>Q2 2022</t>
  </si>
  <si>
    <t>Q3 2022</t>
  </si>
  <si>
    <t>Q4 2022</t>
  </si>
  <si>
    <t>Q1 2023</t>
  </si>
  <si>
    <t>Q2 2023</t>
  </si>
  <si>
    <t>Q3 2023</t>
  </si>
  <si>
    <t>Q4 2023</t>
  </si>
  <si>
    <t>Q1 2024</t>
  </si>
  <si>
    <t>Q2 2024</t>
  </si>
  <si>
    <t>Q3 2024</t>
  </si>
  <si>
    <t>Q4 2024</t>
  </si>
  <si>
    <t xml:space="preserve">Margin </t>
  </si>
  <si>
    <t xml:space="preserve">Revenue YoY </t>
  </si>
  <si>
    <t>March</t>
  </si>
  <si>
    <t xml:space="preserve">June </t>
  </si>
  <si>
    <t>Sept</t>
  </si>
  <si>
    <t xml:space="preserve">December </t>
  </si>
  <si>
    <t xml:space="preserve">Ratios that are important for financial services / tech companies </t>
  </si>
  <si>
    <t xml:space="preserve">Customer Acquisition Costs </t>
  </si>
  <si>
    <t xml:space="preserve">Churn </t>
  </si>
  <si>
    <t xml:space="preserve">Card Portfolio Growth Rate </t>
  </si>
  <si>
    <t xml:space="preserve">Average Revenue Per Card </t>
  </si>
  <si>
    <t xml:space="preserve">Protection from Defaults </t>
  </si>
  <si>
    <t>Assumptions</t>
  </si>
  <si>
    <t>Data</t>
  </si>
  <si>
    <t>Revenue YoY</t>
  </si>
  <si>
    <t>Margin</t>
  </si>
  <si>
    <t>Operating Expenses</t>
  </si>
  <si>
    <t xml:space="preserve">Tax Rate </t>
  </si>
  <si>
    <t>What the Market Thinks</t>
  </si>
  <si>
    <t xml:space="preserve">Maturity </t>
  </si>
  <si>
    <t xml:space="preserve">Discount Rate </t>
  </si>
  <si>
    <t>NPV</t>
  </si>
  <si>
    <t>Net NPV</t>
  </si>
  <si>
    <t xml:space="preserve">Current Price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</si>
</sst>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£&quot;#,##0.00_);[Red]\(&quot;£&quot;#,##0.00\)"/>
    <numFmt numFmtId="167" formatCode="[$$-409]#,##0"/>
    <numFmt numFmtId="168" formatCode="[$$-409]#,##0.00"/>
    <numFmt numFmtId="169" formatCode="[$$-409]#,##0.00_);[Red]\([$$-409]#,##0.00\)"/>
    <numFmt numFmtId="170" formatCode="0.0%"/>
  </numFmts>
  <fonts count="6" x14ac:knownFonts="1">
    <font>
      <sz val="12"/>
      <color theme="1"/>
      <name val="Aptos Narrow"/>
      <family val="2"/>
      <scheme val="minor"/>
    </font>
    <font>
      <sz val="11"/>
      <color rgb="FF000000"/>
      <name val="Calibri"/>
      <family val="2"/>
    </font>
    <font>
      <sz val="8"/>
      <name val="Aptos Narrow"/>
      <family val="2"/>
      <scheme val="minor"/>
    </font>
    <font>
      <b/>
      <sz val="12"/>
      <color theme="1"/>
      <name val="Aptos Narrow"/>
      <scheme val="minor"/>
    </font>
    <font>
      <b/>
      <u/>
      <sz val="12"/>
      <color theme="1"/>
      <name val="Aptos Narrow"/>
      <scheme val="minor"/>
    </font>
    <font>
      <sz val="12"/>
      <color theme="1"/>
      <name val="Aptos Narrow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3" fontId="0" fillId="0" borderId="0" xfId="0" applyNumberFormat="1"/>
    <xf numFmtId="167" fontId="0" fillId="0" borderId="0" xfId="0" applyNumberFormat="1"/>
    <xf numFmtId="0" fontId="0" fillId="0" borderId="0" xfId="0" applyAlignment="1">
      <alignment horizontal="right"/>
    </xf>
    <xf numFmtId="3" fontId="1" fillId="0" borderId="0" xfId="0" applyNumberFormat="1" applyFont="1" applyAlignment="1">
      <alignment horizontal="right"/>
    </xf>
    <xf numFmtId="167" fontId="0" fillId="0" borderId="0" xfId="0" applyNumberFormat="1" applyAlignment="1">
      <alignment horizontal="right"/>
    </xf>
    <xf numFmtId="167" fontId="0" fillId="0" borderId="0" xfId="0" applyNumberFormat="1" applyAlignment="1">
      <alignment horizontal="left"/>
    </xf>
    <xf numFmtId="167" fontId="0" fillId="0" borderId="0" xfId="0" applyNumberFormat="1" applyAlignment="1">
      <alignment horizontal="left" indent="1"/>
    </xf>
    <xf numFmtId="0" fontId="0" fillId="0" borderId="0" xfId="0" applyAlignment="1">
      <alignment horizontal="left" indent="1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167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167" fontId="3" fillId="0" borderId="0" xfId="0" applyNumberFormat="1" applyFont="1" applyAlignment="1">
      <alignment horizontal="left"/>
    </xf>
    <xf numFmtId="167" fontId="3" fillId="0" borderId="0" xfId="0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  <xf numFmtId="0" fontId="4" fillId="0" borderId="0" xfId="0" applyFont="1"/>
    <xf numFmtId="10" fontId="0" fillId="0" borderId="0" xfId="0" applyNumberFormat="1"/>
    <xf numFmtId="10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0" fontId="0" fillId="3" borderId="0" xfId="0" applyFill="1"/>
    <xf numFmtId="0" fontId="0" fillId="2" borderId="0" xfId="0" applyFill="1" applyAlignment="1">
      <alignment horizontal="center"/>
    </xf>
    <xf numFmtId="0" fontId="0" fillId="4" borderId="0" xfId="0" applyFill="1"/>
    <xf numFmtId="8" fontId="0" fillId="0" borderId="0" xfId="0" applyNumberFormat="1" applyAlignment="1">
      <alignment horizontal="center"/>
    </xf>
    <xf numFmtId="8" fontId="0" fillId="4" borderId="0" xfId="0" applyNumberFormat="1" applyFill="1" applyAlignment="1">
      <alignment horizontal="center"/>
    </xf>
    <xf numFmtId="169" fontId="0" fillId="4" borderId="0" xfId="0" applyNumberFormat="1" applyFill="1" applyAlignment="1">
      <alignment horizontal="center"/>
    </xf>
    <xf numFmtId="168" fontId="0" fillId="4" borderId="0" xfId="0" applyNumberFormat="1" applyFill="1" applyAlignment="1">
      <alignment horizontal="center"/>
    </xf>
    <xf numFmtId="167" fontId="0" fillId="3" borderId="0" xfId="0" applyNumberFormat="1" applyFill="1" applyAlignment="1">
      <alignment horizontal="center"/>
    </xf>
    <xf numFmtId="167" fontId="3" fillId="3" borderId="0" xfId="0" applyNumberFormat="1" applyFont="1" applyFill="1" applyAlignment="1">
      <alignment horizontal="center"/>
    </xf>
    <xf numFmtId="167" fontId="5" fillId="3" borderId="0" xfId="0" applyNumberFormat="1" applyFont="1" applyFill="1" applyAlignment="1">
      <alignment horizontal="center"/>
    </xf>
    <xf numFmtId="168" fontId="0" fillId="3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170" fontId="0" fillId="0" borderId="0" xfId="0" applyNumberFormat="1" applyAlignment="1">
      <alignment horizontal="center"/>
    </xf>
  </cellXfs>
  <cellStyles count="1">
    <cellStyle name="Normal" xfId="0" builtinId="0"/>
  </cellStyles>
  <dxfs count="1">
    <dxf>
      <numFmt numFmtId="0" formatCode="General"/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2CD58C7-9B2A-4B48-B0FB-9B768B856EBA}" name="Table1" displayName="Table1" ref="Y33:Z42" totalsRowShown="0">
  <autoFilter ref="Y33:Z42" xr:uid="{E2CD58C7-9B2A-4B48-B0FB-9B768B856EBA}"/>
  <tableColumns count="2">
    <tableColumn id="1" xr3:uid="{11EB30FE-6058-C14F-8892-F01521E13740}" name="What the Market Thinks"/>
    <tableColumn id="2" xr3:uid="{5A7A8756-DCA1-E546-BFCD-ACC70EDF57FD}" name="Data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37B5E84-A666-FF40-9A2C-638F9ABC159D}" name="Table2" displayName="Table2" ref="Y26:Z31" totalsRowShown="0">
  <autoFilter ref="Y26:Z31" xr:uid="{337B5E84-A666-FF40-9A2C-638F9ABC159D}"/>
  <tableColumns count="2">
    <tableColumn id="1" xr3:uid="{6CBE11C3-F958-9546-9D56-603A0D726A6D}" name="Assumptions"/>
    <tableColumn id="2" xr3:uid="{D114C5A5-33C4-F143-B872-434260C944DD}" name="Data" dataDxfId="0">
      <calculatedColumnFormula>AVERAGE(C22:U22)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D2028-C74C-C54B-A067-2582A845B477}">
  <dimension ref="B4:D10"/>
  <sheetViews>
    <sheetView workbookViewId="0">
      <selection activeCell="C7" sqref="C7"/>
    </sheetView>
  </sheetViews>
  <sheetFormatPr baseColWidth="10" defaultRowHeight="16" x14ac:dyDescent="0.2"/>
  <cols>
    <col min="3" max="3" width="14.1640625" customWidth="1"/>
  </cols>
  <sheetData>
    <row r="4" spans="2:4" x14ac:dyDescent="0.2">
      <c r="B4" t="s">
        <v>0</v>
      </c>
      <c r="C4" s="3" t="s">
        <v>7</v>
      </c>
    </row>
    <row r="5" spans="2:4" x14ac:dyDescent="0.2">
      <c r="B5" t="s">
        <v>1</v>
      </c>
      <c r="C5" s="5">
        <v>440.11</v>
      </c>
    </row>
    <row r="6" spans="2:4" x14ac:dyDescent="0.2">
      <c r="B6" t="s">
        <v>2</v>
      </c>
      <c r="C6" s="4">
        <v>922</v>
      </c>
    </row>
    <row r="7" spans="2:4" x14ac:dyDescent="0.2">
      <c r="B7" t="s">
        <v>6</v>
      </c>
      <c r="C7" s="5">
        <f>C6*C5</f>
        <v>405781.42</v>
      </c>
      <c r="D7" t="s">
        <v>8</v>
      </c>
    </row>
    <row r="8" spans="2:4" x14ac:dyDescent="0.2">
      <c r="B8" t="s">
        <v>3</v>
      </c>
      <c r="C8" s="5">
        <v>8588000</v>
      </c>
      <c r="D8" t="s">
        <v>8</v>
      </c>
    </row>
    <row r="9" spans="2:4" x14ac:dyDescent="0.2">
      <c r="B9" t="s">
        <v>4</v>
      </c>
      <c r="C9" s="5">
        <f>1337000+14344000</f>
        <v>15681000</v>
      </c>
      <c r="D9" t="s">
        <v>8</v>
      </c>
    </row>
    <row r="10" spans="2:4" x14ac:dyDescent="0.2">
      <c r="B10" t="s">
        <v>5</v>
      </c>
      <c r="C10" s="2">
        <f>C7-C9+C8</f>
        <v>-6687218.5800000001</v>
      </c>
      <c r="D10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79FDC-981D-9942-A9FB-36632E6FD3E5}">
  <dimension ref="C3:BG40"/>
  <sheetViews>
    <sheetView tabSelected="1" workbookViewId="0">
      <pane xSplit="3" ySplit="5" topLeftCell="U6" activePane="bottomRight" state="frozen"/>
      <selection pane="topRight" activeCell="D1" sqref="D1"/>
      <selection pane="bottomLeft" activeCell="A6" sqref="A6"/>
      <selection pane="bottomRight" activeCell="AB38" sqref="AB38"/>
    </sheetView>
  </sheetViews>
  <sheetFormatPr baseColWidth="10" defaultRowHeight="16" x14ac:dyDescent="0.2"/>
  <cols>
    <col min="2" max="2" width="10.83203125" customWidth="1"/>
    <col min="3" max="3" width="25.5" bestFit="1" customWidth="1"/>
    <col min="25" max="25" width="23" bestFit="1" customWidth="1"/>
    <col min="26" max="26" width="17.1640625" bestFit="1" customWidth="1"/>
    <col min="42" max="42" width="11.1640625" bestFit="1" customWidth="1"/>
    <col min="50" max="50" width="11.1640625" bestFit="1" customWidth="1"/>
    <col min="56" max="56" width="11.1640625" bestFit="1" customWidth="1"/>
  </cols>
  <sheetData>
    <row r="3" spans="3:59" x14ac:dyDescent="0.2">
      <c r="C3" s="3"/>
    </row>
    <row r="4" spans="3:59" x14ac:dyDescent="0.2">
      <c r="C4" s="5"/>
      <c r="D4" s="9" t="s">
        <v>45</v>
      </c>
      <c r="E4" s="9" t="s">
        <v>46</v>
      </c>
      <c r="F4" s="9" t="s">
        <v>47</v>
      </c>
      <c r="G4" s="9" t="s">
        <v>48</v>
      </c>
      <c r="H4" s="9" t="s">
        <v>45</v>
      </c>
      <c r="I4" s="9" t="s">
        <v>46</v>
      </c>
      <c r="J4" s="9" t="s">
        <v>47</v>
      </c>
      <c r="K4" s="9" t="s">
        <v>48</v>
      </c>
      <c r="L4" s="9" t="s">
        <v>45</v>
      </c>
      <c r="M4" s="9" t="s">
        <v>46</v>
      </c>
      <c r="N4" s="9" t="s">
        <v>47</v>
      </c>
      <c r="O4" s="9" t="s">
        <v>48</v>
      </c>
      <c r="P4" s="9" t="s">
        <v>45</v>
      </c>
      <c r="Q4" s="9" t="s">
        <v>46</v>
      </c>
      <c r="R4" s="9" t="s">
        <v>47</v>
      </c>
      <c r="S4" s="9" t="s">
        <v>48</v>
      </c>
      <c r="T4" s="9" t="s">
        <v>45</v>
      </c>
      <c r="U4" s="9" t="s">
        <v>46</v>
      </c>
      <c r="V4" s="9" t="s">
        <v>47</v>
      </c>
      <c r="W4" s="9" t="s">
        <v>48</v>
      </c>
    </row>
    <row r="5" spans="3:59" x14ac:dyDescent="0.2">
      <c r="C5" s="4"/>
      <c r="D5" s="10" t="s">
        <v>23</v>
      </c>
      <c r="E5" s="10" t="s">
        <v>24</v>
      </c>
      <c r="F5" s="10" t="s">
        <v>25</v>
      </c>
      <c r="G5" s="10" t="s">
        <v>26</v>
      </c>
      <c r="H5" s="10" t="s">
        <v>27</v>
      </c>
      <c r="I5" s="10" t="s">
        <v>28</v>
      </c>
      <c r="J5" s="10" t="s">
        <v>29</v>
      </c>
      <c r="K5" s="10" t="s">
        <v>30</v>
      </c>
      <c r="L5" s="10" t="s">
        <v>31</v>
      </c>
      <c r="M5" s="10" t="s">
        <v>32</v>
      </c>
      <c r="N5" s="10" t="s">
        <v>33</v>
      </c>
      <c r="O5" s="10" t="s">
        <v>34</v>
      </c>
      <c r="P5" s="10" t="s">
        <v>35</v>
      </c>
      <c r="Q5" s="10" t="s">
        <v>36</v>
      </c>
      <c r="R5" s="10" t="s">
        <v>37</v>
      </c>
      <c r="S5" s="10" t="s">
        <v>38</v>
      </c>
      <c r="T5" s="10" t="s">
        <v>39</v>
      </c>
      <c r="U5" s="10" t="s">
        <v>40</v>
      </c>
      <c r="V5" s="10" t="s">
        <v>41</v>
      </c>
      <c r="W5" s="10" t="s">
        <v>42</v>
      </c>
      <c r="Y5" s="22">
        <v>2020</v>
      </c>
      <c r="Z5" s="22">
        <v>2021</v>
      </c>
      <c r="AA5" s="22">
        <v>2022</v>
      </c>
      <c r="AB5" s="22">
        <v>2023</v>
      </c>
      <c r="AC5" s="22">
        <v>2024</v>
      </c>
      <c r="AD5" s="22">
        <v>2025</v>
      </c>
      <c r="AE5" s="22">
        <v>2026</v>
      </c>
      <c r="AF5" s="22">
        <v>2027</v>
      </c>
      <c r="AG5" s="22">
        <v>2028</v>
      </c>
      <c r="AH5" s="22">
        <v>2029</v>
      </c>
      <c r="AI5" s="22">
        <v>2030</v>
      </c>
      <c r="AJ5" s="22">
        <v>2031</v>
      </c>
      <c r="AK5" s="22">
        <v>2032</v>
      </c>
      <c r="AL5" s="22">
        <v>2033</v>
      </c>
      <c r="AM5" s="22">
        <v>2034</v>
      </c>
      <c r="AN5" s="22">
        <v>2035</v>
      </c>
      <c r="AO5" s="22">
        <v>2036</v>
      </c>
      <c r="AP5" s="22">
        <v>2037</v>
      </c>
      <c r="AQ5" s="22">
        <v>2038</v>
      </c>
      <c r="AR5" s="22">
        <v>2039</v>
      </c>
      <c r="AS5" s="22">
        <v>2040</v>
      </c>
      <c r="AT5" s="22">
        <v>2041</v>
      </c>
      <c r="AU5" s="22">
        <v>2042</v>
      </c>
      <c r="AV5" s="22">
        <v>2043</v>
      </c>
      <c r="AW5" s="22">
        <v>2044</v>
      </c>
      <c r="AX5" s="22">
        <v>2045</v>
      </c>
      <c r="AY5" s="22">
        <v>2046</v>
      </c>
      <c r="AZ5" s="22">
        <v>2047</v>
      </c>
      <c r="BA5" s="22">
        <v>2048</v>
      </c>
      <c r="BB5" s="22">
        <v>2049</v>
      </c>
      <c r="BC5" s="22">
        <v>2050</v>
      </c>
      <c r="BD5" s="22">
        <v>2051</v>
      </c>
      <c r="BE5" s="22">
        <v>2052</v>
      </c>
      <c r="BF5" s="22">
        <v>2053</v>
      </c>
      <c r="BG5" s="22">
        <v>2054</v>
      </c>
    </row>
    <row r="6" spans="3:59" x14ac:dyDescent="0.2">
      <c r="C6" s="13" t="s">
        <v>9</v>
      </c>
      <c r="D6" s="14">
        <v>4009</v>
      </c>
      <c r="E6" s="14">
        <v>3335</v>
      </c>
      <c r="F6" s="14">
        <v>3837</v>
      </c>
      <c r="G6" s="14">
        <f>15301-SUM(D6:F6)</f>
        <v>4120</v>
      </c>
      <c r="H6" s="14">
        <v>4155</v>
      </c>
      <c r="I6" s="14">
        <v>4528</v>
      </c>
      <c r="J6" s="14">
        <v>4985</v>
      </c>
      <c r="K6" s="14">
        <f>18884-SUM(H6:J6)</f>
        <v>5216</v>
      </c>
      <c r="L6" s="14">
        <v>5167</v>
      </c>
      <c r="M6" s="14">
        <v>5497</v>
      </c>
      <c r="N6" s="14">
        <v>5756</v>
      </c>
      <c r="O6" s="14">
        <f>22237-SUM(L6:N6)</f>
        <v>5817</v>
      </c>
      <c r="P6" s="14">
        <v>5748</v>
      </c>
      <c r="Q6" s="14">
        <v>6269</v>
      </c>
      <c r="R6" s="14">
        <v>6533</v>
      </c>
      <c r="S6" s="14">
        <f>25098-SUM(P6:R6)</f>
        <v>6548</v>
      </c>
      <c r="T6" s="14">
        <v>6348</v>
      </c>
      <c r="U6" s="14"/>
      <c r="V6" s="14"/>
      <c r="W6" s="14"/>
      <c r="Y6" s="14">
        <f>SUM(D6:G6)</f>
        <v>15301</v>
      </c>
      <c r="Z6" s="14">
        <f>SUM(H6:K6)</f>
        <v>18884</v>
      </c>
      <c r="AA6" s="14">
        <f>SUM(L6:O6)</f>
        <v>22237</v>
      </c>
      <c r="AB6" s="14">
        <f>SUM(P6:S6)</f>
        <v>25098</v>
      </c>
      <c r="AC6" s="29">
        <f>AB6*1.18</f>
        <v>29615.64</v>
      </c>
      <c r="AD6" s="29">
        <f t="shared" ref="AD6:AI6" si="0">AC6*1.18</f>
        <v>34946.455199999997</v>
      </c>
      <c r="AE6" s="29">
        <f t="shared" si="0"/>
        <v>41236.817135999991</v>
      </c>
      <c r="AF6" s="29">
        <f t="shared" si="0"/>
        <v>48659.444220479985</v>
      </c>
      <c r="AG6" s="29">
        <f t="shared" si="0"/>
        <v>57418.144180166382</v>
      </c>
      <c r="AH6" s="29">
        <f t="shared" si="0"/>
        <v>67753.410132596327</v>
      </c>
      <c r="AI6" s="29">
        <f t="shared" si="0"/>
        <v>79949.023956463658</v>
      </c>
      <c r="AJ6" s="29">
        <f>AI6*1.12</f>
        <v>89542.906831239306</v>
      </c>
      <c r="AK6" s="29">
        <f t="shared" ref="AK6:AO6" si="1">AJ6*1.12</f>
        <v>100288.05565098803</v>
      </c>
      <c r="AL6" s="29">
        <f t="shared" si="1"/>
        <v>112322.6223291066</v>
      </c>
      <c r="AM6" s="29">
        <f t="shared" si="1"/>
        <v>125801.3370085994</v>
      </c>
      <c r="AN6" s="29">
        <f t="shared" si="1"/>
        <v>140897.49744963134</v>
      </c>
      <c r="AO6" s="29">
        <f t="shared" si="1"/>
        <v>157805.19714358711</v>
      </c>
      <c r="AP6" s="29">
        <f>AO6*1.08</f>
        <v>170429.6129150741</v>
      </c>
      <c r="AQ6" s="29">
        <f t="shared" ref="AQ6:AW6" si="2">AP6*1.08</f>
        <v>184063.98194828004</v>
      </c>
      <c r="AR6" s="29">
        <f t="shared" si="2"/>
        <v>198789.10050414247</v>
      </c>
      <c r="AS6" s="29">
        <f t="shared" si="2"/>
        <v>214692.22854447388</v>
      </c>
      <c r="AT6" s="29">
        <f t="shared" si="2"/>
        <v>231867.6068280318</v>
      </c>
      <c r="AU6" s="29">
        <f t="shared" si="2"/>
        <v>250417.01537427437</v>
      </c>
      <c r="AV6" s="29">
        <f t="shared" si="2"/>
        <v>270450.37660421635</v>
      </c>
      <c r="AW6" s="29">
        <f t="shared" si="2"/>
        <v>292086.40673255367</v>
      </c>
      <c r="AX6" s="29">
        <f>AW6*1.05</f>
        <v>306690.72706918139</v>
      </c>
      <c r="AY6" s="29">
        <f t="shared" ref="AY6:BC6" si="3">AX6*1.05</f>
        <v>322025.26342264045</v>
      </c>
      <c r="AZ6" s="29">
        <f t="shared" si="3"/>
        <v>338126.52659377246</v>
      </c>
      <c r="BA6" s="29">
        <f t="shared" si="3"/>
        <v>355032.85292346112</v>
      </c>
      <c r="BB6" s="29">
        <f t="shared" si="3"/>
        <v>372784.49556963419</v>
      </c>
      <c r="BC6" s="29">
        <f t="shared" si="3"/>
        <v>391423.72034811589</v>
      </c>
      <c r="BD6" s="29">
        <f>BC6*1.02</f>
        <v>399252.19475507824</v>
      </c>
      <c r="BE6" s="29">
        <f t="shared" ref="BE6:BG6" si="4">BD6*1.02</f>
        <v>407237.23865017982</v>
      </c>
      <c r="BF6" s="29">
        <f t="shared" si="4"/>
        <v>415381.98342318344</v>
      </c>
      <c r="BG6" s="29">
        <f t="shared" si="4"/>
        <v>423689.62309164711</v>
      </c>
    </row>
    <row r="7" spans="3:59" x14ac:dyDescent="0.2">
      <c r="C7" s="6" t="s">
        <v>10</v>
      </c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</row>
    <row r="8" spans="3:59" x14ac:dyDescent="0.2">
      <c r="C8" s="7" t="s">
        <v>11</v>
      </c>
      <c r="D8" s="11">
        <v>1494</v>
      </c>
      <c r="E8" s="11">
        <v>1368</v>
      </c>
      <c r="F8" s="11">
        <v>1423</v>
      </c>
      <c r="G8" s="11">
        <f>5910-SUM(D8:F8)</f>
        <v>1625</v>
      </c>
      <c r="H8" s="11">
        <v>1676</v>
      </c>
      <c r="I8" s="11">
        <v>1718</v>
      </c>
      <c r="J8" s="11">
        <v>1831</v>
      </c>
      <c r="K8" s="11">
        <f>7087-SUM(H8:J8)</f>
        <v>1862</v>
      </c>
      <c r="L8" s="11">
        <v>1844</v>
      </c>
      <c r="M8" s="11">
        <v>1947</v>
      </c>
      <c r="N8" s="11">
        <v>2069</v>
      </c>
      <c r="O8" s="11">
        <f>8078-SUM(L8:N8)</f>
        <v>2218</v>
      </c>
      <c r="P8" s="11">
        <v>2043</v>
      </c>
      <c r="Q8" s="11">
        <v>2200</v>
      </c>
      <c r="R8" s="11">
        <v>2285</v>
      </c>
      <c r="S8" s="11">
        <f>8927-SUM(P8:R8)</f>
        <v>2399</v>
      </c>
      <c r="T8" s="11">
        <v>2286</v>
      </c>
      <c r="U8" s="11"/>
      <c r="V8" s="11"/>
      <c r="W8" s="1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</row>
    <row r="9" spans="3:59" x14ac:dyDescent="0.2">
      <c r="C9" s="7" t="s">
        <v>12</v>
      </c>
      <c r="D9" s="11">
        <v>154</v>
      </c>
      <c r="E9" s="11">
        <v>93</v>
      </c>
      <c r="F9" s="11">
        <v>168</v>
      </c>
      <c r="G9" s="11">
        <f>657-SUM(D9:F9)</f>
        <v>242</v>
      </c>
      <c r="H9" s="11">
        <v>119</v>
      </c>
      <c r="I9" s="11">
        <v>216</v>
      </c>
      <c r="J9" s="11">
        <v>222</v>
      </c>
      <c r="K9" s="11">
        <f>895-SUM(H9:J9)</f>
        <v>338</v>
      </c>
      <c r="L9" s="11">
        <v>181</v>
      </c>
      <c r="M9" s="11">
        <v>210</v>
      </c>
      <c r="N9" s="11">
        <v>182</v>
      </c>
      <c r="O9" s="11">
        <f>789-SUM(L9:N9)</f>
        <v>216</v>
      </c>
      <c r="P9" s="11">
        <v>167</v>
      </c>
      <c r="Q9" s="11">
        <v>201</v>
      </c>
      <c r="R9" s="11">
        <v>193</v>
      </c>
      <c r="S9" s="11">
        <f>825-SUM(P9:R9)</f>
        <v>264</v>
      </c>
      <c r="T9" s="11">
        <v>116</v>
      </c>
      <c r="U9" s="11"/>
      <c r="V9" s="11"/>
      <c r="W9" s="1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</row>
    <row r="10" spans="3:59" x14ac:dyDescent="0.2">
      <c r="C10" s="7" t="s">
        <v>13</v>
      </c>
      <c r="D10" s="11">
        <v>144</v>
      </c>
      <c r="E10" s="11">
        <v>145</v>
      </c>
      <c r="F10" s="11">
        <v>141</v>
      </c>
      <c r="G10" s="11">
        <f>580-SUM(D10:F10)</f>
        <v>150</v>
      </c>
      <c r="H10" s="11">
        <v>163</v>
      </c>
      <c r="I10" s="11">
        <v>186</v>
      </c>
      <c r="J10" s="11">
        <v>188</v>
      </c>
      <c r="K10" s="11">
        <f>726-SUM(H10:J10)</f>
        <v>189</v>
      </c>
      <c r="L10" s="11">
        <v>192</v>
      </c>
      <c r="M10" s="11">
        <v>189</v>
      </c>
      <c r="N10" s="11">
        <v>185</v>
      </c>
      <c r="O10" s="11">
        <f>750-SUM(L10:N10)</f>
        <v>184</v>
      </c>
      <c r="P10" s="11">
        <v>191</v>
      </c>
      <c r="Q10" s="11">
        <v>192</v>
      </c>
      <c r="R10" s="11">
        <v>211</v>
      </c>
      <c r="S10" s="11">
        <f>799-SUM(P10:R10)</f>
        <v>205</v>
      </c>
      <c r="T10" s="11">
        <v>216</v>
      </c>
      <c r="U10" s="11"/>
      <c r="V10" s="11"/>
      <c r="W10" s="1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</row>
    <row r="11" spans="3:59" x14ac:dyDescent="0.2">
      <c r="C11" s="7" t="s">
        <v>14</v>
      </c>
      <c r="D11" s="11"/>
      <c r="E11" s="11">
        <v>22</v>
      </c>
      <c r="F11" s="11"/>
      <c r="G11" s="11">
        <f>73-SUM(D11:F11)</f>
        <v>51</v>
      </c>
      <c r="H11" s="11"/>
      <c r="I11" s="11">
        <v>67</v>
      </c>
      <c r="J11" s="11">
        <v>27</v>
      </c>
      <c r="K11" s="11">
        <f>94-SUM(H11:J11)</f>
        <v>0</v>
      </c>
      <c r="L11" s="11"/>
      <c r="M11" s="11">
        <v>133</v>
      </c>
      <c r="N11" s="11">
        <v>208</v>
      </c>
      <c r="O11" s="11">
        <f>356-SUM(L11:N11)</f>
        <v>15</v>
      </c>
      <c r="P11" s="11">
        <v>211</v>
      </c>
      <c r="Q11" s="11">
        <v>20</v>
      </c>
      <c r="R11" s="11"/>
      <c r="S11" s="11">
        <f>539-SUM(P11:R11)</f>
        <v>308</v>
      </c>
      <c r="T11" s="11">
        <v>126</v>
      </c>
      <c r="U11" s="11"/>
      <c r="V11" s="11"/>
      <c r="W11" s="1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</row>
    <row r="12" spans="3:59" x14ac:dyDescent="0.2">
      <c r="C12" s="6" t="s">
        <v>15</v>
      </c>
      <c r="D12" s="11">
        <f>SUM(D8:D11)</f>
        <v>1792</v>
      </c>
      <c r="E12" s="11">
        <f t="shared" ref="E12:W12" si="5">SUM(E8:E11)</f>
        <v>1628</v>
      </c>
      <c r="F12" s="11">
        <f t="shared" si="5"/>
        <v>1732</v>
      </c>
      <c r="G12" s="11">
        <f t="shared" si="5"/>
        <v>2068</v>
      </c>
      <c r="H12" s="11">
        <f t="shared" si="5"/>
        <v>1958</v>
      </c>
      <c r="I12" s="11">
        <f t="shared" si="5"/>
        <v>2187</v>
      </c>
      <c r="J12" s="11">
        <f t="shared" si="5"/>
        <v>2268</v>
      </c>
      <c r="K12" s="11">
        <f t="shared" si="5"/>
        <v>2389</v>
      </c>
      <c r="L12" s="11">
        <f t="shared" si="5"/>
        <v>2217</v>
      </c>
      <c r="M12" s="11">
        <f t="shared" si="5"/>
        <v>2479</v>
      </c>
      <c r="N12" s="11">
        <f t="shared" si="5"/>
        <v>2644</v>
      </c>
      <c r="O12" s="11">
        <f t="shared" si="5"/>
        <v>2633</v>
      </c>
      <c r="P12" s="11">
        <f t="shared" si="5"/>
        <v>2612</v>
      </c>
      <c r="Q12" s="11">
        <f t="shared" si="5"/>
        <v>2613</v>
      </c>
      <c r="R12" s="11">
        <f t="shared" si="5"/>
        <v>2689</v>
      </c>
      <c r="S12" s="11">
        <f t="shared" si="5"/>
        <v>3176</v>
      </c>
      <c r="T12" s="11">
        <f t="shared" si="5"/>
        <v>2744</v>
      </c>
      <c r="U12" s="11">
        <f t="shared" si="5"/>
        <v>0</v>
      </c>
      <c r="V12" s="11">
        <f t="shared" si="5"/>
        <v>0</v>
      </c>
      <c r="W12" s="11">
        <f t="shared" si="5"/>
        <v>0</v>
      </c>
      <c r="Y12" s="11">
        <f>SUM(D12:G12)</f>
        <v>7220</v>
      </c>
      <c r="Z12" s="11">
        <f t="shared" ref="Z12:AB12" si="6">SUM(E12:H12)</f>
        <v>7386</v>
      </c>
      <c r="AA12" s="11">
        <f t="shared" si="6"/>
        <v>7945</v>
      </c>
      <c r="AB12" s="11">
        <f t="shared" si="6"/>
        <v>8481</v>
      </c>
      <c r="AC12" s="30">
        <f>AC6*0.54</f>
        <v>15992.445600000001</v>
      </c>
      <c r="AD12" s="30">
        <f t="shared" ref="AD12:BG12" si="7">AD6*0.54</f>
        <v>18871.085808</v>
      </c>
      <c r="AE12" s="30">
        <f t="shared" si="7"/>
        <v>22267.881253439995</v>
      </c>
      <c r="AF12" s="30">
        <f t="shared" si="7"/>
        <v>26276.099879059195</v>
      </c>
      <c r="AG12" s="30">
        <f t="shared" si="7"/>
        <v>31005.79785728985</v>
      </c>
      <c r="AH12" s="30">
        <f t="shared" si="7"/>
        <v>36586.84147160202</v>
      </c>
      <c r="AI12" s="30">
        <f t="shared" si="7"/>
        <v>43172.472936490376</v>
      </c>
      <c r="AJ12" s="30">
        <f t="shared" si="7"/>
        <v>48353.169688869231</v>
      </c>
      <c r="AK12" s="30">
        <f t="shared" si="7"/>
        <v>54155.550051533537</v>
      </c>
      <c r="AL12" s="30">
        <f t="shared" si="7"/>
        <v>60654.216057717567</v>
      </c>
      <c r="AM12" s="30">
        <f t="shared" si="7"/>
        <v>67932.721984643678</v>
      </c>
      <c r="AN12" s="30">
        <f t="shared" si="7"/>
        <v>76084.648622800931</v>
      </c>
      <c r="AO12" s="30">
        <f t="shared" si="7"/>
        <v>85214.806457537052</v>
      </c>
      <c r="AP12" s="30">
        <f t="shared" si="7"/>
        <v>92031.990974140019</v>
      </c>
      <c r="AQ12" s="30">
        <f t="shared" si="7"/>
        <v>99394.550252071233</v>
      </c>
      <c r="AR12" s="30">
        <f t="shared" si="7"/>
        <v>107346.11427223694</v>
      </c>
      <c r="AS12" s="30">
        <f t="shared" si="7"/>
        <v>115933.8034140159</v>
      </c>
      <c r="AT12" s="30">
        <f t="shared" si="7"/>
        <v>125208.50768713719</v>
      </c>
      <c r="AU12" s="30">
        <f t="shared" si="7"/>
        <v>135225.18830210817</v>
      </c>
      <c r="AV12" s="30">
        <f t="shared" si="7"/>
        <v>146043.20336627684</v>
      </c>
      <c r="AW12" s="30">
        <f t="shared" si="7"/>
        <v>157726.65963557898</v>
      </c>
      <c r="AX12" s="30">
        <f t="shared" si="7"/>
        <v>165612.99261735796</v>
      </c>
      <c r="AY12" s="30">
        <f t="shared" si="7"/>
        <v>173893.64224822586</v>
      </c>
      <c r="AZ12" s="30">
        <f t="shared" si="7"/>
        <v>182588.32436063714</v>
      </c>
      <c r="BA12" s="30">
        <f t="shared" si="7"/>
        <v>191717.74057866901</v>
      </c>
      <c r="BB12" s="30">
        <f t="shared" si="7"/>
        <v>201303.62760760248</v>
      </c>
      <c r="BC12" s="30">
        <f t="shared" si="7"/>
        <v>211368.8089879826</v>
      </c>
      <c r="BD12" s="30">
        <f t="shared" si="7"/>
        <v>215596.18516774225</v>
      </c>
      <c r="BE12" s="30">
        <f t="shared" si="7"/>
        <v>219908.10887109712</v>
      </c>
      <c r="BF12" s="30">
        <f t="shared" si="7"/>
        <v>224306.27104851906</v>
      </c>
      <c r="BG12" s="30">
        <f t="shared" si="7"/>
        <v>228792.39646948947</v>
      </c>
    </row>
    <row r="13" spans="3:59" x14ac:dyDescent="0.2">
      <c r="C13" s="6" t="s">
        <v>16</v>
      </c>
      <c r="D13" s="14">
        <f>D6-D12</f>
        <v>2217</v>
      </c>
      <c r="E13" s="14">
        <f t="shared" ref="E13:W13" si="8">E6-E12</f>
        <v>1707</v>
      </c>
      <c r="F13" s="14">
        <f t="shared" si="8"/>
        <v>2105</v>
      </c>
      <c r="G13" s="14">
        <f t="shared" si="8"/>
        <v>2052</v>
      </c>
      <c r="H13" s="14">
        <f t="shared" si="8"/>
        <v>2197</v>
      </c>
      <c r="I13" s="14">
        <f t="shared" si="8"/>
        <v>2341</v>
      </c>
      <c r="J13" s="14">
        <f t="shared" si="8"/>
        <v>2717</v>
      </c>
      <c r="K13" s="14">
        <f t="shared" si="8"/>
        <v>2827</v>
      </c>
      <c r="L13" s="14">
        <f t="shared" si="8"/>
        <v>2950</v>
      </c>
      <c r="M13" s="14">
        <f t="shared" si="8"/>
        <v>3018</v>
      </c>
      <c r="N13" s="14">
        <f t="shared" si="8"/>
        <v>3112</v>
      </c>
      <c r="O13" s="14">
        <f t="shared" si="8"/>
        <v>3184</v>
      </c>
      <c r="P13" s="14">
        <f t="shared" si="8"/>
        <v>3136</v>
      </c>
      <c r="Q13" s="14">
        <f t="shared" si="8"/>
        <v>3656</v>
      </c>
      <c r="R13" s="14">
        <f t="shared" si="8"/>
        <v>3844</v>
      </c>
      <c r="S13" s="14">
        <f t="shared" si="8"/>
        <v>3372</v>
      </c>
      <c r="T13" s="14">
        <f t="shared" si="8"/>
        <v>3604</v>
      </c>
      <c r="U13" s="14">
        <f t="shared" si="8"/>
        <v>0</v>
      </c>
      <c r="V13" s="14">
        <f t="shared" si="8"/>
        <v>0</v>
      </c>
      <c r="W13" s="14">
        <f t="shared" si="8"/>
        <v>0</v>
      </c>
      <c r="Y13" s="14">
        <f t="shared" ref="Y13" si="9">Y6-Y12</f>
        <v>8081</v>
      </c>
      <c r="Z13" s="14">
        <f t="shared" ref="Z13" si="10">Z6-Z12</f>
        <v>11498</v>
      </c>
      <c r="AA13" s="14">
        <f t="shared" ref="AA13" si="11">AA6-AA12</f>
        <v>14292</v>
      </c>
      <c r="AB13" s="14">
        <f t="shared" ref="AB13" si="12">AB6-AB12</f>
        <v>16617</v>
      </c>
      <c r="AC13" s="29">
        <f t="shared" ref="AC13" si="13">AC6-AC12</f>
        <v>13623.194399999998</v>
      </c>
      <c r="AD13" s="29">
        <f t="shared" ref="AD13" si="14">AD6-AD12</f>
        <v>16075.369391999997</v>
      </c>
      <c r="AE13" s="29">
        <f t="shared" ref="AE13" si="15">AE6-AE12</f>
        <v>18968.935882559996</v>
      </c>
      <c r="AF13" s="29">
        <f t="shared" ref="AF13" si="16">AF6-AF12</f>
        <v>22383.34434142079</v>
      </c>
      <c r="AG13" s="29">
        <f t="shared" ref="AG13" si="17">AG6-AG12</f>
        <v>26412.346322876532</v>
      </c>
      <c r="AH13" s="29">
        <f t="shared" ref="AH13" si="18">AH6-AH12</f>
        <v>31166.568660994308</v>
      </c>
      <c r="AI13" s="29">
        <f t="shared" ref="AI13" si="19">AI6-AI12</f>
        <v>36776.551019973282</v>
      </c>
      <c r="AJ13" s="29">
        <f t="shared" ref="AJ13" si="20">AJ6-AJ12</f>
        <v>41189.737142370075</v>
      </c>
      <c r="AK13" s="29">
        <f t="shared" ref="AK13" si="21">AK6-AK12</f>
        <v>46132.505599454489</v>
      </c>
      <c r="AL13" s="29">
        <f t="shared" ref="AL13" si="22">AL6-AL12</f>
        <v>51668.406271389031</v>
      </c>
      <c r="AM13" s="29">
        <f t="shared" ref="AM13" si="23">AM6-AM12</f>
        <v>57868.615023955717</v>
      </c>
      <c r="AN13" s="29">
        <f t="shared" ref="AN13" si="24">AN6-AN12</f>
        <v>64812.848826830406</v>
      </c>
      <c r="AO13" s="29">
        <f t="shared" ref="AO13" si="25">AO6-AO12</f>
        <v>72590.390686050057</v>
      </c>
      <c r="AP13" s="29">
        <f t="shared" ref="AP13" si="26">AP6-AP12</f>
        <v>78397.621940934085</v>
      </c>
      <c r="AQ13" s="29">
        <f t="shared" ref="AQ13" si="27">AQ6-AQ12</f>
        <v>84669.431696208805</v>
      </c>
      <c r="AR13" s="29">
        <f t="shared" ref="AR13" si="28">AR6-AR12</f>
        <v>91442.986231905525</v>
      </c>
      <c r="AS13" s="29">
        <f t="shared" ref="AS13" si="29">AS6-AS12</f>
        <v>98758.425130457981</v>
      </c>
      <c r="AT13" s="29">
        <f t="shared" ref="AT13" si="30">AT6-AT12</f>
        <v>106659.09914089461</v>
      </c>
      <c r="AU13" s="29">
        <f t="shared" ref="AU13" si="31">AU6-AU12</f>
        <v>115191.8270721662</v>
      </c>
      <c r="AV13" s="29">
        <f t="shared" ref="AV13" si="32">AV6-AV12</f>
        <v>124407.17323793951</v>
      </c>
      <c r="AW13" s="29">
        <f t="shared" ref="AW13" si="33">AW6-AW12</f>
        <v>134359.74709697469</v>
      </c>
      <c r="AX13" s="29">
        <f t="shared" ref="AX13" si="34">AX6-AX12</f>
        <v>141077.73445182343</v>
      </c>
      <c r="AY13" s="29">
        <f t="shared" ref="AY13" si="35">AY6-AY12</f>
        <v>148131.62117441458</v>
      </c>
      <c r="AZ13" s="29">
        <f t="shared" ref="AZ13" si="36">AZ6-AZ12</f>
        <v>155538.20223313532</v>
      </c>
      <c r="BA13" s="29">
        <f t="shared" ref="BA13" si="37">BA6-BA12</f>
        <v>163315.11234479211</v>
      </c>
      <c r="BB13" s="29">
        <f t="shared" ref="BB13" si="38">BB6-BB12</f>
        <v>171480.86796203171</v>
      </c>
      <c r="BC13" s="29">
        <f t="shared" ref="BC13" si="39">BC6-BC12</f>
        <v>180054.91136013329</v>
      </c>
      <c r="BD13" s="29">
        <f t="shared" ref="BD13" si="40">BD6-BD12</f>
        <v>183656.00958733598</v>
      </c>
      <c r="BE13" s="29">
        <f t="shared" ref="BE13" si="41">BE6-BE12</f>
        <v>187329.12977908269</v>
      </c>
      <c r="BF13" s="29">
        <f t="shared" ref="BF13" si="42">BF6-BF12</f>
        <v>191075.71237466438</v>
      </c>
      <c r="BG13" s="29">
        <f t="shared" ref="BG13" si="43">BG6-BG12</f>
        <v>194897.22662215764</v>
      </c>
    </row>
    <row r="14" spans="3:59" x14ac:dyDescent="0.2">
      <c r="C14" s="6" t="s">
        <v>17</v>
      </c>
      <c r="D14" s="11">
        <v>-224</v>
      </c>
      <c r="E14" s="11">
        <v>-17</v>
      </c>
      <c r="F14" s="11">
        <v>-190</v>
      </c>
      <c r="G14" s="11">
        <f>-321-SUM(D14:F14)</f>
        <v>110</v>
      </c>
      <c r="H14" s="11">
        <v>-7</v>
      </c>
      <c r="I14" s="11">
        <v>137</v>
      </c>
      <c r="J14" s="11">
        <v>99</v>
      </c>
      <c r="K14" s="11">
        <f>225-SUM(H14:J14)</f>
        <v>-4</v>
      </c>
      <c r="L14" s="11">
        <v>-177</v>
      </c>
      <c r="M14" s="11">
        <v>-220</v>
      </c>
      <c r="N14" s="11">
        <v>-40</v>
      </c>
      <c r="O14" s="11">
        <f>SUM(-532-SUM(L14:N14))</f>
        <v>-95</v>
      </c>
      <c r="P14" s="11">
        <v>-283</v>
      </c>
      <c r="Q14" s="11">
        <v>48</v>
      </c>
      <c r="R14" s="11">
        <v>-83</v>
      </c>
      <c r="S14" s="11">
        <f>SUM(-369-SUM(P14:R14))</f>
        <v>-51</v>
      </c>
      <c r="T14" s="11">
        <v>-46</v>
      </c>
      <c r="U14" s="11"/>
      <c r="V14" s="11"/>
      <c r="W14" s="11"/>
      <c r="Y14" s="11">
        <f t="shared" ref="Y14:AB14" si="44">SUM(D14:G14)</f>
        <v>-321</v>
      </c>
      <c r="Z14" s="11">
        <f t="shared" si="44"/>
        <v>-104</v>
      </c>
      <c r="AA14" s="11">
        <f t="shared" si="44"/>
        <v>50</v>
      </c>
      <c r="AB14" s="11">
        <f t="shared" si="44"/>
        <v>339</v>
      </c>
      <c r="AC14" s="32"/>
      <c r="AD14" s="32"/>
      <c r="AE14" s="32"/>
      <c r="AF14" s="32"/>
      <c r="AG14" s="32"/>
      <c r="AH14" s="32"/>
      <c r="AI14" s="32"/>
      <c r="AJ14" s="32"/>
      <c r="AK14" s="32"/>
      <c r="AL14" s="32"/>
      <c r="AM14" s="32"/>
      <c r="AN14" s="32"/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32"/>
      <c r="BB14" s="32"/>
      <c r="BC14" s="32"/>
      <c r="BD14" s="32"/>
      <c r="BE14" s="32"/>
      <c r="BF14" s="32"/>
      <c r="BG14" s="32"/>
    </row>
    <row r="15" spans="3:59" x14ac:dyDescent="0.2">
      <c r="C15" s="8" t="s">
        <v>18</v>
      </c>
      <c r="D15" s="11">
        <f>D13+D14</f>
        <v>1993</v>
      </c>
      <c r="E15" s="11">
        <f t="shared" ref="E15:W15" si="45">E13+E14</f>
        <v>1690</v>
      </c>
      <c r="F15" s="11">
        <f t="shared" si="45"/>
        <v>1915</v>
      </c>
      <c r="G15" s="11">
        <f t="shared" si="45"/>
        <v>2162</v>
      </c>
      <c r="H15" s="11">
        <f t="shared" si="45"/>
        <v>2190</v>
      </c>
      <c r="I15" s="11">
        <f t="shared" si="45"/>
        <v>2478</v>
      </c>
      <c r="J15" s="11">
        <f t="shared" si="45"/>
        <v>2816</v>
      </c>
      <c r="K15" s="11">
        <f t="shared" si="45"/>
        <v>2823</v>
      </c>
      <c r="L15" s="11">
        <f t="shared" si="45"/>
        <v>2773</v>
      </c>
      <c r="M15" s="11">
        <f t="shared" si="45"/>
        <v>2798</v>
      </c>
      <c r="N15" s="11">
        <f t="shared" si="45"/>
        <v>3072</v>
      </c>
      <c r="O15" s="11">
        <f t="shared" si="45"/>
        <v>3089</v>
      </c>
      <c r="P15" s="11">
        <f t="shared" si="45"/>
        <v>2853</v>
      </c>
      <c r="Q15" s="11">
        <f t="shared" si="45"/>
        <v>3704</v>
      </c>
      <c r="R15" s="11">
        <f t="shared" si="45"/>
        <v>3761</v>
      </c>
      <c r="S15" s="11">
        <f t="shared" si="45"/>
        <v>3321</v>
      </c>
      <c r="T15" s="11">
        <f t="shared" si="45"/>
        <v>3558</v>
      </c>
      <c r="U15" s="11">
        <f t="shared" si="45"/>
        <v>0</v>
      </c>
      <c r="V15" s="11">
        <f t="shared" si="45"/>
        <v>0</v>
      </c>
      <c r="W15" s="11">
        <f t="shared" si="45"/>
        <v>0</v>
      </c>
      <c r="Y15" s="11">
        <f t="shared" ref="Y15" si="46">Y13+Y14</f>
        <v>7760</v>
      </c>
      <c r="Z15" s="11">
        <f t="shared" ref="Z15" si="47">Z13+Z14</f>
        <v>11394</v>
      </c>
      <c r="AA15" s="11">
        <f t="shared" ref="AA15" si="48">AA13+AA14</f>
        <v>14342</v>
      </c>
      <c r="AB15" s="11">
        <f t="shared" ref="AB15" si="49">AB13+AB14</f>
        <v>16956</v>
      </c>
      <c r="AC15" s="28">
        <f t="shared" ref="AC15" si="50">AC13+AC14</f>
        <v>13623.194399999998</v>
      </c>
      <c r="AD15" s="28">
        <f t="shared" ref="AD15" si="51">AD13+AD14</f>
        <v>16075.369391999997</v>
      </c>
      <c r="AE15" s="28">
        <f t="shared" ref="AE15" si="52">AE13+AE14</f>
        <v>18968.935882559996</v>
      </c>
      <c r="AF15" s="28">
        <f t="shared" ref="AF15" si="53">AF13+AF14</f>
        <v>22383.34434142079</v>
      </c>
      <c r="AG15" s="28">
        <f t="shared" ref="AG15" si="54">AG13+AG14</f>
        <v>26412.346322876532</v>
      </c>
      <c r="AH15" s="28">
        <f t="shared" ref="AH15" si="55">AH13+AH14</f>
        <v>31166.568660994308</v>
      </c>
      <c r="AI15" s="28">
        <f t="shared" ref="AI15" si="56">AI13+AI14</f>
        <v>36776.551019973282</v>
      </c>
      <c r="AJ15" s="28">
        <f t="shared" ref="AJ15" si="57">AJ13+AJ14</f>
        <v>41189.737142370075</v>
      </c>
      <c r="AK15" s="28">
        <f t="shared" ref="AK15" si="58">AK13+AK14</f>
        <v>46132.505599454489</v>
      </c>
      <c r="AL15" s="28">
        <f t="shared" ref="AL15" si="59">AL13+AL14</f>
        <v>51668.406271389031</v>
      </c>
      <c r="AM15" s="28">
        <f t="shared" ref="AM15" si="60">AM13+AM14</f>
        <v>57868.615023955717</v>
      </c>
      <c r="AN15" s="28">
        <f t="shared" ref="AN15" si="61">AN13+AN14</f>
        <v>64812.848826830406</v>
      </c>
      <c r="AO15" s="28">
        <f t="shared" ref="AO15" si="62">AO13+AO14</f>
        <v>72590.390686050057</v>
      </c>
      <c r="AP15" s="28">
        <f t="shared" ref="AP15" si="63">AP13+AP14</f>
        <v>78397.621940934085</v>
      </c>
      <c r="AQ15" s="28">
        <f t="shared" ref="AQ15" si="64">AQ13+AQ14</f>
        <v>84669.431696208805</v>
      </c>
      <c r="AR15" s="28">
        <f t="shared" ref="AR15" si="65">AR13+AR14</f>
        <v>91442.986231905525</v>
      </c>
      <c r="AS15" s="28">
        <f t="shared" ref="AS15" si="66">AS13+AS14</f>
        <v>98758.425130457981</v>
      </c>
      <c r="AT15" s="28">
        <f t="shared" ref="AT15" si="67">AT13+AT14</f>
        <v>106659.09914089461</v>
      </c>
      <c r="AU15" s="28">
        <f t="shared" ref="AU15" si="68">AU13+AU14</f>
        <v>115191.8270721662</v>
      </c>
      <c r="AV15" s="28">
        <f t="shared" ref="AV15" si="69">AV13+AV14</f>
        <v>124407.17323793951</v>
      </c>
      <c r="AW15" s="28">
        <f t="shared" ref="AW15" si="70">AW13+AW14</f>
        <v>134359.74709697469</v>
      </c>
      <c r="AX15" s="28">
        <f t="shared" ref="AX15" si="71">AX13+AX14</f>
        <v>141077.73445182343</v>
      </c>
      <c r="AY15" s="28">
        <f t="shared" ref="AY15" si="72">AY13+AY14</f>
        <v>148131.62117441458</v>
      </c>
      <c r="AZ15" s="28">
        <f t="shared" ref="AZ15" si="73">AZ13+AZ14</f>
        <v>155538.20223313532</v>
      </c>
      <c r="BA15" s="28">
        <f t="shared" ref="BA15" si="74">BA13+BA14</f>
        <v>163315.11234479211</v>
      </c>
      <c r="BB15" s="28">
        <f t="shared" ref="BB15" si="75">BB13+BB14</f>
        <v>171480.86796203171</v>
      </c>
      <c r="BC15" s="28">
        <f t="shared" ref="BC15" si="76">BC13+BC14</f>
        <v>180054.91136013329</v>
      </c>
      <c r="BD15" s="28">
        <f t="shared" ref="BD15" si="77">BD13+BD14</f>
        <v>183656.00958733598</v>
      </c>
      <c r="BE15" s="28">
        <f t="shared" ref="BE15" si="78">BE13+BE14</f>
        <v>187329.12977908269</v>
      </c>
      <c r="BF15" s="28">
        <f t="shared" ref="BF15" si="79">BF13+BF14</f>
        <v>191075.71237466438</v>
      </c>
      <c r="BG15" s="28">
        <f t="shared" ref="BG15" si="80">BG13+BG14</f>
        <v>194897.22662215764</v>
      </c>
    </row>
    <row r="16" spans="3:59" x14ac:dyDescent="0.2">
      <c r="C16" s="6" t="s">
        <v>19</v>
      </c>
      <c r="D16" s="11">
        <v>294</v>
      </c>
      <c r="E16" s="11">
        <v>270</v>
      </c>
      <c r="F16" s="11">
        <v>402</v>
      </c>
      <c r="G16" s="11">
        <f>1620-SUM(D16:F16)</f>
        <v>654</v>
      </c>
      <c r="H16" s="11">
        <v>362</v>
      </c>
      <c r="I16" s="11">
        <v>412</v>
      </c>
      <c r="J16" s="11">
        <v>402</v>
      </c>
      <c r="K16" s="11">
        <f>1620-SUM(H16:J16)</f>
        <v>444</v>
      </c>
      <c r="L16" s="11">
        <v>142</v>
      </c>
      <c r="M16" s="11">
        <v>523</v>
      </c>
      <c r="N16" s="11">
        <v>573</v>
      </c>
      <c r="O16" s="11">
        <f>1802-SUM(L16:N16)</f>
        <v>564</v>
      </c>
      <c r="P16" s="11">
        <v>492</v>
      </c>
      <c r="Q16" s="11">
        <v>859</v>
      </c>
      <c r="R16" s="11">
        <v>563</v>
      </c>
      <c r="S16" s="11">
        <f>2444-SUM(P16:R16)</f>
        <v>530</v>
      </c>
      <c r="T16" s="11">
        <v>547</v>
      </c>
      <c r="U16" s="11"/>
      <c r="V16" s="11"/>
      <c r="W16" s="11"/>
      <c r="Y16" s="11">
        <f t="shared" ref="Y16:AB16" si="81">SUM(D16:G16)</f>
        <v>1620</v>
      </c>
      <c r="Z16" s="11">
        <f t="shared" si="81"/>
        <v>1688</v>
      </c>
      <c r="AA16" s="11">
        <f t="shared" si="81"/>
        <v>1830</v>
      </c>
      <c r="AB16" s="11">
        <f t="shared" si="81"/>
        <v>1830</v>
      </c>
      <c r="AC16" s="28">
        <f t="shared" ref="AC16" si="82">SUM(H16:K16)</f>
        <v>1620</v>
      </c>
      <c r="AD16" s="28">
        <f t="shared" ref="AD16" si="83">SUM(I16:L16)</f>
        <v>1400</v>
      </c>
      <c r="AE16" s="28">
        <f t="shared" ref="AE16" si="84">SUM(J16:M16)</f>
        <v>1511</v>
      </c>
      <c r="AF16" s="28">
        <f t="shared" ref="AF16" si="85">SUM(K16:N16)</f>
        <v>1682</v>
      </c>
      <c r="AG16" s="28">
        <f t="shared" ref="AG16" si="86">SUM(L16:O16)</f>
        <v>1802</v>
      </c>
      <c r="AH16" s="28">
        <f t="shared" ref="AH16" si="87">SUM(M16:P16)</f>
        <v>2152</v>
      </c>
      <c r="AI16" s="28">
        <f t="shared" ref="AI16" si="88">SUM(N16:Q16)</f>
        <v>2488</v>
      </c>
      <c r="AJ16" s="28">
        <f t="shared" ref="AJ16" si="89">SUM(O16:R16)</f>
        <v>2478</v>
      </c>
      <c r="AK16" s="28">
        <f t="shared" ref="AK16" si="90">SUM(P16:S16)</f>
        <v>2444</v>
      </c>
      <c r="AL16" s="28">
        <f t="shared" ref="AL16" si="91">SUM(Q16:T16)</f>
        <v>2499</v>
      </c>
      <c r="AM16" s="28">
        <f t="shared" ref="AM16" si="92">SUM(R16:U16)</f>
        <v>1640</v>
      </c>
      <c r="AN16" s="28">
        <f t="shared" ref="AN16" si="93">SUM(S16:V16)</f>
        <v>1077</v>
      </c>
      <c r="AO16" s="28">
        <f t="shared" ref="AO16" si="94">SUM(T16:W16)</f>
        <v>547</v>
      </c>
      <c r="AP16" s="28">
        <f t="shared" ref="AP16" si="95">SUM(U16:X16)</f>
        <v>0</v>
      </c>
      <c r="AQ16" s="28">
        <f t="shared" ref="AQ16" si="96">SUM(V16:Y16)</f>
        <v>1620</v>
      </c>
      <c r="AR16" s="28">
        <f t="shared" ref="AR16" si="97">SUM(W16:Z16)</f>
        <v>3308</v>
      </c>
      <c r="AS16" s="28">
        <f t="shared" ref="AS16" si="98">SUM(X16:AA16)</f>
        <v>5138</v>
      </c>
      <c r="AT16" s="28">
        <f t="shared" ref="AT16" si="99">SUM(Y16:AB16)</f>
        <v>6968</v>
      </c>
      <c r="AU16" s="28">
        <f t="shared" ref="AU16" si="100">SUM(Z16:AC16)</f>
        <v>6968</v>
      </c>
      <c r="AV16" s="28">
        <f t="shared" ref="AV16" si="101">SUM(AA16:AD16)</f>
        <v>6680</v>
      </c>
      <c r="AW16" s="28">
        <f t="shared" ref="AW16" si="102">SUM(AB16:AE16)</f>
        <v>6361</v>
      </c>
      <c r="AX16" s="28">
        <f t="shared" ref="AX16" si="103">SUM(AC16:AF16)</f>
        <v>6213</v>
      </c>
      <c r="AY16" s="28">
        <f t="shared" ref="AY16" si="104">SUM(AD16:AG16)</f>
        <v>6395</v>
      </c>
      <c r="AZ16" s="28">
        <f t="shared" ref="AZ16" si="105">SUM(AE16:AH16)</f>
        <v>7147</v>
      </c>
      <c r="BA16" s="28">
        <f t="shared" ref="BA16" si="106">SUM(AF16:AI16)</f>
        <v>8124</v>
      </c>
      <c r="BB16" s="28">
        <f t="shared" ref="BB16" si="107">SUM(AG16:AJ16)</f>
        <v>8920</v>
      </c>
      <c r="BC16" s="28">
        <f t="shared" ref="BC16" si="108">SUM(AH16:AK16)</f>
        <v>9562</v>
      </c>
      <c r="BD16" s="28">
        <f t="shared" ref="BD16" si="109">SUM(AI16:AL16)</f>
        <v>9909</v>
      </c>
      <c r="BE16" s="28">
        <f t="shared" ref="BE16" si="110">SUM(AJ16:AM16)</f>
        <v>9061</v>
      </c>
      <c r="BF16" s="28">
        <f t="shared" ref="BF16" si="111">SUM(AK16:AN16)</f>
        <v>7660</v>
      </c>
      <c r="BG16" s="28">
        <f t="shared" ref="BG16" si="112">SUM(AL16:AO16)</f>
        <v>5763</v>
      </c>
    </row>
    <row r="17" spans="3:59" x14ac:dyDescent="0.2">
      <c r="C17" s="6" t="s">
        <v>20</v>
      </c>
      <c r="D17" s="14">
        <f>D15-D16</f>
        <v>1699</v>
      </c>
      <c r="E17" s="14">
        <f t="shared" ref="E17:W17" si="113">E15-E16</f>
        <v>1420</v>
      </c>
      <c r="F17" s="14">
        <f t="shared" si="113"/>
        <v>1513</v>
      </c>
      <c r="G17" s="14">
        <f t="shared" si="113"/>
        <v>1508</v>
      </c>
      <c r="H17" s="14">
        <f t="shared" si="113"/>
        <v>1828</v>
      </c>
      <c r="I17" s="14">
        <f t="shared" si="113"/>
        <v>2066</v>
      </c>
      <c r="J17" s="14">
        <f t="shared" si="113"/>
        <v>2414</v>
      </c>
      <c r="K17" s="14">
        <f t="shared" si="113"/>
        <v>2379</v>
      </c>
      <c r="L17" s="14">
        <f t="shared" si="113"/>
        <v>2631</v>
      </c>
      <c r="M17" s="14">
        <f t="shared" si="113"/>
        <v>2275</v>
      </c>
      <c r="N17" s="14">
        <f t="shared" si="113"/>
        <v>2499</v>
      </c>
      <c r="O17" s="14">
        <f t="shared" si="113"/>
        <v>2525</v>
      </c>
      <c r="P17" s="14">
        <f t="shared" si="113"/>
        <v>2361</v>
      </c>
      <c r="Q17" s="14">
        <f t="shared" si="113"/>
        <v>2845</v>
      </c>
      <c r="R17" s="14">
        <f t="shared" si="113"/>
        <v>3198</v>
      </c>
      <c r="S17" s="14">
        <f t="shared" si="113"/>
        <v>2791</v>
      </c>
      <c r="T17" s="14">
        <f t="shared" si="113"/>
        <v>3011</v>
      </c>
      <c r="U17" s="14">
        <f t="shared" si="113"/>
        <v>0</v>
      </c>
      <c r="V17" s="14">
        <f t="shared" si="113"/>
        <v>0</v>
      </c>
      <c r="W17" s="14">
        <f t="shared" si="113"/>
        <v>0</v>
      </c>
      <c r="Y17" s="14">
        <f t="shared" ref="Y17" si="114">Y15-Y16</f>
        <v>6140</v>
      </c>
      <c r="Z17" s="14">
        <f t="shared" ref="Z17" si="115">Z15-Z16</f>
        <v>9706</v>
      </c>
      <c r="AA17" s="14">
        <f t="shared" ref="AA17" si="116">AA15-AA16</f>
        <v>12512</v>
      </c>
      <c r="AB17" s="14">
        <f t="shared" ref="AB17" si="117">AB15-AB16</f>
        <v>15126</v>
      </c>
      <c r="AC17" s="29">
        <f t="shared" ref="AC17" si="118">AC15-AC16</f>
        <v>12003.194399999998</v>
      </c>
      <c r="AD17" s="29">
        <f t="shared" ref="AD17" si="119">AD15-AD16</f>
        <v>14675.369391999997</v>
      </c>
      <c r="AE17" s="29">
        <f t="shared" ref="AE17" si="120">AE15-AE16</f>
        <v>17457.935882559996</v>
      </c>
      <c r="AF17" s="29">
        <f t="shared" ref="AF17" si="121">AF15-AF16</f>
        <v>20701.34434142079</v>
      </c>
      <c r="AG17" s="29">
        <f t="shared" ref="AG17" si="122">AG15-AG16</f>
        <v>24610.346322876532</v>
      </c>
      <c r="AH17" s="29">
        <f t="shared" ref="AH17" si="123">AH15-AH16</f>
        <v>29014.568660994308</v>
      </c>
      <c r="AI17" s="29">
        <f t="shared" ref="AI17" si="124">AI15-AI16</f>
        <v>34288.551019973282</v>
      </c>
      <c r="AJ17" s="29">
        <f t="shared" ref="AJ17" si="125">AJ15-AJ16</f>
        <v>38711.737142370075</v>
      </c>
      <c r="AK17" s="29">
        <f t="shared" ref="AK17" si="126">AK15-AK16</f>
        <v>43688.505599454489</v>
      </c>
      <c r="AL17" s="29">
        <f t="shared" ref="AL17" si="127">AL15-AL16</f>
        <v>49169.406271389031</v>
      </c>
      <c r="AM17" s="29">
        <f t="shared" ref="AM17" si="128">AM15-AM16</f>
        <v>56228.615023955717</v>
      </c>
      <c r="AN17" s="29">
        <f t="shared" ref="AN17" si="129">AN15-AN16</f>
        <v>63735.848826830406</v>
      </c>
      <c r="AO17" s="29">
        <f t="shared" ref="AO17" si="130">AO15-AO16</f>
        <v>72043.390686050057</v>
      </c>
      <c r="AP17" s="29">
        <f t="shared" ref="AP17" si="131">AP15-AP16</f>
        <v>78397.621940934085</v>
      </c>
      <c r="AQ17" s="29">
        <f t="shared" ref="AQ17" si="132">AQ15-AQ16</f>
        <v>83049.431696208805</v>
      </c>
      <c r="AR17" s="29">
        <f t="shared" ref="AR17" si="133">AR15-AR16</f>
        <v>88134.986231905525</v>
      </c>
      <c r="AS17" s="29">
        <f t="shared" ref="AS17" si="134">AS15-AS16</f>
        <v>93620.425130457981</v>
      </c>
      <c r="AT17" s="29">
        <f t="shared" ref="AT17" si="135">AT15-AT16</f>
        <v>99691.099140894614</v>
      </c>
      <c r="AU17" s="29">
        <f t="shared" ref="AU17" si="136">AU15-AU16</f>
        <v>108223.8270721662</v>
      </c>
      <c r="AV17" s="29">
        <f t="shared" ref="AV17" si="137">AV15-AV16</f>
        <v>117727.17323793951</v>
      </c>
      <c r="AW17" s="29">
        <f t="shared" ref="AW17" si="138">AW15-AW16</f>
        <v>127998.74709697469</v>
      </c>
      <c r="AX17" s="29">
        <f t="shared" ref="AX17" si="139">AX15-AX16</f>
        <v>134864.73445182343</v>
      </c>
      <c r="AY17" s="29">
        <f t="shared" ref="AY17" si="140">AY15-AY16</f>
        <v>141736.62117441458</v>
      </c>
      <c r="AZ17" s="29">
        <f t="shared" ref="AZ17" si="141">AZ15-AZ16</f>
        <v>148391.20223313532</v>
      </c>
      <c r="BA17" s="29">
        <f t="shared" ref="BA17" si="142">BA15-BA16</f>
        <v>155191.11234479211</v>
      </c>
      <c r="BB17" s="29">
        <f t="shared" ref="BB17" si="143">BB15-BB16</f>
        <v>162560.86796203171</v>
      </c>
      <c r="BC17" s="29">
        <f t="shared" ref="BC17" si="144">BC15-BC16</f>
        <v>170492.91136013329</v>
      </c>
      <c r="BD17" s="29">
        <f t="shared" ref="BD17" si="145">BD15-BD16</f>
        <v>173747.00958733598</v>
      </c>
      <c r="BE17" s="29">
        <f t="shared" ref="BE17" si="146">BE15-BE16</f>
        <v>178268.12977908269</v>
      </c>
      <c r="BF17" s="29">
        <f t="shared" ref="BF17" si="147">BF15-BF16</f>
        <v>183415.71237466438</v>
      </c>
      <c r="BG17" s="29">
        <f t="shared" ref="BG17" si="148">BG15-BG16</f>
        <v>189134.22662215764</v>
      </c>
    </row>
    <row r="18" spans="3:59" x14ac:dyDescent="0.2"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AC18" s="32"/>
      <c r="AD18" s="32"/>
      <c r="AE18" s="32"/>
      <c r="AF18" s="32"/>
      <c r="AG18" s="32"/>
      <c r="AH18" s="32"/>
      <c r="AI18" s="32"/>
      <c r="AJ18" s="32"/>
      <c r="AK18" s="32"/>
      <c r="AL18" s="32"/>
      <c r="AM18" s="32"/>
      <c r="AN18" s="32"/>
      <c r="AO18" s="32"/>
      <c r="AP18" s="32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32"/>
      <c r="BB18" s="32"/>
      <c r="BC18" s="32"/>
      <c r="BD18" s="32"/>
      <c r="BE18" s="32"/>
      <c r="BF18" s="32"/>
      <c r="BG18" s="32"/>
    </row>
    <row r="19" spans="3:59" x14ac:dyDescent="0.2">
      <c r="C19" s="6" t="s">
        <v>21</v>
      </c>
      <c r="D19" s="15">
        <f t="shared" ref="D19" si="149">D17/D20</f>
        <v>1.6905472636815921</v>
      </c>
      <c r="E19" s="15">
        <f t="shared" ref="E19" si="150">E17/E20</f>
        <v>1.4143426294820718</v>
      </c>
      <c r="F19" s="15">
        <f t="shared" ref="F19" si="151">F17/F20</f>
        <v>1.5114885114885115</v>
      </c>
      <c r="G19" s="15">
        <f t="shared" ref="G19" si="152">G17/G20</f>
        <v>1.5049900199600799</v>
      </c>
      <c r="H19" s="15">
        <f t="shared" ref="H19" si="153">H17/H20</f>
        <v>1.8390342052313884</v>
      </c>
      <c r="I19" s="15">
        <f t="shared" ref="I19" si="154">I17/I20</f>
        <v>2.0868686868686868</v>
      </c>
      <c r="J19" s="15">
        <f t="shared" ref="J19" si="155">J17/J20</f>
        <v>2.4482758620689653</v>
      </c>
      <c r="K19" s="15">
        <f t="shared" ref="K19" si="156">K17/K20</f>
        <v>2.4078947368421053</v>
      </c>
      <c r="L19" s="15">
        <f t="shared" ref="L19" si="157">L17/L20</f>
        <v>2.6929375639713409</v>
      </c>
      <c r="M19" s="15">
        <f t="shared" ref="M19" si="158">M17/M20</f>
        <v>2.3429454170957777</v>
      </c>
      <c r="N19" s="15">
        <f t="shared" ref="N19" si="159">N17/N20</f>
        <v>2.5896373056994819</v>
      </c>
      <c r="O19" s="15">
        <f t="shared" ref="O19" si="160">O17/O20</f>
        <v>2.6084710743801653</v>
      </c>
      <c r="P19" s="15">
        <f t="shared" ref="P19" si="161">P17/P20</f>
        <v>2.4774396642182581</v>
      </c>
      <c r="Q19" s="15">
        <f t="shared" ref="Q19" si="162">Q17/Q20</f>
        <v>3.007399577167019</v>
      </c>
      <c r="R19" s="15">
        <f t="shared" ref="R19" si="163">R17/R20</f>
        <v>3.3985122210414453</v>
      </c>
      <c r="S19" s="15">
        <f t="shared" ref="S19" si="164">S17/S20</f>
        <v>2.9565677966101696</v>
      </c>
      <c r="T19" s="15">
        <f t="shared" ref="E19:W19" si="165">T17/T20</f>
        <v>3.227224008574491</v>
      </c>
      <c r="U19" s="15" t="e">
        <f t="shared" ref="U19" si="166">U17/U20</f>
        <v>#DIV/0!</v>
      </c>
      <c r="V19" s="15" t="e">
        <f t="shared" ref="V19" si="167">V17/V20</f>
        <v>#DIV/0!</v>
      </c>
      <c r="Y19" s="20">
        <f>Y17/Y20</f>
        <v>6.1216350947158524</v>
      </c>
      <c r="Z19" s="20">
        <f t="shared" ref="Z19:AB19" si="168">Z17/Z20</f>
        <v>9.808994441637191</v>
      </c>
      <c r="AA19" s="20">
        <f t="shared" si="168"/>
        <v>12.895645452203041</v>
      </c>
      <c r="AB19" s="20">
        <f t="shared" si="168"/>
        <v>15.989429175475687</v>
      </c>
      <c r="AC19" s="31">
        <f t="shared" ref="AC19" si="169">AC17/AC20</f>
        <v>12.285767041965197</v>
      </c>
      <c r="AD19" s="31">
        <f t="shared" ref="AD19" si="170">AD17/AD20</f>
        <v>15.020848917093138</v>
      </c>
      <c r="AE19" s="31">
        <f t="shared" ref="AE19" si="171">AE17/AE20</f>
        <v>17.868921067103372</v>
      </c>
      <c r="AF19" s="31">
        <f t="shared" ref="AF19" si="172">AF17/AF20</f>
        <v>21.188684075149222</v>
      </c>
      <c r="AG19" s="31">
        <f t="shared" ref="AG19" si="173">AG17/AG20</f>
        <v>25.189709644704742</v>
      </c>
      <c r="AH19" s="31">
        <f t="shared" ref="AH19" si="174">AH17/AH20</f>
        <v>29.697613777885678</v>
      </c>
      <c r="AI19" s="31">
        <f t="shared" ref="AI19" si="175">AI17/AI20</f>
        <v>35.095753346953202</v>
      </c>
      <c r="AJ19" s="31">
        <f t="shared" ref="AJ19" si="176">AJ17/AJ20</f>
        <v>39.6230676994576</v>
      </c>
      <c r="AK19" s="31">
        <f t="shared" ref="AK19" si="177">AK17/AK20</f>
        <v>44.716996519400702</v>
      </c>
      <c r="AL19" s="31">
        <f t="shared" ref="AL19" si="178">AL17/AL20</f>
        <v>50.326925559251819</v>
      </c>
      <c r="AM19" s="31">
        <f t="shared" ref="AM19" si="179">AM17/AM20</f>
        <v>57.552318345911686</v>
      </c>
      <c r="AN19" s="31">
        <f t="shared" ref="AN19" si="180">AN17/AN20</f>
        <v>65.236283343736346</v>
      </c>
      <c r="AO19" s="31">
        <f t="shared" ref="AO19" si="181">AO17/AO20</f>
        <v>73.739396812743152</v>
      </c>
      <c r="AP19" s="31">
        <f t="shared" ref="AP19" si="182">AP17/AP20</f>
        <v>80.243215906790255</v>
      </c>
      <c r="AQ19" s="31">
        <f t="shared" ref="AQ19" si="183">AQ17/AQ20</f>
        <v>85.004536024778716</v>
      </c>
      <c r="AR19" s="31">
        <f t="shared" ref="AR19" si="184">AR17/AR20</f>
        <v>90.209811905737482</v>
      </c>
      <c r="AS19" s="31">
        <f t="shared" ref="AS19" si="185">AS17/AS20</f>
        <v>95.8243860086571</v>
      </c>
      <c r="AT19" s="31">
        <f t="shared" ref="AT19" si="186">AT17/AT20</f>
        <v>102.03797250859223</v>
      </c>
      <c r="AU19" s="31">
        <f t="shared" ref="AU19" si="187">AU17/AU20</f>
        <v>110.77157325707901</v>
      </c>
      <c r="AV19" s="31">
        <f t="shared" ref="AV19" si="188">AV17/AV20</f>
        <v>120.49864200403225</v>
      </c>
      <c r="AW19" s="31">
        <f t="shared" ref="AW19" si="189">AW17/AW20</f>
        <v>131.01202364071105</v>
      </c>
      <c r="AX19" s="31">
        <f t="shared" ref="AX19" si="190">AX17/AX20</f>
        <v>138.03964631711713</v>
      </c>
      <c r="AY19" s="31">
        <f t="shared" ref="AY19" si="191">AY17/AY20</f>
        <v>145.07330724095658</v>
      </c>
      <c r="AZ19" s="31">
        <f t="shared" ref="AZ19" si="192">AZ17/AZ20</f>
        <v>151.8845468097598</v>
      </c>
      <c r="BA19" s="31">
        <f t="shared" ref="BA19" si="193">BA17/BA20</f>
        <v>158.84453668863063</v>
      </c>
      <c r="BB19" s="31">
        <f t="shared" ref="BB19" si="194">BB17/BB20</f>
        <v>166.38778706451558</v>
      </c>
      <c r="BC19" s="31">
        <f t="shared" ref="BC19" si="195">BC17/BC20</f>
        <v>174.50656229286929</v>
      </c>
      <c r="BD19" s="31">
        <f t="shared" ref="BD19" si="196">BD17/BD20</f>
        <v>177.83726672194061</v>
      </c>
      <c r="BE19" s="31">
        <f t="shared" ref="BE19" si="197">BE17/BE20</f>
        <v>182.46482065412764</v>
      </c>
      <c r="BF19" s="31">
        <f t="shared" ref="BF19" si="198">BF17/BF20</f>
        <v>187.73358482565442</v>
      </c>
      <c r="BG19" s="31">
        <f t="shared" ref="BG19" si="199">BG17/BG20</f>
        <v>193.58672120998736</v>
      </c>
    </row>
    <row r="20" spans="3:59" x14ac:dyDescent="0.2">
      <c r="C20" s="6" t="s">
        <v>22</v>
      </c>
      <c r="D20" s="12">
        <v>1005</v>
      </c>
      <c r="E20" s="12">
        <v>1004</v>
      </c>
      <c r="F20" s="12">
        <v>1001</v>
      </c>
      <c r="G20" s="12">
        <v>1002</v>
      </c>
      <c r="H20" s="12">
        <v>994</v>
      </c>
      <c r="I20" s="12">
        <v>990</v>
      </c>
      <c r="J20" s="12">
        <v>986</v>
      </c>
      <c r="K20" s="12">
        <v>988</v>
      </c>
      <c r="L20" s="12">
        <v>977</v>
      </c>
      <c r="M20" s="12">
        <v>971</v>
      </c>
      <c r="N20" s="12">
        <v>965</v>
      </c>
      <c r="O20" s="12">
        <v>968</v>
      </c>
      <c r="P20" s="12">
        <v>953</v>
      </c>
      <c r="Q20" s="12">
        <v>946</v>
      </c>
      <c r="R20" s="12">
        <v>941</v>
      </c>
      <c r="S20" s="12">
        <v>944</v>
      </c>
      <c r="T20" s="12">
        <v>933</v>
      </c>
      <c r="U20" s="12"/>
      <c r="V20" s="12"/>
      <c r="W20" s="12"/>
      <c r="Y20" s="12">
        <f>AVERAGE(D20:G20)</f>
        <v>1003</v>
      </c>
      <c r="Z20" s="12">
        <f>AVERAGE(H20:K20)</f>
        <v>989.5</v>
      </c>
      <c r="AA20" s="12">
        <f>AVERAGE(L20:O20)</f>
        <v>970.25</v>
      </c>
      <c r="AB20" s="12">
        <f>AVERAGE(P20:S20)</f>
        <v>946</v>
      </c>
      <c r="AC20" s="32">
        <v>977</v>
      </c>
      <c r="AD20" s="32">
        <v>977</v>
      </c>
      <c r="AE20" s="32">
        <v>977</v>
      </c>
      <c r="AF20" s="32">
        <v>977</v>
      </c>
      <c r="AG20" s="32">
        <v>977</v>
      </c>
      <c r="AH20" s="32">
        <v>977</v>
      </c>
      <c r="AI20" s="32">
        <v>977</v>
      </c>
      <c r="AJ20" s="32">
        <v>977</v>
      </c>
      <c r="AK20" s="32">
        <v>977</v>
      </c>
      <c r="AL20" s="32">
        <v>977</v>
      </c>
      <c r="AM20" s="32">
        <v>977</v>
      </c>
      <c r="AN20" s="32">
        <v>977</v>
      </c>
      <c r="AO20" s="32">
        <v>977</v>
      </c>
      <c r="AP20" s="32">
        <v>977</v>
      </c>
      <c r="AQ20" s="32">
        <v>977</v>
      </c>
      <c r="AR20" s="32">
        <v>977</v>
      </c>
      <c r="AS20" s="32">
        <v>977</v>
      </c>
      <c r="AT20" s="32">
        <v>977</v>
      </c>
      <c r="AU20" s="32">
        <v>977</v>
      </c>
      <c r="AV20" s="32">
        <v>977</v>
      </c>
      <c r="AW20" s="32">
        <v>977</v>
      </c>
      <c r="AX20" s="32">
        <v>977</v>
      </c>
      <c r="AY20" s="32">
        <v>977</v>
      </c>
      <c r="AZ20" s="32">
        <v>977</v>
      </c>
      <c r="BA20" s="32">
        <v>977</v>
      </c>
      <c r="BB20" s="32">
        <v>977</v>
      </c>
      <c r="BC20" s="32">
        <v>977</v>
      </c>
      <c r="BD20" s="32">
        <v>977</v>
      </c>
      <c r="BE20" s="32">
        <v>977</v>
      </c>
      <c r="BF20" s="32">
        <v>977</v>
      </c>
      <c r="BG20" s="32">
        <v>977</v>
      </c>
    </row>
    <row r="22" spans="3:59" x14ac:dyDescent="0.2">
      <c r="C22" s="6" t="s">
        <v>43</v>
      </c>
      <c r="D22" s="16">
        <f>D13/D6</f>
        <v>0.55300573709154399</v>
      </c>
      <c r="E22" s="16">
        <f t="shared" ref="E22:Y22" si="200">E13/E6</f>
        <v>0.51184407796101949</v>
      </c>
      <c r="F22" s="16">
        <f t="shared" si="200"/>
        <v>0.54860568152202238</v>
      </c>
      <c r="G22" s="16">
        <f t="shared" si="200"/>
        <v>0.49805825242718449</v>
      </c>
      <c r="H22" s="16">
        <f t="shared" si="200"/>
        <v>0.52876052948255114</v>
      </c>
      <c r="I22" s="16">
        <f t="shared" si="200"/>
        <v>0.5170053003533569</v>
      </c>
      <c r="J22" s="16">
        <f t="shared" si="200"/>
        <v>0.5450351053159479</v>
      </c>
      <c r="K22" s="16">
        <f t="shared" si="200"/>
        <v>0.54198619631901845</v>
      </c>
      <c r="L22" s="16">
        <f t="shared" si="200"/>
        <v>0.57093090768337529</v>
      </c>
      <c r="M22" s="16">
        <f t="shared" si="200"/>
        <v>0.54902674185919598</v>
      </c>
      <c r="N22" s="16">
        <f t="shared" si="200"/>
        <v>0.54065323141070187</v>
      </c>
      <c r="O22" s="16">
        <f t="shared" si="200"/>
        <v>0.54736118274024415</v>
      </c>
      <c r="P22" s="16">
        <f t="shared" si="200"/>
        <v>0.54558107167710512</v>
      </c>
      <c r="Q22" s="16">
        <f t="shared" si="200"/>
        <v>0.58318711118200672</v>
      </c>
      <c r="R22" s="16">
        <f t="shared" si="200"/>
        <v>0.58839736721261293</v>
      </c>
      <c r="S22" s="16">
        <f t="shared" si="200"/>
        <v>0.51496640195479537</v>
      </c>
      <c r="T22" s="16">
        <f t="shared" si="200"/>
        <v>0.56773787019533717</v>
      </c>
      <c r="U22" s="16" t="e">
        <f t="shared" si="200"/>
        <v>#DIV/0!</v>
      </c>
      <c r="V22" s="16" t="e">
        <f t="shared" si="200"/>
        <v>#DIV/0!</v>
      </c>
      <c r="W22" s="16" t="e">
        <f t="shared" si="200"/>
        <v>#DIV/0!</v>
      </c>
      <c r="Y22" s="16">
        <f>Y13/Y6</f>
        <v>0.52813541598588332</v>
      </c>
      <c r="Z22" s="16">
        <f t="shared" ref="Z22:AB22" si="201">Z13/Z6</f>
        <v>0.60887523829697099</v>
      </c>
      <c r="AA22" s="16">
        <f t="shared" si="201"/>
        <v>0.64271259612357778</v>
      </c>
      <c r="AB22" s="16">
        <f t="shared" si="201"/>
        <v>0.66208462825723169</v>
      </c>
      <c r="AC22" s="16">
        <f t="shared" ref="AC22:BG22" si="202">AC13/AC6</f>
        <v>0.45999999999999996</v>
      </c>
      <c r="AD22" s="16">
        <f t="shared" si="202"/>
        <v>0.45999999999999996</v>
      </c>
      <c r="AE22" s="16">
        <f t="shared" si="202"/>
        <v>0.46</v>
      </c>
      <c r="AF22" s="16">
        <f t="shared" si="202"/>
        <v>0.45999999999999996</v>
      </c>
      <c r="AG22" s="16">
        <f t="shared" si="202"/>
        <v>0.45999999999999991</v>
      </c>
      <c r="AH22" s="16">
        <f t="shared" si="202"/>
        <v>0.45999999999999996</v>
      </c>
      <c r="AI22" s="16">
        <f t="shared" si="202"/>
        <v>0.45999999999999996</v>
      </c>
      <c r="AJ22" s="16">
        <f t="shared" si="202"/>
        <v>0.45999999999999991</v>
      </c>
      <c r="AK22" s="16">
        <f t="shared" si="202"/>
        <v>0.45999999999999996</v>
      </c>
      <c r="AL22" s="16">
        <f t="shared" si="202"/>
        <v>0.45999999999999996</v>
      </c>
      <c r="AM22" s="16">
        <f t="shared" si="202"/>
        <v>0.45999999999999996</v>
      </c>
      <c r="AN22" s="16">
        <f t="shared" si="202"/>
        <v>0.45999999999999996</v>
      </c>
      <c r="AO22" s="16">
        <f t="shared" si="202"/>
        <v>0.45999999999999991</v>
      </c>
      <c r="AP22" s="16">
        <f t="shared" si="202"/>
        <v>0.45999999999999996</v>
      </c>
      <c r="AQ22" s="16">
        <f t="shared" si="202"/>
        <v>0.45999999999999991</v>
      </c>
      <c r="AR22" s="16">
        <f t="shared" si="202"/>
        <v>0.45999999999999996</v>
      </c>
      <c r="AS22" s="16">
        <f t="shared" si="202"/>
        <v>0.45999999999999996</v>
      </c>
      <c r="AT22" s="16">
        <f t="shared" si="202"/>
        <v>0.45999999999999996</v>
      </c>
      <c r="AU22" s="16">
        <f t="shared" si="202"/>
        <v>0.45999999999999996</v>
      </c>
      <c r="AV22" s="16">
        <f t="shared" si="202"/>
        <v>0.45999999999999996</v>
      </c>
      <c r="AW22" s="16">
        <f t="shared" si="202"/>
        <v>0.46</v>
      </c>
      <c r="AX22" s="16">
        <f t="shared" si="202"/>
        <v>0.45999999999999996</v>
      </c>
      <c r="AY22" s="16">
        <f t="shared" si="202"/>
        <v>0.45999999999999991</v>
      </c>
      <c r="AZ22" s="16">
        <f t="shared" si="202"/>
        <v>0.45999999999999996</v>
      </c>
      <c r="BA22" s="16">
        <f t="shared" si="202"/>
        <v>0.46</v>
      </c>
      <c r="BB22" s="16">
        <f t="shared" si="202"/>
        <v>0.45999999999999996</v>
      </c>
      <c r="BC22" s="16">
        <f t="shared" si="202"/>
        <v>0.45999999999999996</v>
      </c>
      <c r="BD22" s="16">
        <f t="shared" si="202"/>
        <v>0.45999999999999996</v>
      </c>
      <c r="BE22" s="16">
        <f t="shared" si="202"/>
        <v>0.45999999999999996</v>
      </c>
      <c r="BF22" s="16">
        <f t="shared" si="202"/>
        <v>0.45999999999999996</v>
      </c>
      <c r="BG22" s="16">
        <f t="shared" si="202"/>
        <v>0.45999999999999991</v>
      </c>
    </row>
    <row r="23" spans="3:59" x14ac:dyDescent="0.2">
      <c r="C23" s="6" t="s">
        <v>44</v>
      </c>
      <c r="G23" s="9"/>
      <c r="H23" s="19">
        <f>H6/D6-1</f>
        <v>3.6418059366425615E-2</v>
      </c>
      <c r="I23" s="9"/>
      <c r="J23" s="9"/>
      <c r="K23" s="9"/>
      <c r="L23" s="19">
        <f>L6/H6-1</f>
        <v>0.2435619735258725</v>
      </c>
      <c r="M23" s="9"/>
      <c r="N23" s="9"/>
      <c r="O23" s="9"/>
      <c r="P23" s="19">
        <f>P6/L6-1</f>
        <v>0.11244435842848843</v>
      </c>
      <c r="Q23" s="9"/>
      <c r="R23" s="9"/>
      <c r="S23" s="9"/>
      <c r="T23" s="19">
        <f>T6/P6-1</f>
        <v>0.10438413361169108</v>
      </c>
      <c r="Z23" s="19">
        <f t="shared" ref="Y23:AB23" si="203">Z6/Y6-1</f>
        <v>0.23416770145742105</v>
      </c>
      <c r="AA23" s="19">
        <f t="shared" si="203"/>
        <v>0.17755772082185972</v>
      </c>
      <c r="AB23" s="19">
        <f>AB6/AA6-1</f>
        <v>0.1286594414714215</v>
      </c>
      <c r="AC23" s="19">
        <f t="shared" ref="AC23:BG23" si="204">AC6/AB6-1</f>
        <v>0.17999999999999994</v>
      </c>
      <c r="AD23" s="19">
        <f t="shared" si="204"/>
        <v>0.17999999999999994</v>
      </c>
      <c r="AE23" s="19">
        <f t="shared" si="204"/>
        <v>0.17999999999999994</v>
      </c>
      <c r="AF23" s="19">
        <f t="shared" si="204"/>
        <v>0.17999999999999994</v>
      </c>
      <c r="AG23" s="19">
        <f t="shared" si="204"/>
        <v>0.17999999999999994</v>
      </c>
      <c r="AH23" s="19">
        <f t="shared" si="204"/>
        <v>0.17999999999999994</v>
      </c>
      <c r="AI23" s="19">
        <f t="shared" si="204"/>
        <v>0.17999999999999994</v>
      </c>
      <c r="AJ23" s="19">
        <f t="shared" si="204"/>
        <v>0.12000000000000011</v>
      </c>
      <c r="AK23" s="19">
        <f t="shared" si="204"/>
        <v>0.12000000000000011</v>
      </c>
      <c r="AL23" s="19">
        <f t="shared" si="204"/>
        <v>0.12000000000000011</v>
      </c>
      <c r="AM23" s="19">
        <f t="shared" si="204"/>
        <v>0.12000000000000011</v>
      </c>
      <c r="AN23" s="19">
        <f t="shared" si="204"/>
        <v>0.12000000000000011</v>
      </c>
      <c r="AO23" s="19">
        <f t="shared" si="204"/>
        <v>0.12000000000000011</v>
      </c>
      <c r="AP23" s="19">
        <f t="shared" si="204"/>
        <v>8.0000000000000071E-2</v>
      </c>
      <c r="AQ23" s="19">
        <f t="shared" si="204"/>
        <v>8.0000000000000071E-2</v>
      </c>
      <c r="AR23" s="19">
        <f t="shared" si="204"/>
        <v>8.0000000000000071E-2</v>
      </c>
      <c r="AS23" s="19">
        <f t="shared" si="204"/>
        <v>8.0000000000000071E-2</v>
      </c>
      <c r="AT23" s="19">
        <f t="shared" si="204"/>
        <v>8.0000000000000071E-2</v>
      </c>
      <c r="AU23" s="19">
        <f t="shared" si="204"/>
        <v>8.0000000000000071E-2</v>
      </c>
      <c r="AV23" s="19">
        <f t="shared" si="204"/>
        <v>8.0000000000000071E-2</v>
      </c>
      <c r="AW23" s="19">
        <f t="shared" si="204"/>
        <v>8.0000000000000071E-2</v>
      </c>
      <c r="AX23" s="19">
        <f t="shared" si="204"/>
        <v>5.0000000000000044E-2</v>
      </c>
      <c r="AY23" s="19">
        <f t="shared" si="204"/>
        <v>5.0000000000000044E-2</v>
      </c>
      <c r="AZ23" s="19">
        <f t="shared" si="204"/>
        <v>5.0000000000000044E-2</v>
      </c>
      <c r="BA23" s="19">
        <f t="shared" si="204"/>
        <v>5.0000000000000044E-2</v>
      </c>
      <c r="BB23" s="19">
        <f t="shared" si="204"/>
        <v>5.0000000000000044E-2</v>
      </c>
      <c r="BC23" s="19">
        <f t="shared" si="204"/>
        <v>5.0000000000000044E-2</v>
      </c>
      <c r="BD23" s="19">
        <f t="shared" si="204"/>
        <v>2.0000000000000018E-2</v>
      </c>
      <c r="BE23" s="19">
        <f t="shared" si="204"/>
        <v>2.0000000000000018E-2</v>
      </c>
      <c r="BF23" s="19">
        <f t="shared" si="204"/>
        <v>2.0000000000000018E-2</v>
      </c>
      <c r="BG23" s="19">
        <f t="shared" si="204"/>
        <v>2.0000000000000018E-2</v>
      </c>
    </row>
    <row r="24" spans="3:59" x14ac:dyDescent="0.2">
      <c r="C24" s="6" t="s">
        <v>60</v>
      </c>
      <c r="D24" s="16">
        <f>D16/D15</f>
        <v>0.14751630707476165</v>
      </c>
      <c r="E24" s="16">
        <f t="shared" ref="E24:W24" si="205">E16/E15</f>
        <v>0.15976331360946747</v>
      </c>
      <c r="F24" s="16">
        <f t="shared" si="205"/>
        <v>0.20992167101827677</v>
      </c>
      <c r="G24" s="16">
        <f t="shared" si="205"/>
        <v>0.30249768732654947</v>
      </c>
      <c r="H24" s="16">
        <f t="shared" si="205"/>
        <v>0.16529680365296803</v>
      </c>
      <c r="I24" s="16">
        <f t="shared" si="205"/>
        <v>0.16626311541565778</v>
      </c>
      <c r="J24" s="16">
        <f t="shared" si="205"/>
        <v>0.14275568181818182</v>
      </c>
      <c r="K24" s="16">
        <f t="shared" si="205"/>
        <v>0.15727948990435706</v>
      </c>
      <c r="L24" s="16">
        <f t="shared" si="205"/>
        <v>5.120807789397764E-2</v>
      </c>
      <c r="M24" s="16">
        <f t="shared" si="205"/>
        <v>0.18691922802001429</v>
      </c>
      <c r="N24" s="16">
        <f t="shared" si="205"/>
        <v>0.1865234375</v>
      </c>
      <c r="O24" s="16">
        <f t="shared" si="205"/>
        <v>0.18258336031078018</v>
      </c>
      <c r="P24" s="16">
        <f t="shared" si="205"/>
        <v>0.17245005257623555</v>
      </c>
      <c r="Q24" s="16">
        <f t="shared" si="205"/>
        <v>0.23191144708423325</v>
      </c>
      <c r="R24" s="16">
        <f t="shared" si="205"/>
        <v>0.14969423025791012</v>
      </c>
      <c r="T24" s="16">
        <f t="shared" si="205"/>
        <v>0.1537380550871276</v>
      </c>
      <c r="U24" s="16" t="e">
        <f t="shared" si="205"/>
        <v>#DIV/0!</v>
      </c>
      <c r="V24" s="16" t="e">
        <f t="shared" si="205"/>
        <v>#DIV/0!</v>
      </c>
      <c r="W24" s="16" t="e">
        <f t="shared" si="205"/>
        <v>#DIV/0!</v>
      </c>
      <c r="Y24" s="16">
        <f>Y16/Y15</f>
        <v>0.20876288659793815</v>
      </c>
      <c r="Z24" s="16">
        <f t="shared" ref="Z24:AB24" si="206">Z16/Z15</f>
        <v>0.14814814814814814</v>
      </c>
      <c r="AA24" s="16">
        <f t="shared" si="206"/>
        <v>0.12759726676893041</v>
      </c>
      <c r="AB24" s="16">
        <f t="shared" si="206"/>
        <v>0.10792639773531493</v>
      </c>
      <c r="AC24" s="16">
        <f t="shared" ref="AC24:BG24" si="207">AC16/AC15</f>
        <v>0.11891484129449112</v>
      </c>
      <c r="AD24" s="16">
        <f t="shared" si="207"/>
        <v>8.7089756126955215E-2</v>
      </c>
      <c r="AE24" s="16">
        <f t="shared" si="207"/>
        <v>7.9656550549533495E-2</v>
      </c>
      <c r="AF24" s="16">
        <f t="shared" si="207"/>
        <v>7.5145160363164681E-2</v>
      </c>
      <c r="AG24" s="16">
        <f t="shared" si="207"/>
        <v>6.8225669085643981E-2</v>
      </c>
      <c r="AH24" s="16">
        <f t="shared" si="207"/>
        <v>6.9048345469396463E-2</v>
      </c>
      <c r="AI24" s="16">
        <f t="shared" si="207"/>
        <v>6.7651803418128348E-2</v>
      </c>
      <c r="AJ24" s="16">
        <f t="shared" si="207"/>
        <v>6.0160616986579166E-2</v>
      </c>
      <c r="AK24" s="16">
        <f t="shared" si="207"/>
        <v>5.297782915196568E-2</v>
      </c>
      <c r="AL24" s="16">
        <f t="shared" si="207"/>
        <v>4.8366113459624965E-2</v>
      </c>
      <c r="AM24" s="16">
        <f t="shared" si="207"/>
        <v>2.8340059621628989E-2</v>
      </c>
      <c r="AN24" s="16">
        <f t="shared" si="207"/>
        <v>1.6617075464119349E-2</v>
      </c>
      <c r="AO24" s="16">
        <f t="shared" si="207"/>
        <v>7.5354326492847882E-3</v>
      </c>
      <c r="AP24" s="16">
        <f t="shared" si="207"/>
        <v>0</v>
      </c>
      <c r="AQ24" s="16">
        <f t="shared" si="207"/>
        <v>1.9133233417846809E-2</v>
      </c>
      <c r="AR24" s="16">
        <f t="shared" si="207"/>
        <v>3.6175546494191371E-2</v>
      </c>
      <c r="AS24" s="16">
        <f t="shared" si="207"/>
        <v>5.2025941009213143E-2</v>
      </c>
      <c r="AT24" s="16">
        <f t="shared" si="207"/>
        <v>6.5329634847144227E-2</v>
      </c>
      <c r="AU24" s="16">
        <f t="shared" si="207"/>
        <v>6.0490402636244653E-2</v>
      </c>
      <c r="AV24" s="16">
        <f t="shared" si="207"/>
        <v>5.3694653018310452E-2</v>
      </c>
      <c r="AW24" s="16">
        <f t="shared" si="207"/>
        <v>4.7343048326884109E-2</v>
      </c>
      <c r="AX24" s="16">
        <f t="shared" si="207"/>
        <v>4.4039550423328314E-2</v>
      </c>
      <c r="AY24" s="16">
        <f t="shared" si="207"/>
        <v>4.317106603775258E-2</v>
      </c>
      <c r="AZ24" s="16">
        <f t="shared" si="207"/>
        <v>4.5950126061553694E-2</v>
      </c>
      <c r="BA24" s="16">
        <f t="shared" si="207"/>
        <v>4.9744324841466903E-2</v>
      </c>
      <c r="BB24" s="16">
        <f t="shared" si="207"/>
        <v>5.2017464723674092E-2</v>
      </c>
      <c r="BC24" s="16">
        <f t="shared" si="207"/>
        <v>5.3106021534034993E-2</v>
      </c>
      <c r="BD24" s="16">
        <f t="shared" si="207"/>
        <v>5.3954128820858774E-2</v>
      </c>
      <c r="BE24" s="16">
        <f t="shared" si="207"/>
        <v>4.8369412758633108E-2</v>
      </c>
      <c r="BF24" s="16">
        <f t="shared" si="207"/>
        <v>4.0088820838622058E-2</v>
      </c>
      <c r="BG24" s="16">
        <f t="shared" si="207"/>
        <v>2.9569430514127238E-2</v>
      </c>
    </row>
    <row r="25" spans="3:59" x14ac:dyDescent="0.2">
      <c r="Y25" s="18"/>
      <c r="Z25" s="18"/>
      <c r="AA25" s="18"/>
      <c r="AB25" s="18"/>
    </row>
    <row r="26" spans="3:59" x14ac:dyDescent="0.2">
      <c r="C26" s="17" t="s">
        <v>49</v>
      </c>
      <c r="Y26" t="s">
        <v>55</v>
      </c>
      <c r="Z26" t="s">
        <v>56</v>
      </c>
      <c r="AB26" s="1"/>
    </row>
    <row r="27" spans="3:59" x14ac:dyDescent="0.2">
      <c r="C27" t="s">
        <v>50</v>
      </c>
      <c r="Y27" t="s">
        <v>57</v>
      </c>
      <c r="Z27" s="19">
        <f>AVERAGE(Z23:AB23)</f>
        <v>0.18012828791690075</v>
      </c>
      <c r="AC27" s="18"/>
    </row>
    <row r="28" spans="3:59" x14ac:dyDescent="0.2">
      <c r="C28" t="s">
        <v>51</v>
      </c>
      <c r="Y28" t="s">
        <v>58</v>
      </c>
      <c r="Z28" s="16">
        <f>AVERAGE(D22:T22)</f>
        <v>0.54424369214047186</v>
      </c>
    </row>
    <row r="29" spans="3:59" x14ac:dyDescent="0.2">
      <c r="C29" t="s">
        <v>52</v>
      </c>
      <c r="Y29" t="s">
        <v>59</v>
      </c>
      <c r="Z29" s="11">
        <f>AVERAGE(Y13:AB13)</f>
        <v>12622</v>
      </c>
    </row>
    <row r="30" spans="3:59" x14ac:dyDescent="0.2">
      <c r="C30" t="s">
        <v>53</v>
      </c>
      <c r="Z30" s="16"/>
    </row>
    <row r="31" spans="3:59" x14ac:dyDescent="0.2">
      <c r="C31" t="s">
        <v>54</v>
      </c>
      <c r="Y31" t="s">
        <v>60</v>
      </c>
      <c r="Z31" s="16">
        <f>AVERAGE(Y24:AB24)</f>
        <v>0.14810867481258291</v>
      </c>
    </row>
    <row r="33" spans="25:26" x14ac:dyDescent="0.2">
      <c r="Y33" t="s">
        <v>61</v>
      </c>
      <c r="Z33" t="s">
        <v>56</v>
      </c>
    </row>
    <row r="34" spans="25:26" x14ac:dyDescent="0.2">
      <c r="Y34" t="s">
        <v>62</v>
      </c>
      <c r="Z34" s="19">
        <v>3.3750000000000002E-2</v>
      </c>
    </row>
    <row r="35" spans="25:26" x14ac:dyDescent="0.2">
      <c r="Y35" t="s">
        <v>63</v>
      </c>
      <c r="Z35" s="33">
        <v>9.5000000000000001E-2</v>
      </c>
    </row>
    <row r="36" spans="25:26" x14ac:dyDescent="0.2">
      <c r="Y36" t="s">
        <v>64</v>
      </c>
      <c r="Z36" s="24">
        <f>NPV(Z35,Y17:BG17)</f>
        <v>404726.17750446207</v>
      </c>
    </row>
    <row r="37" spans="25:26" x14ac:dyDescent="0.2">
      <c r="Y37" t="s">
        <v>3</v>
      </c>
      <c r="Z37" s="11">
        <v>8588</v>
      </c>
    </row>
    <row r="38" spans="25:26" x14ac:dyDescent="0.2">
      <c r="Y38" s="23" t="s">
        <v>65</v>
      </c>
      <c r="Z38" s="25">
        <f>Z37+Z36</f>
        <v>413314.17750446207</v>
      </c>
    </row>
    <row r="39" spans="25:26" x14ac:dyDescent="0.2">
      <c r="Y39" s="23" t="s">
        <v>1</v>
      </c>
      <c r="Z39" s="26">
        <f>Z38/Info!C6</f>
        <v>448.28001898531676</v>
      </c>
    </row>
    <row r="40" spans="25:26" x14ac:dyDescent="0.2">
      <c r="Y40" s="23" t="s">
        <v>66</v>
      </c>
      <c r="Z40" s="27">
        <f>Info!C5</f>
        <v>440.11</v>
      </c>
    </row>
  </sheetData>
  <phoneticPr fontId="2" type="noConversion"/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Info</vt:lpstr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Ihsan Mutlu</dc:creator>
  <cp:lastModifiedBy>Ihsan Mutlu</cp:lastModifiedBy>
  <dcterms:created xsi:type="dcterms:W3CDTF">2024-07-15T09:21:13Z</dcterms:created>
  <dcterms:modified xsi:type="dcterms:W3CDTF">2024-07-15T10:20:59Z</dcterms:modified>
</cp:coreProperties>
</file>