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sanmutlu/Desktop/Kangal_Capital/"/>
    </mc:Choice>
  </mc:AlternateContent>
  <xr:revisionPtr revIDLastSave="0" documentId="13_ncr:1_{7FFBB54A-84ED-884D-A101-D163B276406A}" xr6:coauthVersionLast="47" xr6:coauthVersionMax="47" xr10:uidLastSave="{00000000-0000-0000-0000-000000000000}"/>
  <bookViews>
    <workbookView xWindow="34240" yWindow="820" windowWidth="28040" windowHeight="17200" xr2:uid="{3E8196D0-47FE-EB48-B78D-2791825BD3EF}"/>
  </bookViews>
  <sheets>
    <sheet name="Main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8" i="2" l="1"/>
  <c r="AA32" i="2"/>
  <c r="AB32" i="2"/>
  <c r="AC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T40" i="2"/>
  <c r="BM16" i="2"/>
  <c r="BL16" i="2"/>
  <c r="BL21" i="2" s="1"/>
  <c r="BK16" i="2"/>
  <c r="BK21" i="2" s="1"/>
  <c r="BJ16" i="2"/>
  <c r="BI16" i="2"/>
  <c r="BI21" i="2" s="1"/>
  <c r="BH16" i="2"/>
  <c r="BG16" i="2"/>
  <c r="BG21" i="2" s="1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T21" i="2" s="1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BJ21" i="2"/>
  <c r="AC33" i="2"/>
  <c r="H35" i="2"/>
  <c r="BM21" i="2"/>
  <c r="BH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A35" i="2"/>
  <c r="Z35" i="2"/>
  <c r="AA50" i="2"/>
  <c r="BE13" i="2"/>
  <c r="BF13" i="2" s="1"/>
  <c r="BE23" i="2"/>
  <c r="BE25" i="2"/>
  <c r="W31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T39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T37" i="2" s="1"/>
  <c r="E36" i="2"/>
  <c r="D36" i="2"/>
  <c r="T36" i="2"/>
  <c r="D35" i="2"/>
  <c r="K22" i="2"/>
  <c r="AC23" i="2"/>
  <c r="AA47" i="2"/>
  <c r="V34" i="2"/>
  <c r="U34" i="2"/>
  <c r="T34" i="2"/>
  <c r="R34" i="2"/>
  <c r="Q34" i="2"/>
  <c r="P34" i="2"/>
  <c r="N34" i="2"/>
  <c r="M34" i="2"/>
  <c r="L34" i="2"/>
  <c r="J34" i="2"/>
  <c r="I34" i="2"/>
  <c r="H34" i="2"/>
  <c r="F34" i="2"/>
  <c r="E34" i="2"/>
  <c r="D34" i="2"/>
  <c r="H32" i="2"/>
  <c r="AC29" i="2"/>
  <c r="AB29" i="2"/>
  <c r="AA29" i="2"/>
  <c r="Z29" i="2"/>
  <c r="BE24" i="2" l="1"/>
  <c r="BE26" i="2" s="1"/>
  <c r="BG13" i="2"/>
  <c r="BF25" i="2"/>
  <c r="BH13" i="2" l="1"/>
  <c r="BG25" i="2"/>
  <c r="BF23" i="2"/>
  <c r="BF24" i="2" l="1"/>
  <c r="BF26" i="2"/>
  <c r="BH25" i="2"/>
  <c r="BI13" i="2"/>
  <c r="BG23" i="2"/>
  <c r="BG24" i="2" l="1"/>
  <c r="BG26" i="2" s="1"/>
  <c r="BI25" i="2"/>
  <c r="BJ13" i="2"/>
  <c r="BH23" i="2"/>
  <c r="BH24" i="2" l="1"/>
  <c r="BH26" i="2" s="1"/>
  <c r="BJ25" i="2"/>
  <c r="BK13" i="2"/>
  <c r="BI23" i="2"/>
  <c r="BI24" i="2" l="1"/>
  <c r="BI26" i="2"/>
  <c r="BK25" i="2"/>
  <c r="BL13" i="2"/>
  <c r="BJ23" i="2"/>
  <c r="BJ24" i="2" l="1"/>
  <c r="BJ26" i="2"/>
  <c r="BK23" i="2"/>
  <c r="BM13" i="2"/>
  <c r="BL25" i="2"/>
  <c r="BL23" i="2" l="1"/>
  <c r="BM25" i="2"/>
  <c r="BK24" i="2"/>
  <c r="BK26" i="2"/>
  <c r="BM23" i="2" l="1"/>
  <c r="BL24" i="2"/>
  <c r="BL26" i="2" s="1"/>
  <c r="BM24" i="2" l="1"/>
  <c r="BM26" i="2"/>
  <c r="D11" i="2" l="1"/>
  <c r="E11" i="2"/>
  <c r="F11" i="2"/>
  <c r="H11" i="2"/>
  <c r="I11" i="2"/>
  <c r="J11" i="2"/>
  <c r="L11" i="2"/>
  <c r="M11" i="2"/>
  <c r="Q11" i="2"/>
  <c r="N11" i="2"/>
  <c r="R11" i="2"/>
  <c r="P11" i="2"/>
  <c r="T11" i="2"/>
  <c r="G25" i="2"/>
  <c r="G24" i="2"/>
  <c r="G22" i="2"/>
  <c r="G20" i="2"/>
  <c r="G19" i="2"/>
  <c r="G18" i="2"/>
  <c r="G15" i="2"/>
  <c r="G14" i="2"/>
  <c r="G13" i="2"/>
  <c r="J22" i="2"/>
  <c r="O25" i="2"/>
  <c r="O24" i="2"/>
  <c r="O22" i="2"/>
  <c r="O20" i="2"/>
  <c r="O19" i="2"/>
  <c r="O18" i="2"/>
  <c r="O15" i="2"/>
  <c r="O14" i="2"/>
  <c r="O13" i="2"/>
  <c r="K25" i="2"/>
  <c r="K24" i="2"/>
  <c r="K20" i="2"/>
  <c r="K19" i="2"/>
  <c r="K18" i="2"/>
  <c r="K15" i="2"/>
  <c r="K14" i="2"/>
  <c r="K13" i="2"/>
  <c r="W25" i="2"/>
  <c r="W24" i="2"/>
  <c r="W22" i="2"/>
  <c r="W20" i="2"/>
  <c r="W19" i="2"/>
  <c r="W18" i="2"/>
  <c r="W15" i="2"/>
  <c r="W14" i="2"/>
  <c r="W13" i="2"/>
  <c r="S25" i="2"/>
  <c r="S24" i="2"/>
  <c r="S22" i="2"/>
  <c r="S20" i="2"/>
  <c r="S19" i="2"/>
  <c r="S18" i="2"/>
  <c r="S15" i="2"/>
  <c r="S14" i="2"/>
  <c r="S13" i="2"/>
  <c r="P16" i="2"/>
  <c r="V21" i="2"/>
  <c r="U21" i="2"/>
  <c r="V16" i="2"/>
  <c r="V31" i="2" s="1"/>
  <c r="U16" i="2"/>
  <c r="U31" i="2" s="1"/>
  <c r="E16" i="2"/>
  <c r="E31" i="2" s="1"/>
  <c r="F16" i="2"/>
  <c r="H16" i="2"/>
  <c r="I16" i="2"/>
  <c r="J16" i="2"/>
  <c r="J31" i="2" s="1"/>
  <c r="L16" i="2"/>
  <c r="M16" i="2"/>
  <c r="M31" i="2" s="1"/>
  <c r="N16" i="2"/>
  <c r="N31" i="2" s="1"/>
  <c r="Q16" i="2"/>
  <c r="R16" i="2"/>
  <c r="R31" i="2" s="1"/>
  <c r="E21" i="2"/>
  <c r="E35" i="2" s="1"/>
  <c r="F21" i="2"/>
  <c r="F35" i="2" s="1"/>
  <c r="H21" i="2"/>
  <c r="I21" i="2"/>
  <c r="J21" i="2"/>
  <c r="L21" i="2"/>
  <c r="M21" i="2"/>
  <c r="M35" i="2" s="1"/>
  <c r="N21" i="2"/>
  <c r="N35" i="2" s="1"/>
  <c r="P21" i="2"/>
  <c r="Q21" i="2"/>
  <c r="Q35" i="2" s="1"/>
  <c r="R21" i="2"/>
  <c r="R35" i="2" s="1"/>
  <c r="D21" i="2"/>
  <c r="D16" i="2"/>
  <c r="T21" i="2"/>
  <c r="T16" i="2"/>
  <c r="C8" i="1"/>
  <c r="C6" i="1"/>
  <c r="C9" i="1" s="1"/>
  <c r="I35" i="2" l="1"/>
  <c r="AA14" i="2"/>
  <c r="AB14" i="2"/>
  <c r="Z14" i="2"/>
  <c r="AC14" i="2"/>
  <c r="AC15" i="2"/>
  <c r="G34" i="2"/>
  <c r="AA39" i="2" s="1"/>
  <c r="Z15" i="2"/>
  <c r="AB15" i="2"/>
  <c r="AA15" i="2"/>
  <c r="S16" i="2"/>
  <c r="AC20" i="2"/>
  <c r="AB20" i="2"/>
  <c r="AA20" i="2"/>
  <c r="Z20" i="2"/>
  <c r="S34" i="2"/>
  <c r="AA13" i="2"/>
  <c r="K32" i="2"/>
  <c r="AB13" i="2"/>
  <c r="AB16" i="2" s="1"/>
  <c r="O32" i="2"/>
  <c r="AB22" i="2"/>
  <c r="AC22" i="2"/>
  <c r="AA22" i="2"/>
  <c r="Z22" i="2"/>
  <c r="AC18" i="2"/>
  <c r="Z18" i="2"/>
  <c r="AB18" i="2"/>
  <c r="AA18" i="2"/>
  <c r="H23" i="2"/>
  <c r="H26" i="2" s="1"/>
  <c r="H28" i="2" s="1"/>
  <c r="AB19" i="2"/>
  <c r="AA19" i="2"/>
  <c r="Z19" i="2"/>
  <c r="AC19" i="2"/>
  <c r="W32" i="2"/>
  <c r="T35" i="2"/>
  <c r="W34" i="2"/>
  <c r="Z24" i="2"/>
  <c r="AA24" i="2"/>
  <c r="AC24" i="2"/>
  <c r="AB24" i="2"/>
  <c r="P35" i="2"/>
  <c r="S32" i="2"/>
  <c r="AC13" i="2"/>
  <c r="L35" i="2"/>
  <c r="D31" i="2"/>
  <c r="D23" i="2"/>
  <c r="J35" i="2"/>
  <c r="K34" i="2"/>
  <c r="O34" i="2"/>
  <c r="G16" i="2"/>
  <c r="G23" i="2" s="1"/>
  <c r="G26" i="2" s="1"/>
  <c r="G28" i="2" s="1"/>
  <c r="Z13" i="2"/>
  <c r="AB25" i="2"/>
  <c r="AA25" i="2"/>
  <c r="Z25" i="2"/>
  <c r="AC25" i="2"/>
  <c r="T23" i="2"/>
  <c r="W16" i="2"/>
  <c r="S21" i="2"/>
  <c r="W21" i="2"/>
  <c r="T31" i="2"/>
  <c r="G21" i="2"/>
  <c r="G35" i="2" s="1"/>
  <c r="G31" i="2"/>
  <c r="E23" i="2"/>
  <c r="H31" i="2"/>
  <c r="I23" i="2"/>
  <c r="I31" i="2"/>
  <c r="F23" i="2"/>
  <c r="F31" i="2"/>
  <c r="K21" i="2"/>
  <c r="K35" i="2" s="1"/>
  <c r="K16" i="2"/>
  <c r="K31" i="2" s="1"/>
  <c r="L23" i="2"/>
  <c r="O21" i="2"/>
  <c r="O16" i="2"/>
  <c r="O31" i="2" s="1"/>
  <c r="M23" i="2"/>
  <c r="Q23" i="2"/>
  <c r="Q31" i="2"/>
  <c r="N23" i="2"/>
  <c r="P23" i="2"/>
  <c r="P31" i="2"/>
  <c r="U23" i="2"/>
  <c r="V23" i="2"/>
  <c r="J23" i="2"/>
  <c r="L31" i="2"/>
  <c r="S31" i="2"/>
  <c r="R23" i="2"/>
  <c r="S23" i="2" l="1"/>
  <c r="S35" i="2"/>
  <c r="AC16" i="2"/>
  <c r="AD13" i="2"/>
  <c r="AB21" i="2"/>
  <c r="AB23" i="2" s="1"/>
  <c r="Z21" i="2"/>
  <c r="AA37" i="2"/>
  <c r="Z16" i="2"/>
  <c r="O35" i="2"/>
  <c r="AA40" i="2" s="1"/>
  <c r="AC21" i="2"/>
  <c r="AA16" i="2"/>
  <c r="AA38" i="2"/>
  <c r="AA21" i="2"/>
  <c r="AB31" i="2"/>
  <c r="H33" i="2"/>
  <c r="S26" i="2"/>
  <c r="S28" i="2" s="1"/>
  <c r="S33" i="2"/>
  <c r="O23" i="2"/>
  <c r="V26" i="2"/>
  <c r="V28" i="2" s="1"/>
  <c r="V33" i="2"/>
  <c r="N26" i="2"/>
  <c r="N28" i="2" s="1"/>
  <c r="N33" i="2"/>
  <c r="L26" i="2"/>
  <c r="L28" i="2" s="1"/>
  <c r="L33" i="2"/>
  <c r="J26" i="2"/>
  <c r="J28" i="2" s="1"/>
  <c r="J33" i="2"/>
  <c r="D26" i="2"/>
  <c r="D28" i="2" s="1"/>
  <c r="D33" i="2"/>
  <c r="U26" i="2"/>
  <c r="U28" i="2" s="1"/>
  <c r="U33" i="2"/>
  <c r="W23" i="2"/>
  <c r="F26" i="2"/>
  <c r="F28" i="2" s="1"/>
  <c r="F33" i="2"/>
  <c r="R26" i="2"/>
  <c r="R28" i="2" s="1"/>
  <c r="R33" i="2"/>
  <c r="I26" i="2"/>
  <c r="I28" i="2" s="1"/>
  <c r="I33" i="2"/>
  <c r="Q26" i="2"/>
  <c r="Q28" i="2" s="1"/>
  <c r="Q33" i="2"/>
  <c r="E26" i="2"/>
  <c r="E28" i="2" s="1"/>
  <c r="E33" i="2"/>
  <c r="M26" i="2"/>
  <c r="M28" i="2" s="1"/>
  <c r="M33" i="2"/>
  <c r="T26" i="2"/>
  <c r="T28" i="2" s="1"/>
  <c r="T33" i="2"/>
  <c r="G33" i="2"/>
  <c r="P26" i="2"/>
  <c r="P28" i="2" s="1"/>
  <c r="P33" i="2"/>
  <c r="K23" i="2"/>
  <c r="AB26" i="2" l="1"/>
  <c r="AB28" i="2" s="1"/>
  <c r="AB33" i="2"/>
  <c r="AA23" i="2"/>
  <c r="AA31" i="2"/>
  <c r="AC31" i="2"/>
  <c r="Z23" i="2"/>
  <c r="Z31" i="2"/>
  <c r="AD23" i="2"/>
  <c r="AD24" i="2" s="1"/>
  <c r="AD26" i="2" s="1"/>
  <c r="AE13" i="2"/>
  <c r="K26" i="2"/>
  <c r="K28" i="2" s="1"/>
  <c r="K33" i="2"/>
  <c r="AA41" i="2" s="1"/>
  <c r="W26" i="2"/>
  <c r="W28" i="2" s="1"/>
  <c r="W33" i="2"/>
  <c r="O26" i="2"/>
  <c r="O28" i="2" s="1"/>
  <c r="O33" i="2"/>
  <c r="Z26" i="2" l="1"/>
  <c r="Z28" i="2" s="1"/>
  <c r="Z33" i="2"/>
  <c r="AF13" i="2"/>
  <c r="AE23" i="2"/>
  <c r="AE24" i="2" s="1"/>
  <c r="AE26" i="2" s="1"/>
  <c r="AC26" i="2"/>
  <c r="AC28" i="2" s="1"/>
  <c r="AA26" i="2"/>
  <c r="AA28" i="2" s="1"/>
  <c r="AA33" i="2"/>
  <c r="AG13" i="2" l="1"/>
  <c r="AF23" i="2"/>
  <c r="AF24" i="2" s="1"/>
  <c r="AF26" i="2" s="1"/>
  <c r="AH13" i="2" l="1"/>
  <c r="AG23" i="2"/>
  <c r="AG24" i="2" s="1"/>
  <c r="AG26" i="2" s="1"/>
  <c r="AI13" i="2" l="1"/>
  <c r="AH23" i="2"/>
  <c r="AH24" i="2" l="1"/>
  <c r="AH26" i="2"/>
  <c r="AJ13" i="2"/>
  <c r="AI23" i="2"/>
  <c r="AI24" i="2" s="1"/>
  <c r="AI26" i="2" s="1"/>
  <c r="AK13" i="2" l="1"/>
  <c r="AJ23" i="2"/>
  <c r="AJ24" i="2" s="1"/>
  <c r="AJ26" i="2" s="1"/>
  <c r="AL13" i="2" l="1"/>
  <c r="AK23" i="2"/>
  <c r="AK24" i="2" s="1"/>
  <c r="AK26" i="2" s="1"/>
  <c r="AM13" i="2" l="1"/>
  <c r="AL23" i="2"/>
  <c r="AL24" i="2" s="1"/>
  <c r="AL26" i="2" s="1"/>
  <c r="AN13" i="2" l="1"/>
  <c r="AM23" i="2"/>
  <c r="AM24" i="2" l="1"/>
  <c r="AM26" i="2" s="1"/>
  <c r="AO13" i="2"/>
  <c r="AN23" i="2"/>
  <c r="AN24" i="2" s="1"/>
  <c r="AN26" i="2" s="1"/>
  <c r="AO23" i="2" l="1"/>
  <c r="AO24" i="2" s="1"/>
  <c r="AO26" i="2" s="1"/>
  <c r="AP13" i="2"/>
  <c r="AP23" i="2" l="1"/>
  <c r="AQ13" i="2"/>
  <c r="AP24" i="2" l="1"/>
  <c r="AP26" i="2"/>
  <c r="AR13" i="2"/>
  <c r="AQ23" i="2"/>
  <c r="AQ24" i="2" l="1"/>
  <c r="AQ26" i="2" s="1"/>
  <c r="AS13" i="2"/>
  <c r="AR23" i="2"/>
  <c r="AR24" i="2" l="1"/>
  <c r="AR26" i="2"/>
  <c r="AT13" i="2"/>
  <c r="AS23" i="2"/>
  <c r="AS24" i="2" l="1"/>
  <c r="AS26" i="2"/>
  <c r="AU13" i="2"/>
  <c r="AT23" i="2"/>
  <c r="AT24" i="2" l="1"/>
  <c r="AT26" i="2"/>
  <c r="AV13" i="2"/>
  <c r="AU23" i="2"/>
  <c r="AU24" i="2" s="1"/>
  <c r="AU26" i="2" s="1"/>
  <c r="AW13" i="2" l="1"/>
  <c r="AV23" i="2"/>
  <c r="AV24" i="2" l="1"/>
  <c r="AV26" i="2" s="1"/>
  <c r="AX13" i="2"/>
  <c r="AW23" i="2"/>
  <c r="AW24" i="2" l="1"/>
  <c r="AW26" i="2"/>
  <c r="AX23" i="2"/>
  <c r="AY13" i="2"/>
  <c r="AX24" i="2" l="1"/>
  <c r="AX26" i="2"/>
  <c r="AY23" i="2"/>
  <c r="AZ13" i="2"/>
  <c r="AY24" i="2" l="1"/>
  <c r="AY26" i="2" s="1"/>
  <c r="BA13" i="2"/>
  <c r="AZ23" i="2"/>
  <c r="AZ24" i="2" l="1"/>
  <c r="AZ26" i="2"/>
  <c r="BB13" i="2"/>
  <c r="BA23" i="2"/>
  <c r="BA24" i="2" l="1"/>
  <c r="BA26" i="2"/>
  <c r="BC13" i="2"/>
  <c r="BB23" i="2"/>
  <c r="BB24" i="2" s="1"/>
  <c r="BB26" i="2" s="1"/>
  <c r="BC23" i="2" l="1"/>
  <c r="BD13" i="2"/>
  <c r="BD23" i="2" s="1"/>
  <c r="BD24" i="2" s="1"/>
  <c r="BD26" i="2" s="1"/>
  <c r="BC24" i="2" l="1"/>
  <c r="BC26" i="2" s="1"/>
  <c r="AA46" i="2" s="1"/>
  <c r="AA49" i="2" s="1"/>
</calcChain>
</file>

<file path=xl/sharedStrings.xml><?xml version="1.0" encoding="utf-8"?>
<sst xmlns="http://schemas.openxmlformats.org/spreadsheetml/2006/main" count="96" uniqueCount="75">
  <si>
    <t xml:space="preserve">Ticker </t>
  </si>
  <si>
    <t>Price</t>
  </si>
  <si>
    <t xml:space="preserve">Shares Outstanding </t>
  </si>
  <si>
    <t xml:space="preserve">Market Cap </t>
  </si>
  <si>
    <t xml:space="preserve">Cash </t>
  </si>
  <si>
    <t xml:space="preserve">Debt </t>
  </si>
  <si>
    <t xml:space="preserve">EV </t>
  </si>
  <si>
    <t xml:space="preserve">Net EV </t>
  </si>
  <si>
    <t xml:space="preserve">WMT </t>
  </si>
  <si>
    <t>thousands</t>
  </si>
  <si>
    <t>millions</t>
  </si>
  <si>
    <t xml:space="preserve">Revenues </t>
  </si>
  <si>
    <t>COGS</t>
  </si>
  <si>
    <t>Operating + SG&amp;A</t>
  </si>
  <si>
    <t xml:space="preserve">Gross Profit </t>
  </si>
  <si>
    <t>Interest</t>
  </si>
  <si>
    <t xml:space="preserve">Finance Lease </t>
  </si>
  <si>
    <t xml:space="preserve">Interest income </t>
  </si>
  <si>
    <t xml:space="preserve">interest, net </t>
  </si>
  <si>
    <t xml:space="preserve">other </t>
  </si>
  <si>
    <t xml:space="preserve">Income before taxes </t>
  </si>
  <si>
    <t>Taxes</t>
  </si>
  <si>
    <t xml:space="preserve">Net Income </t>
  </si>
  <si>
    <t xml:space="preserve">EPS </t>
  </si>
  <si>
    <t xml:space="preserve">Shares </t>
  </si>
  <si>
    <t xml:space="preserve">Gross Margin % </t>
  </si>
  <si>
    <t xml:space="preserve">Revenue YoY </t>
  </si>
  <si>
    <t>Q1 2020</t>
  </si>
  <si>
    <t>Q2 2020</t>
  </si>
  <si>
    <t>Q3 2020</t>
  </si>
  <si>
    <t xml:space="preserve">Q4 2020 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</si>
  <si>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</si>
  <si>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</si>
  <si>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</si>
  <si>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</si>
  <si>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</si>
  <si>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</si>
  <si>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</si>
  <si>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</si>
  <si>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</si>
  <si>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</si>
  <si>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</si>
  <si>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</si>
  <si>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</si>
  <si>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</si>
  <si>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</si>
  <si>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</si>
  <si>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 xml:space="preserve">April </t>
  </si>
  <si>
    <t xml:space="preserve">attrib to nci </t>
  </si>
  <si>
    <t xml:space="preserve">January </t>
  </si>
  <si>
    <t xml:space="preserve">October </t>
  </si>
  <si>
    <t xml:space="preserve">July </t>
  </si>
  <si>
    <t xml:space="preserve">Net Sales by Merchandise Category </t>
  </si>
  <si>
    <t xml:space="preserve">Grocery </t>
  </si>
  <si>
    <t>General Merchandise</t>
  </si>
  <si>
    <t>Health &amp; Wellness</t>
  </si>
  <si>
    <t xml:space="preserve">Other Categories </t>
  </si>
  <si>
    <t xml:space="preserve">Total </t>
  </si>
  <si>
    <t>Margin</t>
  </si>
  <si>
    <t>Operating Expenses</t>
  </si>
  <si>
    <t>TOI</t>
  </si>
  <si>
    <t xml:space="preserve">Tax Rate </t>
  </si>
  <si>
    <t>Assumptions</t>
  </si>
  <si>
    <t>Revenue YoY</t>
  </si>
  <si>
    <t>What the Market Thinks</t>
  </si>
  <si>
    <t xml:space="preserve">Maturity </t>
  </si>
  <si>
    <t xml:space="preserve">Discount Rate </t>
  </si>
  <si>
    <t>NPV</t>
  </si>
  <si>
    <t>Net NPV</t>
  </si>
  <si>
    <t>Share Price</t>
  </si>
  <si>
    <t xml:space="preserve">Current Price </t>
  </si>
  <si>
    <t xml:space="preserve">Avg Growth </t>
  </si>
  <si>
    <t xml:space="preserve">Avg Tax Rate </t>
  </si>
  <si>
    <t>Data</t>
  </si>
  <si>
    <t>Interest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</si>
</sst>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4" formatCode="[$$-409]#,##0"/>
    <numFmt numFmtId="165" formatCode="[$$-409]#,##0.00"/>
    <numFmt numFmtId="166" formatCode="0.0000%"/>
    <numFmt numFmtId="167" formatCode="[$$-409]#,##0.00_);[Red]\([$$-409]#,##0.00\)"/>
  </numFmts>
  <fonts count="4" x14ac:knownFonts="1">
    <font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3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left" indent="1"/>
    </xf>
    <xf numFmtId="3" fontId="2" fillId="0" borderId="0" xfId="0" applyNumberFormat="1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/>
    <xf numFmtId="9" fontId="0" fillId="0" borderId="0" xfId="0" applyNumberFormat="1"/>
    <xf numFmtId="10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 applyAlignment="1">
      <alignment horizontal="center"/>
    </xf>
    <xf numFmtId="166" fontId="0" fillId="0" borderId="0" xfId="0" applyNumberFormat="1"/>
    <xf numFmtId="164" fontId="2" fillId="2" borderId="0" xfId="0" applyNumberFormat="1" applyFont="1" applyFill="1"/>
    <xf numFmtId="10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right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8" fontId="0" fillId="3" borderId="0" xfId="0" applyNumberFormat="1" applyFill="1" applyAlignment="1">
      <alignment horizontal="right"/>
    </xf>
    <xf numFmtId="167" fontId="0" fillId="3" borderId="0" xfId="0" applyNumberFormat="1" applyFill="1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CFFD9A-2D0B-B544-82BF-A740120F1DDA}" name="Table1" displayName="Table1" ref="Z43:AA52" totalsRowShown="0">
  <autoFilter ref="Z43:AA52" xr:uid="{9CCFFD9A-2D0B-B544-82BF-A740120F1DDA}"/>
  <tableColumns count="2">
    <tableColumn id="1" xr3:uid="{C17E8FE4-0F83-9944-A64C-7D3E139AAD1C}" name="What the Market Thinks"/>
    <tableColumn id="2" xr3:uid="{1271B9D8-89E7-5149-AA3D-BFBE884BC7F4}" name="Dat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3D0232-A5E8-C94F-9F7A-14C4D7949F86}" name="Table2" displayName="Table2" ref="Z36:AA41" totalsRowShown="0">
  <autoFilter ref="Z36:AA41" xr:uid="{F83D0232-A5E8-C94F-9F7A-14C4D7949F86}"/>
  <tableColumns count="2">
    <tableColumn id="1" xr3:uid="{98386BFD-2DD5-A243-B4E7-24F758D888A7}" name="Assumptions"/>
    <tableColumn id="2" xr3:uid="{0E9B0C3F-21D6-8D4A-B951-99C705A62889}" name="Data" dataDxfId="0">
      <calculatedColumnFormula>AVERAGE(D32:V32)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6852-3258-7E49-A2FF-AC50F676E0A0}">
  <dimension ref="B3:D11"/>
  <sheetViews>
    <sheetView tabSelected="1" workbookViewId="0">
      <selection activeCell="F7" sqref="F7"/>
    </sheetView>
  </sheetViews>
  <sheetFormatPr baseColWidth="10" defaultRowHeight="16" x14ac:dyDescent="0.2"/>
  <cols>
    <col min="2" max="2" width="17.33203125" bestFit="1" customWidth="1"/>
    <col min="3" max="3" width="13.6640625" bestFit="1" customWidth="1"/>
  </cols>
  <sheetData>
    <row r="3" spans="2:4" x14ac:dyDescent="0.2">
      <c r="B3" t="s">
        <v>0</v>
      </c>
      <c r="C3" t="s">
        <v>8</v>
      </c>
    </row>
    <row r="4" spans="2:4" x14ac:dyDescent="0.2">
      <c r="B4" t="s">
        <v>1</v>
      </c>
      <c r="C4">
        <v>69.239999999999995</v>
      </c>
    </row>
    <row r="5" spans="2:4" x14ac:dyDescent="0.2">
      <c r="B5" t="s">
        <v>2</v>
      </c>
      <c r="C5" s="1">
        <v>8043</v>
      </c>
    </row>
    <row r="6" spans="2:4" x14ac:dyDescent="0.2">
      <c r="B6" t="s">
        <v>3</v>
      </c>
      <c r="C6" s="2">
        <f>C5*C4</f>
        <v>556897.31999999995</v>
      </c>
      <c r="D6" t="s">
        <v>9</v>
      </c>
    </row>
    <row r="7" spans="2:4" x14ac:dyDescent="0.2">
      <c r="B7" t="s">
        <v>4</v>
      </c>
      <c r="C7">
        <v>9405</v>
      </c>
      <c r="D7" t="s">
        <v>10</v>
      </c>
    </row>
    <row r="8" spans="2:4" x14ac:dyDescent="0.2">
      <c r="B8" t="s">
        <v>5</v>
      </c>
      <c r="C8">
        <f>1865+35928</f>
        <v>37793</v>
      </c>
    </row>
    <row r="9" spans="2:4" x14ac:dyDescent="0.2">
      <c r="B9" t="s">
        <v>6</v>
      </c>
      <c r="C9" s="2">
        <f>C6-C8+C7</f>
        <v>528509.31999999995</v>
      </c>
    </row>
    <row r="11" spans="2:4" x14ac:dyDescent="0.2">
      <c r="B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96CD-0DEE-B848-8487-45DC689441EA}">
  <dimension ref="C4:BM52"/>
  <sheetViews>
    <sheetView topLeftCell="C1" zoomScale="83" workbookViewId="0">
      <pane xSplit="1" ySplit="5" topLeftCell="S11" activePane="bottomRight" state="frozen"/>
      <selection activeCell="C1" sqref="C1"/>
      <selection pane="topRight" activeCell="D1" sqref="D1"/>
      <selection pane="bottomLeft" activeCell="C6" sqref="C6"/>
      <selection pane="bottomRight" activeCell="AA49" sqref="AA49"/>
    </sheetView>
  </sheetViews>
  <sheetFormatPr baseColWidth="10" defaultRowHeight="16" x14ac:dyDescent="0.2"/>
  <cols>
    <col min="3" max="3" width="30.33203125" bestFit="1" customWidth="1"/>
    <col min="20" max="20" width="11.1640625" customWidth="1"/>
    <col min="26" max="26" width="23" bestFit="1" customWidth="1"/>
    <col min="27" max="27" width="18.1640625" bestFit="1" customWidth="1"/>
    <col min="28" max="28" width="11" customWidth="1"/>
    <col min="30" max="30" width="11.1640625" bestFit="1" customWidth="1"/>
    <col min="40" max="56" width="12.6640625" bestFit="1" customWidth="1"/>
  </cols>
  <sheetData>
    <row r="4" spans="3:65" x14ac:dyDescent="0.2">
      <c r="D4" s="17" t="s">
        <v>47</v>
      </c>
      <c r="E4" s="17" t="s">
        <v>51</v>
      </c>
      <c r="F4" s="17" t="s">
        <v>50</v>
      </c>
      <c r="G4" s="17" t="s">
        <v>49</v>
      </c>
      <c r="H4" s="17" t="s">
        <v>47</v>
      </c>
      <c r="I4" s="17" t="s">
        <v>51</v>
      </c>
      <c r="J4" s="17" t="s">
        <v>50</v>
      </c>
      <c r="K4" s="17" t="s">
        <v>49</v>
      </c>
      <c r="L4" s="17" t="s">
        <v>47</v>
      </c>
      <c r="M4" s="17" t="s">
        <v>51</v>
      </c>
      <c r="N4" s="17" t="s">
        <v>50</v>
      </c>
      <c r="O4" s="17" t="s">
        <v>49</v>
      </c>
      <c r="P4" s="17" t="s">
        <v>47</v>
      </c>
      <c r="Q4" s="17" t="s">
        <v>51</v>
      </c>
      <c r="R4" s="17" t="s">
        <v>50</v>
      </c>
      <c r="S4" s="17" t="s">
        <v>49</v>
      </c>
      <c r="T4" s="17" t="s">
        <v>47</v>
      </c>
      <c r="U4" s="17" t="s">
        <v>51</v>
      </c>
      <c r="V4" s="17" t="s">
        <v>50</v>
      </c>
      <c r="W4" s="17" t="s">
        <v>49</v>
      </c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3:65" x14ac:dyDescent="0.2">
      <c r="D5" s="18" t="s">
        <v>27</v>
      </c>
      <c r="E5" s="18" t="s">
        <v>28</v>
      </c>
      <c r="F5" s="19" t="s">
        <v>29</v>
      </c>
      <c r="G5" s="19" t="s">
        <v>30</v>
      </c>
      <c r="H5" s="19" t="s">
        <v>31</v>
      </c>
      <c r="I5" s="19" t="s">
        <v>32</v>
      </c>
      <c r="J5" s="19" t="s">
        <v>33</v>
      </c>
      <c r="K5" s="19" t="s">
        <v>34</v>
      </c>
      <c r="L5" s="19" t="s">
        <v>35</v>
      </c>
      <c r="M5" s="19" t="s">
        <v>36</v>
      </c>
      <c r="N5" s="19" t="s">
        <v>37</v>
      </c>
      <c r="O5" s="19" t="s">
        <v>38</v>
      </c>
      <c r="P5" s="19" t="s">
        <v>39</v>
      </c>
      <c r="Q5" s="19" t="s">
        <v>40</v>
      </c>
      <c r="R5" s="19" t="s">
        <v>41</v>
      </c>
      <c r="S5" s="19" t="s">
        <v>42</v>
      </c>
      <c r="T5" s="19" t="s">
        <v>43</v>
      </c>
      <c r="U5" s="19" t="s">
        <v>44</v>
      </c>
      <c r="V5" s="19" t="s">
        <v>45</v>
      </c>
      <c r="W5" s="19" t="s">
        <v>46</v>
      </c>
      <c r="Z5" s="17">
        <v>2020</v>
      </c>
      <c r="AA5" s="17">
        <v>2021</v>
      </c>
      <c r="AB5" s="17">
        <v>2022</v>
      </c>
      <c r="AC5" s="17">
        <v>2023</v>
      </c>
      <c r="AD5" s="17">
        <v>2024</v>
      </c>
      <c r="AE5" s="17">
        <v>2025</v>
      </c>
      <c r="AF5" s="17">
        <v>2026</v>
      </c>
      <c r="AG5" s="17">
        <v>2027</v>
      </c>
      <c r="AH5" s="17">
        <v>2028</v>
      </c>
      <c r="AI5" s="17">
        <v>2029</v>
      </c>
      <c r="AJ5" s="17">
        <v>2030</v>
      </c>
      <c r="AK5" s="17">
        <v>2031</v>
      </c>
      <c r="AL5" s="17">
        <v>2032</v>
      </c>
      <c r="AM5" s="17">
        <v>2033</v>
      </c>
      <c r="AN5" s="17">
        <v>2034</v>
      </c>
      <c r="AO5" s="17">
        <v>2035</v>
      </c>
      <c r="AP5" s="17">
        <v>2036</v>
      </c>
      <c r="AQ5" s="17">
        <v>2037</v>
      </c>
      <c r="AR5" s="17">
        <v>2038</v>
      </c>
      <c r="AS5" s="17">
        <v>2039</v>
      </c>
      <c r="AT5" s="17">
        <v>2040</v>
      </c>
      <c r="AU5" s="17">
        <v>2041</v>
      </c>
      <c r="AV5" s="17">
        <v>2042</v>
      </c>
      <c r="AW5" s="17">
        <v>2043</v>
      </c>
      <c r="AX5" s="17">
        <v>2044</v>
      </c>
      <c r="AY5" s="17">
        <v>2045</v>
      </c>
      <c r="AZ5" s="17">
        <v>2046</v>
      </c>
      <c r="BA5" s="17">
        <v>2047</v>
      </c>
      <c r="BB5" s="17">
        <v>2048</v>
      </c>
      <c r="BC5" s="17">
        <v>2049</v>
      </c>
      <c r="BD5" s="17">
        <v>2050</v>
      </c>
      <c r="BE5" s="17">
        <v>2051</v>
      </c>
      <c r="BF5" s="17">
        <v>2052</v>
      </c>
      <c r="BG5" s="17">
        <v>2053</v>
      </c>
      <c r="BH5" s="17">
        <v>2054</v>
      </c>
      <c r="BI5" s="17">
        <v>2055</v>
      </c>
      <c r="BJ5" s="17">
        <v>2056</v>
      </c>
      <c r="BK5" s="17">
        <v>2057</v>
      </c>
      <c r="BL5" s="17">
        <v>2058</v>
      </c>
      <c r="BM5" s="17">
        <v>2059</v>
      </c>
    </row>
    <row r="6" spans="3:65" x14ac:dyDescent="0.2">
      <c r="C6" s="12" t="s">
        <v>52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</row>
    <row r="7" spans="3:65" x14ac:dyDescent="0.2">
      <c r="C7" s="13" t="s">
        <v>53</v>
      </c>
      <c r="D7" s="11">
        <v>52921</v>
      </c>
      <c r="E7" s="11">
        <v>51545</v>
      </c>
      <c r="F7" s="11">
        <v>50683</v>
      </c>
      <c r="G7" s="11"/>
      <c r="H7" s="11">
        <v>51391</v>
      </c>
      <c r="I7" s="11">
        <v>54649</v>
      </c>
      <c r="J7" s="11">
        <v>55560</v>
      </c>
      <c r="K7" s="11"/>
      <c r="L7" s="11">
        <v>56764</v>
      </c>
      <c r="M7" s="11">
        <v>61469</v>
      </c>
      <c r="N7" s="11">
        <v>63231</v>
      </c>
      <c r="O7" s="11"/>
      <c r="P7" s="11">
        <v>63407</v>
      </c>
      <c r="Q7" s="11">
        <v>66240</v>
      </c>
      <c r="R7" s="11">
        <v>66289</v>
      </c>
      <c r="S7" s="11"/>
      <c r="T7" s="11">
        <v>66431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</row>
    <row r="8" spans="3:65" x14ac:dyDescent="0.2">
      <c r="C8" s="13" t="s">
        <v>54</v>
      </c>
      <c r="D8" s="11">
        <v>25466</v>
      </c>
      <c r="E8" s="11">
        <v>31682</v>
      </c>
      <c r="F8" s="11">
        <v>26927</v>
      </c>
      <c r="G8" s="11"/>
      <c r="H8" s="11">
        <v>30607</v>
      </c>
      <c r="I8" s="11">
        <v>31707</v>
      </c>
      <c r="J8" s="11">
        <v>28544</v>
      </c>
      <c r="K8" s="11"/>
      <c r="L8" s="11">
        <v>27379</v>
      </c>
      <c r="M8" s="11">
        <v>30073</v>
      </c>
      <c r="N8" s="11">
        <v>27605</v>
      </c>
      <c r="O8" s="11"/>
      <c r="P8" s="11">
        <v>25765</v>
      </c>
      <c r="Q8" s="11">
        <v>29076</v>
      </c>
      <c r="R8" s="11">
        <v>26579</v>
      </c>
      <c r="S8" s="11"/>
      <c r="T8" s="11">
        <v>25711</v>
      </c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</row>
    <row r="9" spans="3:65" x14ac:dyDescent="0.2">
      <c r="C9" s="13" t="s">
        <v>55</v>
      </c>
      <c r="D9" s="11">
        <v>9600</v>
      </c>
      <c r="E9" s="11">
        <v>9154</v>
      </c>
      <c r="F9" s="11">
        <v>9806</v>
      </c>
      <c r="G9" s="11"/>
      <c r="H9" s="11">
        <v>9970</v>
      </c>
      <c r="I9" s="11">
        <v>10480</v>
      </c>
      <c r="J9" s="11">
        <v>11030</v>
      </c>
      <c r="K9" s="11"/>
      <c r="L9" s="11">
        <v>10894</v>
      </c>
      <c r="M9" s="11">
        <v>11331</v>
      </c>
      <c r="N9" s="11">
        <v>11947</v>
      </c>
      <c r="O9" s="11"/>
      <c r="P9" s="11">
        <v>12848</v>
      </c>
      <c r="Q9" s="11">
        <v>13374</v>
      </c>
      <c r="R9" s="11">
        <v>14173</v>
      </c>
      <c r="S9" s="11"/>
      <c r="T9" s="11">
        <v>14249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3:65" x14ac:dyDescent="0.2">
      <c r="C10" s="13" t="s">
        <v>56</v>
      </c>
      <c r="D10" s="11">
        <v>746</v>
      </c>
      <c r="E10" s="11">
        <v>901</v>
      </c>
      <c r="F10" s="11">
        <v>937</v>
      </c>
      <c r="G10" s="11"/>
      <c r="H10" s="11">
        <v>1199</v>
      </c>
      <c r="I10" s="11">
        <v>1356</v>
      </c>
      <c r="J10" s="11">
        <v>1475</v>
      </c>
      <c r="K10" s="11"/>
      <c r="L10" s="11">
        <v>1867</v>
      </c>
      <c r="M10" s="11">
        <v>2257</v>
      </c>
      <c r="N10" s="11">
        <v>1992</v>
      </c>
      <c r="O10" s="11"/>
      <c r="P10" s="11">
        <v>1881</v>
      </c>
      <c r="Q10" s="11">
        <v>2164</v>
      </c>
      <c r="R10" s="11">
        <v>2378</v>
      </c>
      <c r="S10" s="11"/>
      <c r="T10" s="11">
        <v>2279</v>
      </c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</row>
    <row r="11" spans="3:65" x14ac:dyDescent="0.2">
      <c r="C11" s="12" t="s">
        <v>57</v>
      </c>
      <c r="D11" s="14">
        <f>SUM(D7:D10)</f>
        <v>88733</v>
      </c>
      <c r="E11" s="14">
        <f>SUM(E7:E10)</f>
        <v>93282</v>
      </c>
      <c r="F11" s="14">
        <f>SUM(F7:F10)</f>
        <v>88353</v>
      </c>
      <c r="G11" s="11"/>
      <c r="H11" s="14">
        <f>SUM(H7:H10)</f>
        <v>93167</v>
      </c>
      <c r="I11" s="14">
        <f>SUM(I7:I10)</f>
        <v>98192</v>
      </c>
      <c r="J11" s="14">
        <f>SUM(J7:J10)</f>
        <v>96609</v>
      </c>
      <c r="K11" s="11"/>
      <c r="L11" s="14">
        <f>SUM(L7:L10)</f>
        <v>96904</v>
      </c>
      <c r="M11" s="14">
        <f>SUM(M7:M10)</f>
        <v>105130</v>
      </c>
      <c r="N11" s="14">
        <f>SUM(N7:N10)</f>
        <v>104775</v>
      </c>
      <c r="O11" s="11"/>
      <c r="P11" s="14">
        <f>SUM(P7:P10)</f>
        <v>103901</v>
      </c>
      <c r="Q11" s="14">
        <f>SUM(Q7:Q10)</f>
        <v>110854</v>
      </c>
      <c r="R11" s="14">
        <f>SUM(R7:R10)</f>
        <v>109419</v>
      </c>
      <c r="S11" s="11"/>
      <c r="T11" s="14">
        <f>SUM(T7:T10)</f>
        <v>108670</v>
      </c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</row>
    <row r="12" spans="3:65" x14ac:dyDescent="0.2"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</row>
    <row r="13" spans="3:65" x14ac:dyDescent="0.2">
      <c r="C13" s="4" t="s">
        <v>11</v>
      </c>
      <c r="D13" s="7">
        <v>134622</v>
      </c>
      <c r="E13" s="7">
        <v>137742</v>
      </c>
      <c r="F13" s="7">
        <v>134708</v>
      </c>
      <c r="G13" s="7">
        <f>572754-SUM(D13:F13)</f>
        <v>165682</v>
      </c>
      <c r="H13" s="7">
        <v>138310</v>
      </c>
      <c r="I13" s="7">
        <v>141048</v>
      </c>
      <c r="J13" s="7">
        <v>140525</v>
      </c>
      <c r="K13" s="7">
        <f>648125-SUM(H13:J13)</f>
        <v>228242</v>
      </c>
      <c r="L13" s="7">
        <v>141569</v>
      </c>
      <c r="M13" s="7">
        <v>152859</v>
      </c>
      <c r="N13" s="7">
        <v>152813</v>
      </c>
      <c r="O13" s="7">
        <f>611289-SUM(L13:N13)</f>
        <v>164048</v>
      </c>
      <c r="P13" s="7">
        <v>152301</v>
      </c>
      <c r="Q13" s="7">
        <v>161632</v>
      </c>
      <c r="R13" s="7">
        <v>160804</v>
      </c>
      <c r="S13" s="7">
        <f>648125-SUM(P13:R13)</f>
        <v>173388</v>
      </c>
      <c r="T13" s="7">
        <v>161508</v>
      </c>
      <c r="U13" s="7">
        <v>0</v>
      </c>
      <c r="V13" s="7">
        <v>0</v>
      </c>
      <c r="W13" s="7">
        <f>648125-SUM(T13:V13)</f>
        <v>486617</v>
      </c>
      <c r="Z13" s="8">
        <f>SUM(D13:G13)</f>
        <v>572754</v>
      </c>
      <c r="AA13" s="8">
        <f>SUM(H13:K13)</f>
        <v>648125</v>
      </c>
      <c r="AB13" s="8">
        <f>SUM(L13:O13)</f>
        <v>611289</v>
      </c>
      <c r="AC13" s="8">
        <f>SUM(P13:S13)</f>
        <v>648125</v>
      </c>
      <c r="AD13" s="23">
        <f>AC13*1.05</f>
        <v>680531.25</v>
      </c>
      <c r="AE13" s="23">
        <f t="shared" ref="AE13:AN13" si="0">AD13*1.05</f>
        <v>714557.8125</v>
      </c>
      <c r="AF13" s="23">
        <f t="shared" si="0"/>
        <v>750285.703125</v>
      </c>
      <c r="AG13" s="23">
        <f t="shared" si="0"/>
        <v>787799.98828125</v>
      </c>
      <c r="AH13" s="23">
        <f t="shared" si="0"/>
        <v>827189.98769531259</v>
      </c>
      <c r="AI13" s="23">
        <f t="shared" si="0"/>
        <v>868549.48708007822</v>
      </c>
      <c r="AJ13" s="23">
        <f t="shared" si="0"/>
        <v>911976.96143408213</v>
      </c>
      <c r="AK13" s="23">
        <f t="shared" si="0"/>
        <v>957575.80950578628</v>
      </c>
      <c r="AL13" s="23">
        <f t="shared" si="0"/>
        <v>1005454.5999810756</v>
      </c>
      <c r="AM13" s="23">
        <f t="shared" si="0"/>
        <v>1055727.3299801294</v>
      </c>
      <c r="AN13" s="23">
        <f t="shared" si="0"/>
        <v>1108513.6964791359</v>
      </c>
      <c r="AO13" s="23">
        <f>AN13*1.02</f>
        <v>1130683.9704087186</v>
      </c>
      <c r="AP13" s="23">
        <f t="shared" ref="AP13:AX13" si="1">AO13*1.02</f>
        <v>1153297.649816893</v>
      </c>
      <c r="AQ13" s="23">
        <f t="shared" si="1"/>
        <v>1176363.6028132308</v>
      </c>
      <c r="AR13" s="23">
        <f t="shared" si="1"/>
        <v>1199890.8748694954</v>
      </c>
      <c r="AS13" s="23">
        <f t="shared" si="1"/>
        <v>1223888.6923668853</v>
      </c>
      <c r="AT13" s="23">
        <f t="shared" si="1"/>
        <v>1248366.4662142231</v>
      </c>
      <c r="AU13" s="23">
        <f t="shared" si="1"/>
        <v>1273333.7955385076</v>
      </c>
      <c r="AV13" s="23">
        <f t="shared" si="1"/>
        <v>1298800.4714492778</v>
      </c>
      <c r="AW13" s="23">
        <f t="shared" si="1"/>
        <v>1324776.4808782635</v>
      </c>
      <c r="AX13" s="23">
        <f t="shared" si="1"/>
        <v>1351272.0104958287</v>
      </c>
      <c r="AY13" s="23">
        <f>AX13*1.01</f>
        <v>1364784.7306007871</v>
      </c>
      <c r="AZ13" s="23">
        <f t="shared" ref="AZ13:BB13" si="2">AY13*1.01</f>
        <v>1378432.5779067951</v>
      </c>
      <c r="BA13" s="23">
        <f t="shared" si="2"/>
        <v>1392216.9036858631</v>
      </c>
      <c r="BB13" s="23">
        <f t="shared" si="2"/>
        <v>1406139.0727227218</v>
      </c>
      <c r="BC13" s="23">
        <f>BB13*1.005</f>
        <v>1413169.7680863354</v>
      </c>
      <c r="BD13" s="23">
        <f t="shared" ref="BD13" si="3">BC13*1.005</f>
        <v>1420235.6169267669</v>
      </c>
      <c r="BE13" s="23">
        <f t="shared" ref="BE13" si="4">BD13*1.01</f>
        <v>1434437.9730960347</v>
      </c>
      <c r="BF13" s="23">
        <f t="shared" ref="BF13:BM13" si="5">BE13*1.005</f>
        <v>1441610.1629615147</v>
      </c>
      <c r="BG13" s="23">
        <f t="shared" si="5"/>
        <v>1448818.2137763221</v>
      </c>
      <c r="BH13" s="23">
        <f t="shared" ref="BH13" si="6">BG13*1.01</f>
        <v>1463306.3959140852</v>
      </c>
      <c r="BI13" s="23">
        <f t="shared" ref="BI13" si="7">BH13*1.005</f>
        <v>1470622.9278936554</v>
      </c>
      <c r="BJ13" s="23">
        <f t="shared" si="5"/>
        <v>1477976.0425331234</v>
      </c>
      <c r="BK13" s="23">
        <f t="shared" ref="BK13" si="8">BJ13*1.01</f>
        <v>1492755.8029584547</v>
      </c>
      <c r="BL13" s="23">
        <f t="shared" ref="BL13" si="9">BK13*1.005</f>
        <v>1500219.5819732468</v>
      </c>
      <c r="BM13" s="23">
        <f t="shared" si="5"/>
        <v>1507720.6798831129</v>
      </c>
    </row>
    <row r="14" spans="3:65" x14ac:dyDescent="0.2">
      <c r="C14" s="4" t="s">
        <v>12</v>
      </c>
      <c r="D14" s="8">
        <v>102026</v>
      </c>
      <c r="E14" s="8">
        <v>102689</v>
      </c>
      <c r="F14" s="8">
        <v>100339</v>
      </c>
      <c r="G14" s="8">
        <f>429000-SUM(D14:F14)</f>
        <v>123946</v>
      </c>
      <c r="H14" s="8">
        <v>103272</v>
      </c>
      <c r="I14" s="8">
        <v>105183</v>
      </c>
      <c r="J14" s="8">
        <v>105023</v>
      </c>
      <c r="K14" s="8">
        <f>490142-SUM(H14:J14)</f>
        <v>176664</v>
      </c>
      <c r="L14" s="8">
        <v>106847</v>
      </c>
      <c r="M14" s="8">
        <v>115838</v>
      </c>
      <c r="N14" s="8">
        <v>115613</v>
      </c>
      <c r="O14" s="8">
        <f>463721-SUM(L14:N14)</f>
        <v>125423</v>
      </c>
      <c r="P14" s="8">
        <v>115284</v>
      </c>
      <c r="Q14" s="8">
        <v>121850</v>
      </c>
      <c r="R14" s="8">
        <v>121183</v>
      </c>
      <c r="S14" s="8">
        <f>490142-SUM(P14:R14)</f>
        <v>131825</v>
      </c>
      <c r="T14" s="8">
        <v>121431</v>
      </c>
      <c r="U14" s="8">
        <v>0</v>
      </c>
      <c r="V14" s="8">
        <v>0</v>
      </c>
      <c r="W14" s="8">
        <f>490142-SUM(T14:V14)</f>
        <v>368711</v>
      </c>
      <c r="Z14" s="8">
        <f t="shared" ref="Z14:AC14" si="10">SUM(D14:G14)</f>
        <v>429000</v>
      </c>
      <c r="AA14" s="8">
        <f t="shared" si="10"/>
        <v>430246</v>
      </c>
      <c r="AB14" s="8">
        <f t="shared" si="10"/>
        <v>432740</v>
      </c>
      <c r="AC14" s="8">
        <f t="shared" si="10"/>
        <v>437424</v>
      </c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</row>
    <row r="15" spans="3:65" x14ac:dyDescent="0.2">
      <c r="C15" s="5" t="s">
        <v>13</v>
      </c>
      <c r="D15" s="8">
        <v>27372</v>
      </c>
      <c r="E15" s="8">
        <v>28994</v>
      </c>
      <c r="F15" s="8">
        <v>28591</v>
      </c>
      <c r="G15" s="8">
        <f>117812-SUM(D15:F15)</f>
        <v>32855</v>
      </c>
      <c r="H15" s="8">
        <v>28129</v>
      </c>
      <c r="I15" s="8">
        <v>28511</v>
      </c>
      <c r="J15" s="8">
        <v>29710</v>
      </c>
      <c r="K15" s="8">
        <f>130971-SUM(H15:J15)</f>
        <v>44621</v>
      </c>
      <c r="L15" s="8">
        <v>29404</v>
      </c>
      <c r="M15" s="8">
        <v>30167</v>
      </c>
      <c r="N15" s="8">
        <v>34505</v>
      </c>
      <c r="O15" s="8">
        <f>127140-SUM(L15:N15)</f>
        <v>33064</v>
      </c>
      <c r="P15" s="8">
        <v>30777</v>
      </c>
      <c r="Q15" s="8">
        <v>32466</v>
      </c>
      <c r="R15" s="8">
        <v>33419</v>
      </c>
      <c r="S15" s="8">
        <f>130971-SUM(P15:R15)</f>
        <v>34309</v>
      </c>
      <c r="T15" s="8">
        <v>33236</v>
      </c>
      <c r="U15" s="8">
        <v>0</v>
      </c>
      <c r="V15" s="8">
        <v>0</v>
      </c>
      <c r="W15" s="8">
        <f>130971-SUM(T15:V15)</f>
        <v>97735</v>
      </c>
      <c r="Z15" s="8">
        <f t="shared" ref="Z15" si="11">SUM(D15:G15)</f>
        <v>117812</v>
      </c>
      <c r="AA15" s="8">
        <f t="shared" ref="AA15" si="12">SUM(E15:H15)</f>
        <v>118569</v>
      </c>
      <c r="AB15" s="8">
        <f t="shared" ref="AB15" si="13">SUM(F15:I15)</f>
        <v>118086</v>
      </c>
      <c r="AC15" s="8">
        <f t="shared" ref="AC15" si="14">SUM(G15:J15)</f>
        <v>119205</v>
      </c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</row>
    <row r="16" spans="3:65" x14ac:dyDescent="0.2">
      <c r="C16" s="4" t="s">
        <v>14</v>
      </c>
      <c r="D16" s="7">
        <f t="shared" ref="D16" si="15">D13-SUM(D14:D15)</f>
        <v>5224</v>
      </c>
      <c r="E16" s="7">
        <f t="shared" ref="E16" si="16">E13-SUM(E14:E15)</f>
        <v>6059</v>
      </c>
      <c r="F16" s="7">
        <f t="shared" ref="F16:G16" si="17">F13-SUM(F14:F15)</f>
        <v>5778</v>
      </c>
      <c r="G16" s="7">
        <f t="shared" si="17"/>
        <v>8881</v>
      </c>
      <c r="H16" s="7">
        <f t="shared" ref="H16" si="18">H13-SUM(H14:H15)</f>
        <v>6909</v>
      </c>
      <c r="I16" s="7">
        <f t="shared" ref="I16" si="19">I13-SUM(I14:I15)</f>
        <v>7354</v>
      </c>
      <c r="J16" s="7">
        <f t="shared" ref="J16:K16" si="20">J13-SUM(J14:J15)</f>
        <v>5792</v>
      </c>
      <c r="K16" s="7">
        <f t="shared" si="20"/>
        <v>6957</v>
      </c>
      <c r="L16" s="7">
        <f t="shared" ref="L16" si="21">L13-SUM(L14:L15)</f>
        <v>5318</v>
      </c>
      <c r="M16" s="7">
        <f t="shared" ref="M16" si="22">M13-SUM(M14:M15)</f>
        <v>6854</v>
      </c>
      <c r="N16" s="7">
        <f t="shared" ref="N16:O16" si="23">N13-SUM(N14:N15)</f>
        <v>2695</v>
      </c>
      <c r="O16" s="7">
        <f t="shared" si="23"/>
        <v>5561</v>
      </c>
      <c r="P16" s="7">
        <f>P13-(SUM(P14:P15))</f>
        <v>6240</v>
      </c>
      <c r="Q16" s="7">
        <f t="shared" ref="Q16" si="24">Q13-SUM(Q14:Q15)</f>
        <v>7316</v>
      </c>
      <c r="R16" s="7">
        <f t="shared" ref="R16" si="25">R13-SUM(R14:R15)</f>
        <v>6202</v>
      </c>
      <c r="S16" s="7">
        <f t="shared" ref="S16" si="26">S13-SUM(S14:S15)</f>
        <v>7254</v>
      </c>
      <c r="T16" s="7">
        <f>T13-SUM(T14:T15)</f>
        <v>6841</v>
      </c>
      <c r="U16" s="7">
        <f t="shared" ref="U16" si="27">U13-SUM(U14:U15)</f>
        <v>0</v>
      </c>
      <c r="V16" s="7">
        <f t="shared" ref="V16:W16" si="28">V13-SUM(V14:V15)</f>
        <v>0</v>
      </c>
      <c r="W16" s="7">
        <f t="shared" si="28"/>
        <v>20171</v>
      </c>
      <c r="Z16" s="7">
        <f t="shared" ref="Z16:AB16" si="29">Z13-SUM(Z14:Z15)</f>
        <v>25942</v>
      </c>
      <c r="AA16" s="7">
        <f t="shared" si="29"/>
        <v>99310</v>
      </c>
      <c r="AB16" s="7">
        <f t="shared" si="29"/>
        <v>60463</v>
      </c>
      <c r="AC16" s="7">
        <f>AC13-SUM(AC14:AC15)</f>
        <v>91496</v>
      </c>
      <c r="AD16" s="24">
        <f>AD13*0.11</f>
        <v>74858.4375</v>
      </c>
      <c r="AE16" s="24">
        <f t="shared" ref="AE16:BM16" si="30">AE13*0.11</f>
        <v>78601.359375</v>
      </c>
      <c r="AF16" s="24">
        <f t="shared" si="30"/>
        <v>82531.427343749994</v>
      </c>
      <c r="AG16" s="24">
        <f t="shared" si="30"/>
        <v>86657.998710937507</v>
      </c>
      <c r="AH16" s="24">
        <f t="shared" si="30"/>
        <v>90990.898646484391</v>
      </c>
      <c r="AI16" s="24">
        <f t="shared" si="30"/>
        <v>95540.443578808612</v>
      </c>
      <c r="AJ16" s="24">
        <f t="shared" si="30"/>
        <v>100317.46575774903</v>
      </c>
      <c r="AK16" s="24">
        <f t="shared" si="30"/>
        <v>105333.33904563649</v>
      </c>
      <c r="AL16" s="24">
        <f t="shared" si="30"/>
        <v>110600.00599791831</v>
      </c>
      <c r="AM16" s="24">
        <f t="shared" si="30"/>
        <v>116130.00629781424</v>
      </c>
      <c r="AN16" s="24">
        <f t="shared" si="30"/>
        <v>121936.50661270495</v>
      </c>
      <c r="AO16" s="24">
        <f t="shared" si="30"/>
        <v>124375.23674495904</v>
      </c>
      <c r="AP16" s="24">
        <f t="shared" si="30"/>
        <v>126862.74147985823</v>
      </c>
      <c r="AQ16" s="24">
        <f t="shared" si="30"/>
        <v>129399.9963094554</v>
      </c>
      <c r="AR16" s="24">
        <f t="shared" si="30"/>
        <v>131987.9962356445</v>
      </c>
      <c r="AS16" s="24">
        <f t="shared" si="30"/>
        <v>134627.75616035738</v>
      </c>
      <c r="AT16" s="24">
        <f t="shared" si="30"/>
        <v>137320.31128356454</v>
      </c>
      <c r="AU16" s="24">
        <f t="shared" si="30"/>
        <v>140066.71750923584</v>
      </c>
      <c r="AV16" s="24">
        <f t="shared" si="30"/>
        <v>142868.05185942055</v>
      </c>
      <c r="AW16" s="24">
        <f t="shared" si="30"/>
        <v>145725.41289660899</v>
      </c>
      <c r="AX16" s="24">
        <f t="shared" si="30"/>
        <v>148639.92115454117</v>
      </c>
      <c r="AY16" s="24">
        <f t="shared" si="30"/>
        <v>150126.32036608658</v>
      </c>
      <c r="AZ16" s="24">
        <f t="shared" si="30"/>
        <v>151627.58356974745</v>
      </c>
      <c r="BA16" s="24">
        <f t="shared" si="30"/>
        <v>153143.85940544493</v>
      </c>
      <c r="BB16" s="24">
        <f t="shared" si="30"/>
        <v>154675.29799949939</v>
      </c>
      <c r="BC16" s="24">
        <f t="shared" si="30"/>
        <v>155448.67448949689</v>
      </c>
      <c r="BD16" s="24">
        <f t="shared" si="30"/>
        <v>156225.91786194436</v>
      </c>
      <c r="BE16" s="24">
        <f t="shared" si="30"/>
        <v>157788.17704056381</v>
      </c>
      <c r="BF16" s="24">
        <f t="shared" si="30"/>
        <v>158577.11792576662</v>
      </c>
      <c r="BG16" s="24">
        <f t="shared" si="30"/>
        <v>159370.00351539542</v>
      </c>
      <c r="BH16" s="24">
        <f t="shared" si="30"/>
        <v>160963.70355054937</v>
      </c>
      <c r="BI16" s="24">
        <f t="shared" si="30"/>
        <v>161768.52206830209</v>
      </c>
      <c r="BJ16" s="24">
        <f t="shared" si="30"/>
        <v>162577.36467864359</v>
      </c>
      <c r="BK16" s="24">
        <f t="shared" si="30"/>
        <v>164203.13832543002</v>
      </c>
      <c r="BL16" s="24">
        <f t="shared" si="30"/>
        <v>165024.15401705715</v>
      </c>
      <c r="BM16" s="24">
        <f t="shared" si="30"/>
        <v>165849.27478714241</v>
      </c>
    </row>
    <row r="17" spans="3:65" x14ac:dyDescent="0.2">
      <c r="C17" s="5" t="s">
        <v>15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Z17" s="3"/>
      <c r="AA17" s="3"/>
      <c r="AB17" s="3"/>
      <c r="AC17" s="3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</row>
    <row r="18" spans="3:65" x14ac:dyDescent="0.2">
      <c r="C18" s="6" t="s">
        <v>5</v>
      </c>
      <c r="D18" s="8">
        <v>510</v>
      </c>
      <c r="E18" s="8">
        <v>577</v>
      </c>
      <c r="F18" s="8">
        <v>455</v>
      </c>
      <c r="G18" s="8">
        <f>1674-SUM(D18:F18)</f>
        <v>132</v>
      </c>
      <c r="H18" s="8">
        <v>481</v>
      </c>
      <c r="I18" s="8">
        <v>437</v>
      </c>
      <c r="J18" s="8">
        <v>408</v>
      </c>
      <c r="K18" s="8">
        <f>2259-SUM(H18:J18)</f>
        <v>933</v>
      </c>
      <c r="L18" s="8">
        <v>372</v>
      </c>
      <c r="M18" s="8">
        <v>395</v>
      </c>
      <c r="N18" s="8">
        <v>499</v>
      </c>
      <c r="O18" s="8">
        <f>1787-SUM(L18:N18)</f>
        <v>521</v>
      </c>
      <c r="P18" s="8">
        <v>568</v>
      </c>
      <c r="Q18" s="8">
        <v>543</v>
      </c>
      <c r="R18" s="8">
        <v>572</v>
      </c>
      <c r="S18" s="8">
        <f>2259-SUM(P18:R18)</f>
        <v>576</v>
      </c>
      <c r="T18" s="8">
        <v>597</v>
      </c>
      <c r="U18" s="8">
        <v>0</v>
      </c>
      <c r="V18" s="8">
        <v>0</v>
      </c>
      <c r="W18" s="8">
        <f>2259-SUM(T18:V18)</f>
        <v>1662</v>
      </c>
      <c r="Z18" s="8">
        <f t="shared" ref="Z18:Z20" si="31">SUM(D18:G18)</f>
        <v>1674</v>
      </c>
      <c r="AA18" s="8">
        <f t="shared" ref="AA18:AA20" si="32">SUM(E18:H18)</f>
        <v>1645</v>
      </c>
      <c r="AB18" s="8">
        <f t="shared" ref="AB18:AB20" si="33">SUM(F18:I18)</f>
        <v>1505</v>
      </c>
      <c r="AC18" s="8">
        <f t="shared" ref="AC18:AC20" si="34">SUM(G18:J18)</f>
        <v>1458</v>
      </c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</row>
    <row r="19" spans="3:65" x14ac:dyDescent="0.2">
      <c r="C19" s="6" t="s">
        <v>16</v>
      </c>
      <c r="D19" s="8">
        <v>82</v>
      </c>
      <c r="E19" s="8">
        <v>81</v>
      </c>
      <c r="F19" s="8">
        <v>86</v>
      </c>
      <c r="G19" s="8">
        <f>320-SUM(D19:F19)</f>
        <v>71</v>
      </c>
      <c r="H19" s="8">
        <v>85</v>
      </c>
      <c r="I19" s="8">
        <v>78</v>
      </c>
      <c r="J19" s="8">
        <v>78</v>
      </c>
      <c r="K19" s="8">
        <f>424-SUM(H19:J19)</f>
        <v>183</v>
      </c>
      <c r="L19" s="8">
        <v>83</v>
      </c>
      <c r="M19" s="8">
        <v>84</v>
      </c>
      <c r="N19" s="8">
        <v>85</v>
      </c>
      <c r="O19" s="8">
        <f>341-SUM(L19:N19)</f>
        <v>89</v>
      </c>
      <c r="P19" s="8">
        <v>96</v>
      </c>
      <c r="Q19" s="8">
        <v>99</v>
      </c>
      <c r="R19" s="8">
        <v>110</v>
      </c>
      <c r="S19" s="8">
        <f>424-SUM(P19:R19)</f>
        <v>119</v>
      </c>
      <c r="T19" s="8">
        <v>117</v>
      </c>
      <c r="U19" s="8">
        <v>0</v>
      </c>
      <c r="V19" s="8">
        <v>0</v>
      </c>
      <c r="W19" s="8">
        <f>424-SUM(T19:V19)</f>
        <v>307</v>
      </c>
      <c r="Z19" s="8">
        <f t="shared" si="31"/>
        <v>320</v>
      </c>
      <c r="AA19" s="8">
        <f t="shared" si="32"/>
        <v>323</v>
      </c>
      <c r="AB19" s="8">
        <f t="shared" si="33"/>
        <v>320</v>
      </c>
      <c r="AC19" s="8">
        <f t="shared" si="34"/>
        <v>312</v>
      </c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</row>
    <row r="20" spans="3:65" x14ac:dyDescent="0.2">
      <c r="C20" s="6" t="s">
        <v>17</v>
      </c>
      <c r="D20" s="8">
        <v>-43</v>
      </c>
      <c r="E20" s="8">
        <v>-23</v>
      </c>
      <c r="F20" s="8">
        <v>-25</v>
      </c>
      <c r="G20" s="8">
        <f>(-158-SUM(D20:F20))</f>
        <v>-67</v>
      </c>
      <c r="H20" s="8">
        <v>-30</v>
      </c>
      <c r="I20" s="8">
        <v>-37</v>
      </c>
      <c r="J20" s="8">
        <v>-44</v>
      </c>
      <c r="K20" s="8">
        <f>(-546-SUM(H20:J20))</f>
        <v>-435</v>
      </c>
      <c r="L20" s="8">
        <v>-36</v>
      </c>
      <c r="M20" s="8">
        <v>-31</v>
      </c>
      <c r="N20" s="8">
        <v>-84</v>
      </c>
      <c r="O20" s="8">
        <f>(-254-SUM(L20:N20))</f>
        <v>-103</v>
      </c>
      <c r="P20" s="8">
        <v>-107</v>
      </c>
      <c r="Q20" s="8">
        <v>-148</v>
      </c>
      <c r="R20" s="8">
        <v>-145</v>
      </c>
      <c r="S20" s="8">
        <f>(-546-SUM(P20:R20))</f>
        <v>-146</v>
      </c>
      <c r="T20" s="8">
        <v>-114</v>
      </c>
      <c r="U20" s="8">
        <v>0</v>
      </c>
      <c r="V20" s="8">
        <v>0</v>
      </c>
      <c r="W20" s="8">
        <f>(-546-SUM(T20:V20))</f>
        <v>-432</v>
      </c>
      <c r="Z20" s="8">
        <f t="shared" si="31"/>
        <v>-158</v>
      </c>
      <c r="AA20" s="8">
        <f t="shared" si="32"/>
        <v>-145</v>
      </c>
      <c r="AB20" s="8">
        <f t="shared" si="33"/>
        <v>-159</v>
      </c>
      <c r="AC20" s="8">
        <f t="shared" si="34"/>
        <v>-178</v>
      </c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</row>
    <row r="21" spans="3:65" x14ac:dyDescent="0.2">
      <c r="C21" s="5" t="s">
        <v>18</v>
      </c>
      <c r="D21" s="7">
        <f t="shared" ref="D21" si="35">SUM(D18:D20)</f>
        <v>549</v>
      </c>
      <c r="E21" s="7">
        <f t="shared" ref="E21" si="36">SUM(E18:E20)</f>
        <v>635</v>
      </c>
      <c r="F21" s="7">
        <f t="shared" ref="F21:G21" si="37">SUM(F18:F20)</f>
        <v>516</v>
      </c>
      <c r="G21" s="7">
        <f t="shared" si="37"/>
        <v>136</v>
      </c>
      <c r="H21" s="7">
        <f t="shared" ref="H21" si="38">SUM(H18:H20)</f>
        <v>536</v>
      </c>
      <c r="I21" s="7">
        <f t="shared" ref="I21" si="39">SUM(I18:I20)</f>
        <v>478</v>
      </c>
      <c r="J21" s="7">
        <f t="shared" ref="J21:K21" si="40">SUM(J18:J20)</f>
        <v>442</v>
      </c>
      <c r="K21" s="7">
        <f t="shared" si="40"/>
        <v>681</v>
      </c>
      <c r="L21" s="7">
        <f t="shared" ref="L21" si="41">SUM(L18:L20)</f>
        <v>419</v>
      </c>
      <c r="M21" s="7">
        <f t="shared" ref="M21" si="42">SUM(M18:M20)</f>
        <v>448</v>
      </c>
      <c r="N21" s="7">
        <f t="shared" ref="N21:O21" si="43">SUM(N18:N20)</f>
        <v>500</v>
      </c>
      <c r="O21" s="7">
        <f t="shared" si="43"/>
        <v>507</v>
      </c>
      <c r="P21" s="7">
        <f t="shared" ref="P21" si="44">SUM(P18:P20)</f>
        <v>557</v>
      </c>
      <c r="Q21" s="7">
        <f t="shared" ref="Q21" si="45">SUM(Q18:Q20)</f>
        <v>494</v>
      </c>
      <c r="R21" s="7">
        <f t="shared" ref="R21" si="46">SUM(R18:R20)</f>
        <v>537</v>
      </c>
      <c r="S21" s="7">
        <f t="shared" ref="S21" si="47">SUM(S18:S20)</f>
        <v>549</v>
      </c>
      <c r="T21" s="7">
        <f>SUM(T18:T20)</f>
        <v>600</v>
      </c>
      <c r="U21" s="7">
        <f t="shared" ref="U21" si="48">SUM(U18:U20)</f>
        <v>0</v>
      </c>
      <c r="V21" s="7">
        <f t="shared" ref="V21:W21" si="49">SUM(V18:V20)</f>
        <v>0</v>
      </c>
      <c r="W21" s="7">
        <f t="shared" si="49"/>
        <v>1537</v>
      </c>
      <c r="Z21" s="7">
        <f t="shared" ref="Z21:AC21" si="50">SUM(Z18:Z20)</f>
        <v>1836</v>
      </c>
      <c r="AA21" s="7">
        <f t="shared" si="50"/>
        <v>1823</v>
      </c>
      <c r="AB21" s="7">
        <f t="shared" si="50"/>
        <v>1666</v>
      </c>
      <c r="AC21" s="7">
        <f t="shared" si="50"/>
        <v>1592</v>
      </c>
      <c r="AD21" s="24">
        <f>AD16*0.03</f>
        <v>2245.7531249999997</v>
      </c>
      <c r="AE21" s="24">
        <f t="shared" ref="AE21:BM21" si="51">AE16*0.03</f>
        <v>2358.0407812499998</v>
      </c>
      <c r="AF21" s="24">
        <f t="shared" si="51"/>
        <v>2475.9428203124999</v>
      </c>
      <c r="AG21" s="24">
        <f t="shared" si="51"/>
        <v>2599.739961328125</v>
      </c>
      <c r="AH21" s="24">
        <f t="shared" si="51"/>
        <v>2729.7269593945316</v>
      </c>
      <c r="AI21" s="24">
        <f t="shared" si="51"/>
        <v>2866.2133073642581</v>
      </c>
      <c r="AJ21" s="24">
        <f t="shared" si="51"/>
        <v>3009.5239727324706</v>
      </c>
      <c r="AK21" s="24">
        <f t="shared" si="51"/>
        <v>3160.0001713690945</v>
      </c>
      <c r="AL21" s="24">
        <f t="shared" si="51"/>
        <v>3318.0001799375491</v>
      </c>
      <c r="AM21" s="24">
        <f t="shared" si="51"/>
        <v>3483.9001889344272</v>
      </c>
      <c r="AN21" s="24">
        <f t="shared" si="51"/>
        <v>3658.0951983811483</v>
      </c>
      <c r="AO21" s="24">
        <f t="shared" si="51"/>
        <v>3731.2571023487708</v>
      </c>
      <c r="AP21" s="24">
        <f t="shared" si="51"/>
        <v>3805.882244395747</v>
      </c>
      <c r="AQ21" s="24">
        <f t="shared" si="51"/>
        <v>3881.9998892836616</v>
      </c>
      <c r="AR21" s="24">
        <f t="shared" si="51"/>
        <v>3959.6398870693351</v>
      </c>
      <c r="AS21" s="24">
        <f t="shared" si="51"/>
        <v>4038.8326848107213</v>
      </c>
      <c r="AT21" s="24">
        <f t="shared" si="51"/>
        <v>4119.6093385069362</v>
      </c>
      <c r="AU21" s="24">
        <f t="shared" si="51"/>
        <v>4202.0015252770754</v>
      </c>
      <c r="AV21" s="24">
        <f t="shared" si="51"/>
        <v>4286.0415557826163</v>
      </c>
      <c r="AW21" s="24">
        <f t="shared" si="51"/>
        <v>4371.7623868982701</v>
      </c>
      <c r="AX21" s="24">
        <f t="shared" si="51"/>
        <v>4459.1976346362344</v>
      </c>
      <c r="AY21" s="24">
        <f t="shared" si="51"/>
        <v>4503.789610982597</v>
      </c>
      <c r="AZ21" s="24">
        <f t="shared" si="51"/>
        <v>4548.8275070924237</v>
      </c>
      <c r="BA21" s="24">
        <f t="shared" si="51"/>
        <v>4594.3157821633476</v>
      </c>
      <c r="BB21" s="24">
        <f t="shared" si="51"/>
        <v>4640.2589399849812</v>
      </c>
      <c r="BC21" s="24">
        <f t="shared" si="51"/>
        <v>4663.460234684906</v>
      </c>
      <c r="BD21" s="24">
        <f t="shared" si="51"/>
        <v>4686.7775358583303</v>
      </c>
      <c r="BE21" s="24">
        <f t="shared" si="51"/>
        <v>4733.6453112169138</v>
      </c>
      <c r="BF21" s="24">
        <f t="shared" si="51"/>
        <v>4757.3135377729986</v>
      </c>
      <c r="BG21" s="24">
        <f t="shared" si="51"/>
        <v>4781.1001054618628</v>
      </c>
      <c r="BH21" s="24">
        <f t="shared" si="51"/>
        <v>4828.9111065164807</v>
      </c>
      <c r="BI21" s="24">
        <f t="shared" si="51"/>
        <v>4853.0556620490624</v>
      </c>
      <c r="BJ21" s="24">
        <f t="shared" si="51"/>
        <v>4877.3209403593073</v>
      </c>
      <c r="BK21" s="24">
        <f t="shared" si="51"/>
        <v>4926.0941497629001</v>
      </c>
      <c r="BL21" s="24">
        <f t="shared" si="51"/>
        <v>4950.7246205117144</v>
      </c>
      <c r="BM21" s="24">
        <f t="shared" si="51"/>
        <v>4975.4782436142723</v>
      </c>
    </row>
    <row r="22" spans="3:65" x14ac:dyDescent="0.2">
      <c r="C22" s="5" t="s">
        <v>19</v>
      </c>
      <c r="D22" s="8">
        <v>-721</v>
      </c>
      <c r="E22" s="8">
        <v>-3222</v>
      </c>
      <c r="F22" s="8">
        <v>-1853</v>
      </c>
      <c r="G22" s="8">
        <f>3000+2410+SUM(D22:F22)</f>
        <v>-386</v>
      </c>
      <c r="H22" s="8">
        <v>2529</v>
      </c>
      <c r="I22" s="8">
        <v>953</v>
      </c>
      <c r="J22" s="8">
        <f>2410+-1207</f>
        <v>1203</v>
      </c>
      <c r="K22" s="8">
        <f>3027-SUM(H22:J22)</f>
        <v>-1658</v>
      </c>
      <c r="L22" s="8">
        <v>1998</v>
      </c>
      <c r="M22" s="8">
        <v>-238</v>
      </c>
      <c r="N22" s="8">
        <v>3626</v>
      </c>
      <c r="O22" s="8">
        <f>1538-SUM(L22:N22)</f>
        <v>-3848</v>
      </c>
      <c r="P22" s="8">
        <v>2995</v>
      </c>
      <c r="Q22" s="8">
        <v>-3905</v>
      </c>
      <c r="R22" s="8">
        <v>4750</v>
      </c>
      <c r="S22" s="8">
        <f>3027-SUM(P22:R22)</f>
        <v>-813</v>
      </c>
      <c r="T22" s="8">
        <v>-794</v>
      </c>
      <c r="U22" s="8">
        <v>15</v>
      </c>
      <c r="V22" s="8">
        <v>15</v>
      </c>
      <c r="W22" s="8">
        <f>3027-SUM(T22:V22)</f>
        <v>3791</v>
      </c>
      <c r="Z22" s="8">
        <f t="shared" ref="Z22" si="52">SUM(D22:G22)</f>
        <v>-6182</v>
      </c>
      <c r="AA22" s="8">
        <f t="shared" ref="AA22" si="53">SUM(E22:H22)</f>
        <v>-2932</v>
      </c>
      <c r="AB22" s="8">
        <f t="shared" ref="AB22" si="54">SUM(F22:I22)</f>
        <v>1243</v>
      </c>
      <c r="AC22" s="8">
        <f>SUM(G22:J22)</f>
        <v>4299</v>
      </c>
      <c r="AD22" s="24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</row>
    <row r="23" spans="3:65" x14ac:dyDescent="0.2">
      <c r="C23" s="5" t="s">
        <v>20</v>
      </c>
      <c r="D23" s="8">
        <f>D16-SUM(D21:D22)</f>
        <v>5396</v>
      </c>
      <c r="E23" s="8">
        <f t="shared" ref="E23:S23" si="55">E16-SUM(E21:E22)</f>
        <v>8646</v>
      </c>
      <c r="F23" s="8">
        <f t="shared" si="55"/>
        <v>7115</v>
      </c>
      <c r="G23" s="8">
        <f t="shared" si="55"/>
        <v>9131</v>
      </c>
      <c r="H23" s="8">
        <f t="shared" si="55"/>
        <v>3844</v>
      </c>
      <c r="I23" s="8">
        <f t="shared" si="55"/>
        <v>5923</v>
      </c>
      <c r="J23" s="8">
        <f t="shared" si="55"/>
        <v>4147</v>
      </c>
      <c r="K23" s="8">
        <f t="shared" si="55"/>
        <v>7934</v>
      </c>
      <c r="L23" s="8">
        <f t="shared" si="55"/>
        <v>2901</v>
      </c>
      <c r="M23" s="8">
        <f t="shared" si="55"/>
        <v>6644</v>
      </c>
      <c r="N23" s="8">
        <f t="shared" si="55"/>
        <v>-1431</v>
      </c>
      <c r="O23" s="8">
        <f t="shared" si="55"/>
        <v>8902</v>
      </c>
      <c r="P23" s="8">
        <f t="shared" si="55"/>
        <v>2688</v>
      </c>
      <c r="Q23" s="8">
        <f t="shared" si="55"/>
        <v>10727</v>
      </c>
      <c r="R23" s="8">
        <f t="shared" si="55"/>
        <v>915</v>
      </c>
      <c r="S23" s="8">
        <f t="shared" si="55"/>
        <v>7518</v>
      </c>
      <c r="T23" s="8">
        <f>T16-SUM(T21:T22)</f>
        <v>7035</v>
      </c>
      <c r="U23" s="8">
        <f t="shared" ref="U23" si="56">U16-SUM(U21:U22)</f>
        <v>-15</v>
      </c>
      <c r="V23" s="8">
        <f t="shared" ref="V23:W23" si="57">V16-SUM(V21:V22)</f>
        <v>-15</v>
      </c>
      <c r="W23" s="8">
        <f t="shared" si="57"/>
        <v>14843</v>
      </c>
      <c r="Z23" s="8">
        <f t="shared" ref="Z23:AB23" si="58">Z16-SUM(Z21:Z22)</f>
        <v>30288</v>
      </c>
      <c r="AA23" s="8">
        <f t="shared" si="58"/>
        <v>100419</v>
      </c>
      <c r="AB23" s="8">
        <f t="shared" si="58"/>
        <v>57554</v>
      </c>
      <c r="AC23" s="8">
        <f>AC16-SUM(AC21:AC22)</f>
        <v>85605</v>
      </c>
      <c r="AD23" s="25">
        <f>AD16-SUM(AD21:AD22)</f>
        <v>72612.684374999997</v>
      </c>
      <c r="AE23" s="25">
        <f t="shared" ref="AE23:BD23" si="59">AE16-SUM(AE21:AE22)</f>
        <v>76243.318593749995</v>
      </c>
      <c r="AF23" s="25">
        <f t="shared" si="59"/>
        <v>80055.484523437495</v>
      </c>
      <c r="AG23" s="25">
        <f t="shared" si="59"/>
        <v>84058.258749609377</v>
      </c>
      <c r="AH23" s="25">
        <f t="shared" si="59"/>
        <v>88261.171687089853</v>
      </c>
      <c r="AI23" s="25">
        <f t="shared" si="59"/>
        <v>92674.23027144435</v>
      </c>
      <c r="AJ23" s="25">
        <f t="shared" si="59"/>
        <v>97307.941785016563</v>
      </c>
      <c r="AK23" s="25">
        <f t="shared" si="59"/>
        <v>102173.33887426739</v>
      </c>
      <c r="AL23" s="25">
        <f t="shared" si="59"/>
        <v>107282.00581798077</v>
      </c>
      <c r="AM23" s="25">
        <f t="shared" si="59"/>
        <v>112646.10610887982</v>
      </c>
      <c r="AN23" s="25">
        <f t="shared" si="59"/>
        <v>118278.4114143238</v>
      </c>
      <c r="AO23" s="25">
        <f t="shared" si="59"/>
        <v>120643.97964261027</v>
      </c>
      <c r="AP23" s="25">
        <f t="shared" si="59"/>
        <v>123056.85923546249</v>
      </c>
      <c r="AQ23" s="25">
        <f t="shared" si="59"/>
        <v>125517.99642017174</v>
      </c>
      <c r="AR23" s="25">
        <f t="shared" si="59"/>
        <v>128028.35634857517</v>
      </c>
      <c r="AS23" s="25">
        <f t="shared" si="59"/>
        <v>130588.92347554666</v>
      </c>
      <c r="AT23" s="25">
        <f t="shared" si="59"/>
        <v>133200.7019450576</v>
      </c>
      <c r="AU23" s="25">
        <f t="shared" si="59"/>
        <v>135864.71598395877</v>
      </c>
      <c r="AV23" s="25">
        <f t="shared" si="59"/>
        <v>138582.01030363794</v>
      </c>
      <c r="AW23" s="25">
        <f t="shared" si="59"/>
        <v>141353.65050971071</v>
      </c>
      <c r="AX23" s="25">
        <f t="shared" si="59"/>
        <v>144180.72351990495</v>
      </c>
      <c r="AY23" s="25">
        <f t="shared" si="59"/>
        <v>145622.53075510397</v>
      </c>
      <c r="AZ23" s="25">
        <f t="shared" si="59"/>
        <v>147078.75606265504</v>
      </c>
      <c r="BA23" s="25">
        <f t="shared" si="59"/>
        <v>148549.54362328158</v>
      </c>
      <c r="BB23" s="25">
        <f t="shared" si="59"/>
        <v>150035.03905951441</v>
      </c>
      <c r="BC23" s="25">
        <f t="shared" si="59"/>
        <v>150785.21425481199</v>
      </c>
      <c r="BD23" s="25">
        <f t="shared" si="59"/>
        <v>151539.14032608602</v>
      </c>
      <c r="BE23" s="25">
        <f t="shared" ref="BE23" si="60">BE16-SUM(BE21:BE22)</f>
        <v>153054.5317293469</v>
      </c>
      <c r="BF23" s="25">
        <f t="shared" ref="BF23" si="61">BF16-SUM(BF21:BF22)</f>
        <v>153819.80438799362</v>
      </c>
      <c r="BG23" s="25">
        <f t="shared" ref="BG23" si="62">BG16-SUM(BG21:BG22)</f>
        <v>154588.90340993355</v>
      </c>
      <c r="BH23" s="25">
        <f t="shared" ref="BH23" si="63">BH16-SUM(BH21:BH22)</f>
        <v>156134.79244403288</v>
      </c>
      <c r="BI23" s="25">
        <f t="shared" ref="BI23" si="64">BI16-SUM(BI21:BI22)</f>
        <v>156915.46640625302</v>
      </c>
      <c r="BJ23" s="25">
        <f t="shared" ref="BJ23" si="65">BJ16-SUM(BJ21:BJ22)</f>
        <v>157700.04373828426</v>
      </c>
      <c r="BK23" s="25">
        <f t="shared" ref="BK23" si="66">BK16-SUM(BK21:BK22)</f>
        <v>159277.04417566711</v>
      </c>
      <c r="BL23" s="25">
        <f t="shared" ref="BL23" si="67">BL16-SUM(BL21:BL22)</f>
        <v>160073.42939654543</v>
      </c>
      <c r="BM23" s="25">
        <f t="shared" ref="BM23" si="68">BM16-SUM(BM21:BM22)</f>
        <v>160873.79654352812</v>
      </c>
    </row>
    <row r="24" spans="3:65" x14ac:dyDescent="0.2">
      <c r="C24" s="5" t="s">
        <v>21</v>
      </c>
      <c r="D24" s="8">
        <v>1322</v>
      </c>
      <c r="E24" s="8">
        <v>2207</v>
      </c>
      <c r="F24" s="8">
        <v>1914</v>
      </c>
      <c r="G24" s="8">
        <f>4756-SUM(D24:F24)</f>
        <v>-687</v>
      </c>
      <c r="H24" s="8">
        <v>1033</v>
      </c>
      <c r="I24" s="8">
        <v>1559</v>
      </c>
      <c r="J24" s="8">
        <v>1015</v>
      </c>
      <c r="K24" s="8">
        <f>5578-SUM(H24:J24)</f>
        <v>1971</v>
      </c>
      <c r="L24" s="8">
        <v>798</v>
      </c>
      <c r="M24" s="8">
        <v>1497</v>
      </c>
      <c r="N24" s="8">
        <v>336</v>
      </c>
      <c r="O24" s="8">
        <f>5724-SUM(L24:N24)</f>
        <v>3093</v>
      </c>
      <c r="P24" s="8">
        <v>792</v>
      </c>
      <c r="Q24" s="8">
        <v>2674</v>
      </c>
      <c r="R24" s="8">
        <v>272</v>
      </c>
      <c r="S24" s="8">
        <f>5578-SUM(P24:R24)</f>
        <v>1840</v>
      </c>
      <c r="T24" s="8">
        <v>1728</v>
      </c>
      <c r="U24" s="8">
        <v>0</v>
      </c>
      <c r="V24" s="8">
        <v>0</v>
      </c>
      <c r="W24" s="8">
        <f>5578-SUM(T24:V24)</f>
        <v>3850</v>
      </c>
      <c r="Z24" s="8">
        <f t="shared" ref="Z24" si="69">SUM(D24:G24)</f>
        <v>4756</v>
      </c>
      <c r="AA24" s="8">
        <f t="shared" ref="AA24:AA25" si="70">SUM(E24:H24)</f>
        <v>4467</v>
      </c>
      <c r="AB24" s="8">
        <f t="shared" ref="AB24:AB25" si="71">SUM(F24:I24)</f>
        <v>3819</v>
      </c>
      <c r="AC24" s="8">
        <f t="shared" ref="AC24:AC25" si="72">SUM(G24:J24)</f>
        <v>2920</v>
      </c>
      <c r="AD24" s="23">
        <f>AD23*0.22</f>
        <v>15974.7905625</v>
      </c>
      <c r="AE24" s="23">
        <f t="shared" ref="AE24:BD24" si="73">AE23*0.22</f>
        <v>16773.530090624998</v>
      </c>
      <c r="AF24" s="23">
        <f t="shared" si="73"/>
        <v>17612.206595156251</v>
      </c>
      <c r="AG24" s="23">
        <f t="shared" si="73"/>
        <v>18492.816924914063</v>
      </c>
      <c r="AH24" s="23">
        <f t="shared" si="73"/>
        <v>19417.457771159767</v>
      </c>
      <c r="AI24" s="23">
        <f t="shared" si="73"/>
        <v>20388.330659717758</v>
      </c>
      <c r="AJ24" s="23">
        <f t="shared" si="73"/>
        <v>21407.747192703642</v>
      </c>
      <c r="AK24" s="23">
        <f t="shared" si="73"/>
        <v>22478.134552338826</v>
      </c>
      <c r="AL24" s="23">
        <f t="shared" si="73"/>
        <v>23602.041279955771</v>
      </c>
      <c r="AM24" s="23">
        <f t="shared" si="73"/>
        <v>24782.143343953561</v>
      </c>
      <c r="AN24" s="23">
        <f t="shared" si="73"/>
        <v>26021.250511151236</v>
      </c>
      <c r="AO24" s="23">
        <f t="shared" si="73"/>
        <v>26541.675521374258</v>
      </c>
      <c r="AP24" s="23">
        <f t="shared" si="73"/>
        <v>27072.509031801746</v>
      </c>
      <c r="AQ24" s="23">
        <f t="shared" si="73"/>
        <v>27613.959212437781</v>
      </c>
      <c r="AR24" s="23">
        <f t="shared" si="73"/>
        <v>28166.238396686538</v>
      </c>
      <c r="AS24" s="23">
        <f t="shared" si="73"/>
        <v>28729.563164620264</v>
      </c>
      <c r="AT24" s="23">
        <f t="shared" si="73"/>
        <v>29304.154427912672</v>
      </c>
      <c r="AU24" s="23">
        <f t="shared" si="73"/>
        <v>29890.23751647093</v>
      </c>
      <c r="AV24" s="23">
        <f t="shared" si="73"/>
        <v>30488.042266800348</v>
      </c>
      <c r="AW24" s="23">
        <f t="shared" si="73"/>
        <v>31097.803112136357</v>
      </c>
      <c r="AX24" s="23">
        <f t="shared" si="73"/>
        <v>31719.759174379087</v>
      </c>
      <c r="AY24" s="23">
        <f t="shared" si="73"/>
        <v>32036.956766122876</v>
      </c>
      <c r="AZ24" s="23">
        <f t="shared" si="73"/>
        <v>32357.326333784109</v>
      </c>
      <c r="BA24" s="23">
        <f t="shared" si="73"/>
        <v>32680.899597121948</v>
      </c>
      <c r="BB24" s="23">
        <f t="shared" si="73"/>
        <v>33007.708593093172</v>
      </c>
      <c r="BC24" s="23">
        <f t="shared" si="73"/>
        <v>33172.747136058635</v>
      </c>
      <c r="BD24" s="23">
        <f t="shared" si="73"/>
        <v>33338.610871738929</v>
      </c>
      <c r="BE24" s="23">
        <f t="shared" ref="BE24" si="74">BE23*0.22</f>
        <v>33671.996980456315</v>
      </c>
      <c r="BF24" s="23">
        <f t="shared" ref="BF24" si="75">BF23*0.22</f>
        <v>33840.356965358595</v>
      </c>
      <c r="BG24" s="23">
        <f t="shared" ref="BG24" si="76">BG23*0.22</f>
        <v>34009.558750185381</v>
      </c>
      <c r="BH24" s="23">
        <f t="shared" ref="BH24" si="77">BH23*0.22</f>
        <v>34349.654337687236</v>
      </c>
      <c r="BI24" s="23">
        <f t="shared" ref="BI24" si="78">BI23*0.22</f>
        <v>34521.402609375662</v>
      </c>
      <c r="BJ24" s="23">
        <f t="shared" ref="BJ24" si="79">BJ23*0.22</f>
        <v>34694.009622422542</v>
      </c>
      <c r="BK24" s="23">
        <f t="shared" ref="BK24" si="80">BK23*0.22</f>
        <v>35040.949718646763</v>
      </c>
      <c r="BL24" s="23">
        <f t="shared" ref="BL24" si="81">BL23*0.22</f>
        <v>35216.154467239998</v>
      </c>
      <c r="BM24" s="23">
        <f t="shared" ref="BM24" si="82">BM23*0.22</f>
        <v>35392.235239576185</v>
      </c>
    </row>
    <row r="25" spans="3:65" x14ac:dyDescent="0.2">
      <c r="C25" s="5" t="s">
        <v>48</v>
      </c>
      <c r="D25" s="8">
        <v>-84</v>
      </c>
      <c r="E25" s="8">
        <v>37</v>
      </c>
      <c r="F25" s="8">
        <v>-66</v>
      </c>
      <c r="G25" s="8">
        <f>-267-SUM(D25:F25)</f>
        <v>-154</v>
      </c>
      <c r="H25" s="8">
        <v>-81</v>
      </c>
      <c r="I25" s="8">
        <v>-88</v>
      </c>
      <c r="J25" s="8">
        <v>-27</v>
      </c>
      <c r="K25" s="8">
        <f>-759-SUM(H25:J25)</f>
        <v>-563</v>
      </c>
      <c r="L25" s="8">
        <v>-49</v>
      </c>
      <c r="M25" s="8">
        <v>2</v>
      </c>
      <c r="N25" s="8">
        <v>-31</v>
      </c>
      <c r="O25" s="8">
        <f>388-SUM(L25:N25)</f>
        <v>466</v>
      </c>
      <c r="P25" s="8">
        <v>-223</v>
      </c>
      <c r="Q25" s="8">
        <v>-162</v>
      </c>
      <c r="R25" s="8">
        <v>-190</v>
      </c>
      <c r="S25" s="8">
        <f>-759-SUM(P25:R25)</f>
        <v>-184</v>
      </c>
      <c r="T25" s="8">
        <v>-203</v>
      </c>
      <c r="U25" s="8">
        <v>0</v>
      </c>
      <c r="V25" s="8">
        <v>0</v>
      </c>
      <c r="W25" s="8">
        <f>-759-SUM(T25:V25)</f>
        <v>-556</v>
      </c>
      <c r="Z25" s="8">
        <f t="shared" ref="Z25" si="83">SUM(D25:G25)</f>
        <v>-267</v>
      </c>
      <c r="AA25" s="8">
        <f t="shared" si="70"/>
        <v>-264</v>
      </c>
      <c r="AB25" s="8">
        <f t="shared" si="71"/>
        <v>-389</v>
      </c>
      <c r="AC25" s="8">
        <f t="shared" si="72"/>
        <v>-350</v>
      </c>
      <c r="AD25" s="23">
        <f>-AD13*0.0005</f>
        <v>-340.265625</v>
      </c>
      <c r="AE25" s="23">
        <f t="shared" ref="AE25:BD25" si="84">-AE13*0.0005</f>
        <v>-357.27890625000003</v>
      </c>
      <c r="AF25" s="23">
        <f t="shared" si="84"/>
        <v>-375.14285156250003</v>
      </c>
      <c r="AG25" s="23">
        <f t="shared" si="84"/>
        <v>-393.89999414062498</v>
      </c>
      <c r="AH25" s="23">
        <f t="shared" si="84"/>
        <v>-413.59499384765633</v>
      </c>
      <c r="AI25" s="23">
        <f t="shared" si="84"/>
        <v>-434.27474354003914</v>
      </c>
      <c r="AJ25" s="23">
        <f t="shared" si="84"/>
        <v>-455.98848071704106</v>
      </c>
      <c r="AK25" s="23">
        <f t="shared" si="84"/>
        <v>-478.78790475289316</v>
      </c>
      <c r="AL25" s="23">
        <f t="shared" si="84"/>
        <v>-502.7272999905378</v>
      </c>
      <c r="AM25" s="23">
        <f t="shared" si="84"/>
        <v>-527.86366499006465</v>
      </c>
      <c r="AN25" s="23">
        <f t="shared" si="84"/>
        <v>-554.25684823956794</v>
      </c>
      <c r="AO25" s="23">
        <f t="shared" si="84"/>
        <v>-565.34198520435928</v>
      </c>
      <c r="AP25" s="23">
        <f t="shared" si="84"/>
        <v>-576.6488249084465</v>
      </c>
      <c r="AQ25" s="23">
        <f t="shared" si="84"/>
        <v>-588.18180140661548</v>
      </c>
      <c r="AR25" s="23">
        <f t="shared" si="84"/>
        <v>-599.94543743474776</v>
      </c>
      <c r="AS25" s="23">
        <f t="shared" si="84"/>
        <v>-611.94434618344269</v>
      </c>
      <c r="AT25" s="23">
        <f t="shared" si="84"/>
        <v>-624.1832331071115</v>
      </c>
      <c r="AU25" s="23">
        <f t="shared" si="84"/>
        <v>-636.66689776925386</v>
      </c>
      <c r="AV25" s="23">
        <f t="shared" si="84"/>
        <v>-649.40023572463895</v>
      </c>
      <c r="AW25" s="23">
        <f t="shared" si="84"/>
        <v>-662.38824043913178</v>
      </c>
      <c r="AX25" s="23">
        <f t="shared" si="84"/>
        <v>-675.63600524791434</v>
      </c>
      <c r="AY25" s="23">
        <f t="shared" si="84"/>
        <v>-682.39236530039352</v>
      </c>
      <c r="AZ25" s="23">
        <f t="shared" si="84"/>
        <v>-689.21628895339757</v>
      </c>
      <c r="BA25" s="23">
        <f t="shared" si="84"/>
        <v>-696.10845184293157</v>
      </c>
      <c r="BB25" s="23">
        <f t="shared" si="84"/>
        <v>-703.06953636136097</v>
      </c>
      <c r="BC25" s="23">
        <f t="shared" si="84"/>
        <v>-706.58488404316768</v>
      </c>
      <c r="BD25" s="23">
        <f t="shared" si="84"/>
        <v>-710.11780846338343</v>
      </c>
      <c r="BE25" s="23">
        <f t="shared" ref="BE25:BM25" si="85">-BE13*0.0005</f>
        <v>-717.21898654801737</v>
      </c>
      <c r="BF25" s="23">
        <f t="shared" si="85"/>
        <v>-720.80508148075739</v>
      </c>
      <c r="BG25" s="23">
        <f t="shared" si="85"/>
        <v>-724.40910688816109</v>
      </c>
      <c r="BH25" s="23">
        <f t="shared" si="85"/>
        <v>-731.65319795704261</v>
      </c>
      <c r="BI25" s="23">
        <f t="shared" si="85"/>
        <v>-735.31146394682776</v>
      </c>
      <c r="BJ25" s="23">
        <f t="shared" si="85"/>
        <v>-738.98802126656176</v>
      </c>
      <c r="BK25" s="23">
        <f t="shared" si="85"/>
        <v>-746.37790147922738</v>
      </c>
      <c r="BL25" s="23">
        <f t="shared" si="85"/>
        <v>-750.10979098662335</v>
      </c>
      <c r="BM25" s="23">
        <f t="shared" si="85"/>
        <v>-753.8603399415565</v>
      </c>
    </row>
    <row r="26" spans="3:65" x14ac:dyDescent="0.2">
      <c r="C26" s="5" t="s">
        <v>22</v>
      </c>
      <c r="D26" s="7">
        <f t="shared" ref="D26" si="86">D23-D24+D25</f>
        <v>3990</v>
      </c>
      <c r="E26" s="7">
        <f t="shared" ref="E26" si="87">E23-E24+E25</f>
        <v>6476</v>
      </c>
      <c r="F26" s="7">
        <f t="shared" ref="F26:G26" si="88">F23-F24+F25</f>
        <v>5135</v>
      </c>
      <c r="G26" s="7">
        <f t="shared" si="88"/>
        <v>9664</v>
      </c>
      <c r="H26" s="7">
        <f t="shared" ref="H26" si="89">H23-H24+H25</f>
        <v>2730</v>
      </c>
      <c r="I26" s="7">
        <f t="shared" ref="I26" si="90">I23-I24+I25</f>
        <v>4276</v>
      </c>
      <c r="J26" s="7">
        <f t="shared" ref="J26:K26" si="91">J23-J24+J25</f>
        <v>3105</v>
      </c>
      <c r="K26" s="7">
        <f t="shared" si="91"/>
        <v>5400</v>
      </c>
      <c r="L26" s="7">
        <f t="shared" ref="L26" si="92">L23-L24+L25</f>
        <v>2054</v>
      </c>
      <c r="M26" s="7">
        <f t="shared" ref="M26" si="93">M23-M24+M25</f>
        <v>5149</v>
      </c>
      <c r="N26" s="7">
        <f t="shared" ref="N26:O26" si="94">N23-N24+N25</f>
        <v>-1798</v>
      </c>
      <c r="O26" s="7">
        <f t="shared" si="94"/>
        <v>6275</v>
      </c>
      <c r="P26" s="7">
        <f t="shared" ref="P26" si="95">P23-P24+P25</f>
        <v>1673</v>
      </c>
      <c r="Q26" s="7">
        <f t="shared" ref="Q26" si="96">Q23-Q24+Q25</f>
        <v>7891</v>
      </c>
      <c r="R26" s="7">
        <f t="shared" ref="R26" si="97">R23-R24+R25</f>
        <v>453</v>
      </c>
      <c r="S26" s="7">
        <f t="shared" ref="S26" si="98">S23-S24+S25</f>
        <v>5494</v>
      </c>
      <c r="T26" s="7">
        <f>T23-T24+T25</f>
        <v>5104</v>
      </c>
      <c r="U26" s="7">
        <f t="shared" ref="U26" si="99">U23-U24+U25</f>
        <v>-15</v>
      </c>
      <c r="V26" s="7">
        <f t="shared" ref="V26:W26" si="100">V23-V24+V25</f>
        <v>-15</v>
      </c>
      <c r="W26" s="7">
        <f t="shared" si="100"/>
        <v>10437</v>
      </c>
      <c r="Z26" s="7">
        <f t="shared" ref="Z26:AB26" si="101">Z23-Z24+Z25</f>
        <v>25265</v>
      </c>
      <c r="AA26" s="7">
        <f t="shared" si="101"/>
        <v>95688</v>
      </c>
      <c r="AB26" s="7">
        <f t="shared" si="101"/>
        <v>53346</v>
      </c>
      <c r="AC26" s="7">
        <f>AC23-AC24+AC25</f>
        <v>82335</v>
      </c>
      <c r="AD26" s="27">
        <f>AD23-AD24+AD25</f>
        <v>56297.628187499999</v>
      </c>
      <c r="AE26" s="27">
        <f t="shared" ref="AE26:BD26" si="102">AE23-AE24+AE25</f>
        <v>59112.509596874996</v>
      </c>
      <c r="AF26" s="27">
        <f t="shared" si="102"/>
        <v>62068.13507671874</v>
      </c>
      <c r="AG26" s="27">
        <f t="shared" si="102"/>
        <v>65171.541830554692</v>
      </c>
      <c r="AH26" s="27">
        <f t="shared" si="102"/>
        <v>68430.118922082431</v>
      </c>
      <c r="AI26" s="27">
        <f t="shared" si="102"/>
        <v>71851.624868186555</v>
      </c>
      <c r="AJ26" s="27">
        <f t="shared" si="102"/>
        <v>75444.206111595879</v>
      </c>
      <c r="AK26" s="27">
        <f t="shared" si="102"/>
        <v>79216.416417175657</v>
      </c>
      <c r="AL26" s="27">
        <f t="shared" si="102"/>
        <v>83177.23723803446</v>
      </c>
      <c r="AM26" s="27">
        <f t="shared" si="102"/>
        <v>87336.099099936197</v>
      </c>
      <c r="AN26" s="27">
        <f t="shared" si="102"/>
        <v>91702.904054932995</v>
      </c>
      <c r="AO26" s="27">
        <f t="shared" si="102"/>
        <v>93536.962136031652</v>
      </c>
      <c r="AP26" s="27">
        <f t="shared" si="102"/>
        <v>95407.701378752288</v>
      </c>
      <c r="AQ26" s="27">
        <f t="shared" si="102"/>
        <v>97315.855406327348</v>
      </c>
      <c r="AR26" s="27">
        <f t="shared" si="102"/>
        <v>99262.17251445388</v>
      </c>
      <c r="AS26" s="27">
        <f t="shared" si="102"/>
        <v>101247.41596474295</v>
      </c>
      <c r="AT26" s="27">
        <f t="shared" si="102"/>
        <v>103272.36428403783</v>
      </c>
      <c r="AU26" s="27">
        <f t="shared" si="102"/>
        <v>105337.81156971859</v>
      </c>
      <c r="AV26" s="27">
        <f t="shared" si="102"/>
        <v>107444.56780111296</v>
      </c>
      <c r="AW26" s="27">
        <f t="shared" si="102"/>
        <v>109593.45915713522</v>
      </c>
      <c r="AX26" s="27">
        <f t="shared" si="102"/>
        <v>111785.32834027795</v>
      </c>
      <c r="AY26" s="27">
        <f t="shared" si="102"/>
        <v>112903.18162368071</v>
      </c>
      <c r="AZ26" s="27">
        <f t="shared" si="102"/>
        <v>114032.21343991754</v>
      </c>
      <c r="BA26" s="27">
        <f t="shared" si="102"/>
        <v>115172.5355743167</v>
      </c>
      <c r="BB26" s="27">
        <f t="shared" si="102"/>
        <v>116324.26093005987</v>
      </c>
      <c r="BC26" s="27">
        <f t="shared" si="102"/>
        <v>116905.88223471018</v>
      </c>
      <c r="BD26" s="27">
        <f t="shared" si="102"/>
        <v>117490.41164588371</v>
      </c>
      <c r="BE26" s="27">
        <f t="shared" ref="BE26" si="103">BE23-BE24+BE25</f>
        <v>118665.31576234256</v>
      </c>
      <c r="BF26" s="27">
        <f t="shared" ref="BF26" si="104">BF23-BF24+BF25</f>
        <v>119258.64234115426</v>
      </c>
      <c r="BG26" s="27">
        <f t="shared" ref="BG26" si="105">BG23-BG24+BG25</f>
        <v>119854.93555286</v>
      </c>
      <c r="BH26" s="27">
        <f t="shared" ref="BH26" si="106">BH23-BH24+BH25</f>
        <v>121053.48490838859</v>
      </c>
      <c r="BI26" s="27">
        <f t="shared" ref="BI26" si="107">BI23-BI24+BI25</f>
        <v>121658.75233293054</v>
      </c>
      <c r="BJ26" s="27">
        <f t="shared" ref="BJ26" si="108">BJ23-BJ24+BJ25</f>
        <v>122267.04609459516</v>
      </c>
      <c r="BK26" s="27">
        <f t="shared" ref="BK26" si="109">BK23-BK24+BK25</f>
        <v>123489.71655554112</v>
      </c>
      <c r="BL26" s="27">
        <f t="shared" ref="BL26" si="110">BL23-BL24+BL25</f>
        <v>124107.1651383188</v>
      </c>
      <c r="BM26" s="27">
        <f t="shared" ref="BM26" si="111">BM23-BM24+BM25</f>
        <v>124727.70096401038</v>
      </c>
    </row>
    <row r="27" spans="3:65" x14ac:dyDescent="0.2">
      <c r="C27" s="5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Z27" s="3"/>
      <c r="AA27" s="3"/>
      <c r="AB27" s="3"/>
      <c r="AC27" s="3"/>
    </row>
    <row r="28" spans="3:65" x14ac:dyDescent="0.2">
      <c r="C28" s="5" t="s">
        <v>23</v>
      </c>
      <c r="D28" s="9">
        <f>D26/D29</f>
        <v>1.4093959731543624</v>
      </c>
      <c r="E28" s="9">
        <f t="shared" ref="E28:S28" si="112">E26/E29</f>
        <v>2.286723163841808</v>
      </c>
      <c r="F28" s="9">
        <f t="shared" si="112"/>
        <v>1.8125661842569714</v>
      </c>
      <c r="G28" s="9">
        <f t="shared" si="112"/>
        <v>3.4613180515759314</v>
      </c>
      <c r="H28" s="9">
        <f t="shared" si="112"/>
        <v>0.96980461811722918</v>
      </c>
      <c r="I28" s="9">
        <f t="shared" si="112"/>
        <v>1.5276884601643443</v>
      </c>
      <c r="J28" s="9">
        <f t="shared" si="112"/>
        <v>1.1149012567324954</v>
      </c>
      <c r="K28" s="9">
        <f t="shared" si="112"/>
        <v>0.6685650612851306</v>
      </c>
      <c r="L28" s="9">
        <f t="shared" si="112"/>
        <v>0.74582425562817722</v>
      </c>
      <c r="M28" s="9">
        <f t="shared" si="112"/>
        <v>1.8819444444444444</v>
      </c>
      <c r="N28" s="9">
        <f t="shared" si="112"/>
        <v>-0.6632239026189598</v>
      </c>
      <c r="O28" s="9">
        <f t="shared" si="112"/>
        <v>0.76795985803451228</v>
      </c>
      <c r="P28" s="9">
        <f t="shared" si="112"/>
        <v>0.2074395536267824</v>
      </c>
      <c r="Q28" s="9">
        <f t="shared" si="112"/>
        <v>2.9301893798737466</v>
      </c>
      <c r="R28" s="9">
        <f t="shared" si="112"/>
        <v>0.1682138878574081</v>
      </c>
      <c r="S28" s="9">
        <f t="shared" si="112"/>
        <v>0.68020304568527923</v>
      </c>
      <c r="T28" s="9">
        <f>T26/T29</f>
        <v>0.63380106792499691</v>
      </c>
      <c r="U28" s="9">
        <f t="shared" ref="U28" si="113">U26/U29</f>
        <v>-1.8591968269707486E-3</v>
      </c>
      <c r="V28" s="9">
        <f t="shared" ref="V28:W28" si="114">V26/V29</f>
        <v>-1.8591968269707486E-3</v>
      </c>
      <c r="W28" s="9">
        <f t="shared" si="114"/>
        <v>1.2921876934505385</v>
      </c>
      <c r="Z28" s="9">
        <f t="shared" ref="Z28:AC28" si="115">Z26/Z29</f>
        <v>8.9528703047484051</v>
      </c>
      <c r="AA28" s="9">
        <f t="shared" si="115"/>
        <v>23.23088128186453</v>
      </c>
      <c r="AB28" s="9">
        <f t="shared" si="115"/>
        <v>13.033471781089665</v>
      </c>
      <c r="AC28" s="9">
        <f t="shared" si="115"/>
        <v>15.298216276477145</v>
      </c>
    </row>
    <row r="29" spans="3:65" x14ac:dyDescent="0.2">
      <c r="C29" s="5" t="s">
        <v>24</v>
      </c>
      <c r="D29" s="11">
        <v>2831</v>
      </c>
      <c r="E29" s="11">
        <v>2832</v>
      </c>
      <c r="F29" s="11">
        <v>2833</v>
      </c>
      <c r="G29" s="11">
        <v>2792</v>
      </c>
      <c r="H29" s="11">
        <v>2815</v>
      </c>
      <c r="I29" s="11">
        <v>2799</v>
      </c>
      <c r="J29" s="11">
        <v>2785</v>
      </c>
      <c r="K29" s="11">
        <v>8077</v>
      </c>
      <c r="L29" s="11">
        <v>2754</v>
      </c>
      <c r="M29" s="11">
        <v>2736</v>
      </c>
      <c r="N29" s="11">
        <v>2711</v>
      </c>
      <c r="O29" s="11">
        <v>8171</v>
      </c>
      <c r="P29" s="11">
        <v>8065</v>
      </c>
      <c r="Q29" s="11">
        <v>2693</v>
      </c>
      <c r="R29" s="11">
        <v>2693</v>
      </c>
      <c r="S29" s="11">
        <v>8077</v>
      </c>
      <c r="T29" s="11">
        <v>8053</v>
      </c>
      <c r="U29" s="11">
        <v>8068</v>
      </c>
      <c r="V29" s="11">
        <v>8068</v>
      </c>
      <c r="W29" s="11">
        <v>8077</v>
      </c>
      <c r="Z29" s="11">
        <f>AVERAGE(D29:G29)</f>
        <v>2822</v>
      </c>
      <c r="AA29" s="11">
        <f>AVERAGE(H29:K29)</f>
        <v>4119</v>
      </c>
      <c r="AB29" s="11">
        <f>AVERAGE(L29:O29)</f>
        <v>4093</v>
      </c>
      <c r="AC29" s="11">
        <f>AVERAGE(P29:S29)</f>
        <v>5382</v>
      </c>
    </row>
    <row r="30" spans="3:65" x14ac:dyDescent="0.2">
      <c r="C30" s="5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3:65" x14ac:dyDescent="0.2">
      <c r="C31" s="5" t="s">
        <v>25</v>
      </c>
      <c r="D31" s="10">
        <f t="shared" ref="D31" si="116">D16/D13</f>
        <v>3.8804950156735157E-2</v>
      </c>
      <c r="E31" s="10">
        <f t="shared" ref="E31:S31" si="117">E16/E13</f>
        <v>4.3988035602793629E-2</v>
      </c>
      <c r="F31" s="10">
        <f t="shared" si="117"/>
        <v>4.2892775484752205E-2</v>
      </c>
      <c r="G31" s="10">
        <f t="shared" si="117"/>
        <v>5.3602684660977055E-2</v>
      </c>
      <c r="H31" s="10">
        <f t="shared" si="117"/>
        <v>4.9953004121177064E-2</v>
      </c>
      <c r="I31" s="10">
        <f t="shared" si="117"/>
        <v>5.2138279167375644E-2</v>
      </c>
      <c r="J31" s="10">
        <f t="shared" si="117"/>
        <v>4.1216865326454369E-2</v>
      </c>
      <c r="K31" s="10">
        <f t="shared" ref="K31" si="118">K16/K13</f>
        <v>3.048080546087048E-2</v>
      </c>
      <c r="L31" s="10">
        <f t="shared" si="117"/>
        <v>3.7564721090069156E-2</v>
      </c>
      <c r="M31" s="10">
        <f t="shared" si="117"/>
        <v>4.4838707567104327E-2</v>
      </c>
      <c r="N31" s="10">
        <f t="shared" si="117"/>
        <v>1.7635934115552997E-2</v>
      </c>
      <c r="O31" s="10">
        <f t="shared" ref="O31" si="119">O16/O13</f>
        <v>3.3898615039500632E-2</v>
      </c>
      <c r="P31" s="10">
        <f t="shared" si="117"/>
        <v>4.0971497232454156E-2</v>
      </c>
      <c r="Q31" s="10">
        <f t="shared" si="117"/>
        <v>4.5263314195208869E-2</v>
      </c>
      <c r="R31" s="10">
        <f t="shared" si="117"/>
        <v>3.8568692321086541E-2</v>
      </c>
      <c r="S31" s="10">
        <f t="shared" si="117"/>
        <v>4.1836805315246729E-2</v>
      </c>
      <c r="T31" s="10">
        <f>T16/T13</f>
        <v>4.2357034945637369E-2</v>
      </c>
      <c r="U31" s="10" t="e">
        <f t="shared" ref="U31:V31" si="120">U16/U13</f>
        <v>#DIV/0!</v>
      </c>
      <c r="V31" s="10" t="e">
        <f t="shared" si="120"/>
        <v>#DIV/0!</v>
      </c>
      <c r="W31" s="10">
        <f>W16/W13</f>
        <v>4.1451490597328083E-2</v>
      </c>
      <c r="Z31" s="10">
        <f t="shared" ref="Z31:AC31" si="121">Z16/Z13</f>
        <v>4.5293441861602016E-2</v>
      </c>
      <c r="AA31" s="10">
        <f t="shared" si="121"/>
        <v>0.15322661523625844</v>
      </c>
      <c r="AB31" s="10">
        <f t="shared" si="121"/>
        <v>9.8910662550773853E-2</v>
      </c>
      <c r="AC31" s="10">
        <f t="shared" si="121"/>
        <v>0.14117029893924782</v>
      </c>
      <c r="AD31" s="10">
        <f t="shared" ref="AD31:BM31" si="122">AD16/AD13</f>
        <v>0.11</v>
      </c>
      <c r="AE31" s="10">
        <f t="shared" si="122"/>
        <v>0.11</v>
      </c>
      <c r="AF31" s="10">
        <f t="shared" si="122"/>
        <v>0.10999999999999999</v>
      </c>
      <c r="AG31" s="10">
        <f t="shared" si="122"/>
        <v>0.11000000000000001</v>
      </c>
      <c r="AH31" s="10">
        <f t="shared" si="122"/>
        <v>0.11</v>
      </c>
      <c r="AI31" s="10">
        <f t="shared" si="122"/>
        <v>0.11000000000000001</v>
      </c>
      <c r="AJ31" s="10">
        <f t="shared" si="122"/>
        <v>0.11</v>
      </c>
      <c r="AK31" s="10">
        <f t="shared" si="122"/>
        <v>0.11</v>
      </c>
      <c r="AL31" s="10">
        <f t="shared" si="122"/>
        <v>0.11</v>
      </c>
      <c r="AM31" s="10">
        <f t="shared" si="122"/>
        <v>0.11</v>
      </c>
      <c r="AN31" s="10">
        <f t="shared" si="122"/>
        <v>0.11</v>
      </c>
      <c r="AO31" s="10">
        <f t="shared" si="122"/>
        <v>0.11</v>
      </c>
      <c r="AP31" s="10">
        <f t="shared" si="122"/>
        <v>0.11</v>
      </c>
      <c r="AQ31" s="10">
        <f t="shared" si="122"/>
        <v>0.11</v>
      </c>
      <c r="AR31" s="10">
        <f t="shared" si="122"/>
        <v>0.11000000000000001</v>
      </c>
      <c r="AS31" s="10">
        <f t="shared" si="122"/>
        <v>0.11</v>
      </c>
      <c r="AT31" s="10">
        <f t="shared" si="122"/>
        <v>0.11</v>
      </c>
      <c r="AU31" s="10">
        <f t="shared" si="122"/>
        <v>0.11</v>
      </c>
      <c r="AV31" s="10">
        <f t="shared" si="122"/>
        <v>0.10999999999999999</v>
      </c>
      <c r="AW31" s="10">
        <f t="shared" si="122"/>
        <v>0.11</v>
      </c>
      <c r="AX31" s="10">
        <f t="shared" si="122"/>
        <v>0.11000000000000001</v>
      </c>
      <c r="AY31" s="10">
        <f t="shared" si="122"/>
        <v>0.11</v>
      </c>
      <c r="AZ31" s="10">
        <f t="shared" si="122"/>
        <v>0.11</v>
      </c>
      <c r="BA31" s="10">
        <f t="shared" si="122"/>
        <v>0.10999999999999999</v>
      </c>
      <c r="BB31" s="10">
        <f t="shared" si="122"/>
        <v>0.11</v>
      </c>
      <c r="BC31" s="10">
        <f t="shared" si="122"/>
        <v>0.11</v>
      </c>
      <c r="BD31" s="10">
        <f t="shared" si="122"/>
        <v>0.11</v>
      </c>
      <c r="BE31" s="10">
        <f t="shared" si="122"/>
        <v>0.10999999999999999</v>
      </c>
      <c r="BF31" s="10">
        <f t="shared" si="122"/>
        <v>0.11</v>
      </c>
      <c r="BG31" s="10">
        <f t="shared" si="122"/>
        <v>0.11</v>
      </c>
      <c r="BH31" s="10">
        <f t="shared" si="122"/>
        <v>0.11</v>
      </c>
      <c r="BI31" s="10">
        <f t="shared" si="122"/>
        <v>0.11</v>
      </c>
      <c r="BJ31" s="10">
        <f t="shared" si="122"/>
        <v>0.11000000000000001</v>
      </c>
      <c r="BK31" s="10">
        <f t="shared" si="122"/>
        <v>0.11</v>
      </c>
      <c r="BL31" s="10">
        <f t="shared" si="122"/>
        <v>0.11</v>
      </c>
      <c r="BM31" s="10">
        <f t="shared" si="122"/>
        <v>0.10999999999999999</v>
      </c>
    </row>
    <row r="32" spans="3:65" x14ac:dyDescent="0.2">
      <c r="C32" s="5" t="s">
        <v>26</v>
      </c>
      <c r="H32" s="10">
        <f>H13/D13-1</f>
        <v>2.7395225148935554E-2</v>
      </c>
      <c r="K32" s="10">
        <f>K13/G13-1</f>
        <v>0.37759080648471177</v>
      </c>
      <c r="O32" s="10">
        <f>O13/K13-1</f>
        <v>-0.28125410748240898</v>
      </c>
      <c r="S32" s="10">
        <f>S13/O13-1</f>
        <v>5.6934555739783566E-2</v>
      </c>
      <c r="T32" s="10"/>
      <c r="W32" s="10">
        <f>W13/S13-1</f>
        <v>1.8065206357994787</v>
      </c>
      <c r="Z32" s="28"/>
      <c r="AA32" s="28">
        <f t="shared" ref="AA32:AC32" si="123">AA13/Z13-1</f>
        <v>0.13159401767600043</v>
      </c>
      <c r="AB32" s="28">
        <f t="shared" si="123"/>
        <v>-5.6834715525554524E-2</v>
      </c>
      <c r="AC32" s="28">
        <f t="shared" si="123"/>
        <v>6.02595499019285E-2</v>
      </c>
      <c r="AD32" s="28">
        <f>AD13/AC13-1</f>
        <v>5.0000000000000044E-2</v>
      </c>
      <c r="AE32" s="28">
        <f t="shared" ref="AE32:BM32" si="124">AE13/AD13-1</f>
        <v>5.0000000000000044E-2</v>
      </c>
      <c r="AF32" s="28">
        <f t="shared" si="124"/>
        <v>5.0000000000000044E-2</v>
      </c>
      <c r="AG32" s="28">
        <f t="shared" si="124"/>
        <v>5.0000000000000044E-2</v>
      </c>
      <c r="AH32" s="28">
        <f t="shared" si="124"/>
        <v>5.0000000000000044E-2</v>
      </c>
      <c r="AI32" s="28">
        <f t="shared" si="124"/>
        <v>5.0000000000000044E-2</v>
      </c>
      <c r="AJ32" s="28">
        <f t="shared" si="124"/>
        <v>5.0000000000000044E-2</v>
      </c>
      <c r="AK32" s="28">
        <f t="shared" si="124"/>
        <v>5.0000000000000044E-2</v>
      </c>
      <c r="AL32" s="28">
        <f t="shared" si="124"/>
        <v>5.0000000000000044E-2</v>
      </c>
      <c r="AM32" s="28">
        <f t="shared" si="124"/>
        <v>5.0000000000000044E-2</v>
      </c>
      <c r="AN32" s="28">
        <f t="shared" si="124"/>
        <v>5.0000000000000044E-2</v>
      </c>
      <c r="AO32" s="28">
        <f t="shared" si="124"/>
        <v>2.0000000000000018E-2</v>
      </c>
      <c r="AP32" s="28">
        <f t="shared" si="124"/>
        <v>2.0000000000000018E-2</v>
      </c>
      <c r="AQ32" s="28">
        <f t="shared" si="124"/>
        <v>2.0000000000000018E-2</v>
      </c>
      <c r="AR32" s="28">
        <f t="shared" si="124"/>
        <v>2.0000000000000018E-2</v>
      </c>
      <c r="AS32" s="28">
        <f t="shared" si="124"/>
        <v>2.0000000000000018E-2</v>
      </c>
      <c r="AT32" s="28">
        <f t="shared" si="124"/>
        <v>2.0000000000000018E-2</v>
      </c>
      <c r="AU32" s="28">
        <f t="shared" si="124"/>
        <v>2.0000000000000018E-2</v>
      </c>
      <c r="AV32" s="28">
        <f t="shared" si="124"/>
        <v>2.0000000000000018E-2</v>
      </c>
      <c r="AW32" s="28">
        <f t="shared" si="124"/>
        <v>2.0000000000000018E-2</v>
      </c>
      <c r="AX32" s="28">
        <f t="shared" si="124"/>
        <v>2.0000000000000018E-2</v>
      </c>
      <c r="AY32" s="28">
        <f t="shared" si="124"/>
        <v>1.0000000000000009E-2</v>
      </c>
      <c r="AZ32" s="28">
        <f t="shared" si="124"/>
        <v>1.0000000000000009E-2</v>
      </c>
      <c r="BA32" s="28">
        <f t="shared" si="124"/>
        <v>1.0000000000000009E-2</v>
      </c>
      <c r="BB32" s="28">
        <f t="shared" si="124"/>
        <v>1.0000000000000009E-2</v>
      </c>
      <c r="BC32" s="28">
        <f t="shared" si="124"/>
        <v>4.9999999999998934E-3</v>
      </c>
      <c r="BD32" s="28">
        <f t="shared" si="124"/>
        <v>4.9999999999998934E-3</v>
      </c>
      <c r="BE32" s="28">
        <f t="shared" si="124"/>
        <v>1.0000000000000009E-2</v>
      </c>
      <c r="BF32" s="28">
        <f t="shared" si="124"/>
        <v>4.9999999999998934E-3</v>
      </c>
      <c r="BG32" s="28">
        <f t="shared" si="124"/>
        <v>4.9999999999998934E-3</v>
      </c>
      <c r="BH32" s="28">
        <f t="shared" si="124"/>
        <v>1.0000000000000009E-2</v>
      </c>
      <c r="BI32" s="28">
        <f t="shared" si="124"/>
        <v>4.9999999999998934E-3</v>
      </c>
      <c r="BJ32" s="28">
        <f t="shared" si="124"/>
        <v>4.9999999999998934E-3</v>
      </c>
      <c r="BK32" s="28">
        <f t="shared" si="124"/>
        <v>1.0000000000000009E-2</v>
      </c>
      <c r="BL32" s="28">
        <f t="shared" si="124"/>
        <v>4.9999999999998934E-3</v>
      </c>
      <c r="BM32" s="28">
        <f t="shared" si="124"/>
        <v>4.9999999999998934E-3</v>
      </c>
    </row>
    <row r="33" spans="3:65" x14ac:dyDescent="0.2">
      <c r="C33" s="5" t="s">
        <v>21</v>
      </c>
      <c r="D33" s="10">
        <f>D24/D23</f>
        <v>0.24499629355077834</v>
      </c>
      <c r="E33" s="10">
        <f t="shared" ref="E33:W33" si="125">E24/E23</f>
        <v>0.25526254915567892</v>
      </c>
      <c r="F33" s="10">
        <f t="shared" si="125"/>
        <v>0.2690091356289529</v>
      </c>
      <c r="G33" s="10">
        <f t="shared" si="125"/>
        <v>-7.5238199540028472E-2</v>
      </c>
      <c r="H33" s="10">
        <f t="shared" si="125"/>
        <v>0.26873048907388136</v>
      </c>
      <c r="I33" s="10">
        <f t="shared" si="125"/>
        <v>0.26321121053520175</v>
      </c>
      <c r="J33" s="10">
        <f t="shared" si="125"/>
        <v>0.24475524475524477</v>
      </c>
      <c r="K33" s="10">
        <f t="shared" si="125"/>
        <v>0.24842450214267708</v>
      </c>
      <c r="L33" s="10">
        <f t="shared" si="125"/>
        <v>0.27507755946225437</v>
      </c>
      <c r="M33" s="10">
        <f t="shared" si="125"/>
        <v>0.225316074653823</v>
      </c>
      <c r="N33" s="10">
        <f t="shared" si="125"/>
        <v>-0.23480083857442349</v>
      </c>
      <c r="O33" s="10">
        <f t="shared" si="125"/>
        <v>0.34745001123343067</v>
      </c>
      <c r="P33" s="10">
        <f t="shared" si="125"/>
        <v>0.29464285714285715</v>
      </c>
      <c r="Q33" s="10">
        <f t="shared" si="125"/>
        <v>0.24927752400484757</v>
      </c>
      <c r="R33" s="10">
        <f t="shared" si="125"/>
        <v>0.29726775956284152</v>
      </c>
      <c r="S33" s="10">
        <f t="shared" si="125"/>
        <v>0.24474594306996542</v>
      </c>
      <c r="T33" s="10">
        <f t="shared" si="125"/>
        <v>0.24562899786780384</v>
      </c>
      <c r="U33" s="10">
        <f t="shared" si="125"/>
        <v>0</v>
      </c>
      <c r="V33" s="10">
        <f t="shared" si="125"/>
        <v>0</v>
      </c>
      <c r="W33" s="10">
        <f t="shared" si="125"/>
        <v>0.2593815266455568</v>
      </c>
      <c r="Z33" s="10">
        <f t="shared" ref="Z33:AB33" si="126">Z24/Z23</f>
        <v>0.15702588483888008</v>
      </c>
      <c r="AA33" s="10">
        <f t="shared" si="126"/>
        <v>4.4483613658769752E-2</v>
      </c>
      <c r="AB33" s="10">
        <f t="shared" si="126"/>
        <v>6.6355075233693578E-2</v>
      </c>
      <c r="AC33" s="10">
        <f>AC24/AC23</f>
        <v>3.4110157116990829E-2</v>
      </c>
      <c r="AD33" s="10">
        <f t="shared" ref="AD33:BM33" si="127">AD24/AD23</f>
        <v>0.22</v>
      </c>
      <c r="AE33" s="10">
        <f t="shared" si="127"/>
        <v>0.21999999999999997</v>
      </c>
      <c r="AF33" s="10">
        <f t="shared" si="127"/>
        <v>0.22000000000000003</v>
      </c>
      <c r="AG33" s="10">
        <f t="shared" si="127"/>
        <v>0.22</v>
      </c>
      <c r="AH33" s="10">
        <f t="shared" si="127"/>
        <v>0.22</v>
      </c>
      <c r="AI33" s="10">
        <f t="shared" si="127"/>
        <v>0.22</v>
      </c>
      <c r="AJ33" s="10">
        <f t="shared" si="127"/>
        <v>0.21999999999999997</v>
      </c>
      <c r="AK33" s="10">
        <f t="shared" si="127"/>
        <v>0.22000000000000003</v>
      </c>
      <c r="AL33" s="10">
        <f t="shared" si="127"/>
        <v>0.22000000000000003</v>
      </c>
      <c r="AM33" s="10">
        <f t="shared" si="127"/>
        <v>0.22000000000000003</v>
      </c>
      <c r="AN33" s="10">
        <f t="shared" si="127"/>
        <v>0.22</v>
      </c>
      <c r="AO33" s="10">
        <f t="shared" si="127"/>
        <v>0.22</v>
      </c>
      <c r="AP33" s="10">
        <f t="shared" si="127"/>
        <v>0.22</v>
      </c>
      <c r="AQ33" s="10">
        <f t="shared" si="127"/>
        <v>0.22</v>
      </c>
      <c r="AR33" s="10">
        <f t="shared" si="127"/>
        <v>0.22</v>
      </c>
      <c r="AS33" s="10">
        <f t="shared" si="127"/>
        <v>0.22</v>
      </c>
      <c r="AT33" s="10">
        <f t="shared" si="127"/>
        <v>0.22</v>
      </c>
      <c r="AU33" s="10">
        <f t="shared" si="127"/>
        <v>0.22</v>
      </c>
      <c r="AV33" s="10">
        <f t="shared" si="127"/>
        <v>0.22</v>
      </c>
      <c r="AW33" s="10">
        <f t="shared" si="127"/>
        <v>0.22</v>
      </c>
      <c r="AX33" s="10">
        <f t="shared" si="127"/>
        <v>0.22</v>
      </c>
      <c r="AY33" s="10">
        <f t="shared" si="127"/>
        <v>0.22</v>
      </c>
      <c r="AZ33" s="10">
        <f t="shared" si="127"/>
        <v>0.22</v>
      </c>
      <c r="BA33" s="10">
        <f t="shared" si="127"/>
        <v>0.22</v>
      </c>
      <c r="BB33" s="10">
        <f t="shared" si="127"/>
        <v>0.22</v>
      </c>
      <c r="BC33" s="10">
        <f t="shared" si="127"/>
        <v>0.21999999999999997</v>
      </c>
      <c r="BD33" s="10">
        <f t="shared" si="127"/>
        <v>0.22000000000000003</v>
      </c>
      <c r="BE33" s="10">
        <f t="shared" si="127"/>
        <v>0.21999999999999997</v>
      </c>
      <c r="BF33" s="10">
        <f t="shared" si="127"/>
        <v>0.22</v>
      </c>
      <c r="BG33" s="10">
        <f t="shared" si="127"/>
        <v>0.22</v>
      </c>
      <c r="BH33" s="10">
        <f t="shared" si="127"/>
        <v>0.22000000000000003</v>
      </c>
      <c r="BI33" s="10">
        <f t="shared" si="127"/>
        <v>0.21999999999999997</v>
      </c>
      <c r="BJ33" s="10">
        <f t="shared" si="127"/>
        <v>0.22000000000000003</v>
      </c>
      <c r="BK33" s="10">
        <f t="shared" si="127"/>
        <v>0.22</v>
      </c>
      <c r="BL33" s="10">
        <f t="shared" si="127"/>
        <v>0.22000000000000003</v>
      </c>
      <c r="BM33" s="10">
        <f t="shared" si="127"/>
        <v>0.21999999999999997</v>
      </c>
    </row>
    <row r="34" spans="3:65" x14ac:dyDescent="0.2">
      <c r="C34" s="5" t="s">
        <v>59</v>
      </c>
      <c r="D34" s="10">
        <f>D15/D13</f>
        <v>0.20332486517805412</v>
      </c>
      <c r="E34" s="10">
        <f t="shared" ref="E34:W34" si="128">E15/E13</f>
        <v>0.21049498337471503</v>
      </c>
      <c r="F34" s="10">
        <f t="shared" si="128"/>
        <v>0.21224426166226207</v>
      </c>
      <c r="G34" s="10">
        <f t="shared" si="128"/>
        <v>0.19830156564985937</v>
      </c>
      <c r="H34" s="10">
        <f t="shared" si="128"/>
        <v>0.20337647314004773</v>
      </c>
      <c r="I34" s="10">
        <f t="shared" si="128"/>
        <v>0.20213686121036811</v>
      </c>
      <c r="J34" s="10">
        <f t="shared" si="128"/>
        <v>0.21142145525707171</v>
      </c>
      <c r="K34" s="10">
        <f t="shared" si="128"/>
        <v>0.19549863741116885</v>
      </c>
      <c r="L34" s="10">
        <f t="shared" si="128"/>
        <v>0.20770083846039741</v>
      </c>
      <c r="M34" s="10">
        <f t="shared" si="128"/>
        <v>0.19735180787523143</v>
      </c>
      <c r="N34" s="10">
        <f t="shared" si="128"/>
        <v>0.22579885219189466</v>
      </c>
      <c r="O34" s="10">
        <f t="shared" si="128"/>
        <v>0.20155076562957183</v>
      </c>
      <c r="P34" s="10">
        <f t="shared" si="128"/>
        <v>0.20208009139795535</v>
      </c>
      <c r="Q34" s="10">
        <f t="shared" si="128"/>
        <v>0.20086369035834489</v>
      </c>
      <c r="R34" s="10">
        <f t="shared" si="128"/>
        <v>0.20782443222805402</v>
      </c>
      <c r="S34" s="10">
        <f t="shared" si="128"/>
        <v>0.19787413200452164</v>
      </c>
      <c r="T34" s="10">
        <f t="shared" si="128"/>
        <v>0.20578547192708721</v>
      </c>
      <c r="U34" s="10" t="e">
        <f t="shared" si="128"/>
        <v>#DIV/0!</v>
      </c>
      <c r="V34" s="10" t="e">
        <f t="shared" si="128"/>
        <v>#DIV/0!</v>
      </c>
      <c r="W34" s="10">
        <f t="shared" si="128"/>
        <v>0.20084583974665907</v>
      </c>
    </row>
    <row r="35" spans="3:65" x14ac:dyDescent="0.2">
      <c r="C35" s="5" t="s">
        <v>74</v>
      </c>
      <c r="D35" s="21">
        <f>D21/D16</f>
        <v>0.10509188361408882</v>
      </c>
      <c r="E35" s="21">
        <f t="shared" ref="E35:T35" si="129">E21/E16</f>
        <v>0.10480277273477472</v>
      </c>
      <c r="F35" s="21">
        <f t="shared" si="129"/>
        <v>8.9304257528556599E-2</v>
      </c>
      <c r="G35" s="21">
        <f t="shared" si="129"/>
        <v>1.5313590811845513E-2</v>
      </c>
      <c r="H35" s="21">
        <f>H21/H16</f>
        <v>7.7579968157475754E-2</v>
      </c>
      <c r="I35" s="21">
        <f t="shared" si="129"/>
        <v>6.4998640195811808E-2</v>
      </c>
      <c r="J35" s="21">
        <f t="shared" si="129"/>
        <v>7.6312154696132603E-2</v>
      </c>
      <c r="K35" s="21">
        <f t="shared" si="129"/>
        <v>9.7887020267356614E-2</v>
      </c>
      <c r="L35" s="21">
        <f t="shared" si="129"/>
        <v>7.8789018427980445E-2</v>
      </c>
      <c r="M35" s="21">
        <f t="shared" si="129"/>
        <v>6.5363291508608118E-2</v>
      </c>
      <c r="N35" s="21">
        <f t="shared" si="129"/>
        <v>0.18552875695732837</v>
      </c>
      <c r="O35" s="21">
        <f t="shared" si="129"/>
        <v>9.1170652760294915E-2</v>
      </c>
      <c r="P35" s="21">
        <f t="shared" si="129"/>
        <v>8.9262820512820515E-2</v>
      </c>
      <c r="Q35" s="21">
        <f t="shared" si="129"/>
        <v>6.7523236741388742E-2</v>
      </c>
      <c r="R35" s="21">
        <f t="shared" si="129"/>
        <v>8.6584972589487261E-2</v>
      </c>
      <c r="S35" s="21">
        <f t="shared" si="129"/>
        <v>7.5682382133995044E-2</v>
      </c>
      <c r="T35" s="21">
        <f t="shared" si="129"/>
        <v>8.7706475661453009E-2</v>
      </c>
      <c r="Z35" s="21">
        <f>Z21/Z16</f>
        <v>7.0773263433813891E-2</v>
      </c>
      <c r="AA35" s="21">
        <f t="shared" ref="AA35" si="130">AA21/AA16</f>
        <v>1.8356660960628334E-2</v>
      </c>
      <c r="AB35" s="21"/>
      <c r="AC35" s="21"/>
    </row>
    <row r="36" spans="3:65" x14ac:dyDescent="0.2">
      <c r="C36" s="5"/>
      <c r="D36" s="21">
        <f>D22/D16</f>
        <v>-0.13801684532924963</v>
      </c>
      <c r="E36" s="21">
        <f t="shared" ref="E36:S36" si="131">E22/E16</f>
        <v>-0.53177091929361275</v>
      </c>
      <c r="F36" s="21">
        <f t="shared" si="131"/>
        <v>-0.32069920387677397</v>
      </c>
      <c r="G36" s="21">
        <f t="shared" si="131"/>
        <v>-4.3463573921855646E-2</v>
      </c>
      <c r="H36" s="21">
        <f t="shared" si="131"/>
        <v>0.36604429005644812</v>
      </c>
      <c r="I36" s="21">
        <f t="shared" si="131"/>
        <v>0.12958933913516454</v>
      </c>
      <c r="J36" s="21">
        <f t="shared" si="131"/>
        <v>0.20770027624309392</v>
      </c>
      <c r="K36" s="21">
        <f t="shared" si="131"/>
        <v>-0.23832111542331463</v>
      </c>
      <c r="L36" s="21">
        <f t="shared" si="131"/>
        <v>0.37570515231289958</v>
      </c>
      <c r="M36" s="21">
        <f t="shared" si="131"/>
        <v>-3.4724248613948058E-2</v>
      </c>
      <c r="N36" s="21">
        <f t="shared" si="131"/>
        <v>1.3454545454545455</v>
      </c>
      <c r="O36" s="21">
        <f t="shared" si="131"/>
        <v>-0.69196187736018699</v>
      </c>
      <c r="P36" s="21">
        <f t="shared" si="131"/>
        <v>0.47996794871794873</v>
      </c>
      <c r="Q36" s="21">
        <f t="shared" si="131"/>
        <v>-0.53376161837069436</v>
      </c>
      <c r="R36" s="21">
        <f t="shared" si="131"/>
        <v>0.76588197355691712</v>
      </c>
      <c r="S36" s="21">
        <f t="shared" si="131"/>
        <v>-0.11207609594706369</v>
      </c>
      <c r="T36" s="21">
        <f t="shared" ref="T36" si="132">T22/T13</f>
        <v>-4.9161651435223027E-3</v>
      </c>
      <c r="Z36" t="s">
        <v>62</v>
      </c>
      <c r="AA36" t="s">
        <v>73</v>
      </c>
      <c r="AD36" s="21"/>
      <c r="AE36" s="21"/>
      <c r="AF36" s="21"/>
      <c r="AG36" s="21"/>
    </row>
    <row r="37" spans="3:65" x14ac:dyDescent="0.2">
      <c r="T37" s="22">
        <f>AVERAGE(D36:T36)</f>
        <v>6.0037168364517376E-2</v>
      </c>
      <c r="Z37" t="s">
        <v>63</v>
      </c>
      <c r="AA37" s="22">
        <f t="shared" ref="AA37" si="133">AVERAGE(D32:V32)</f>
        <v>4.5166619972755478E-2</v>
      </c>
      <c r="AC37" s="21"/>
    </row>
    <row r="38" spans="3:65" x14ac:dyDescent="0.2">
      <c r="D38" s="22">
        <f>D25/D13</f>
        <v>-6.2396933636404159E-4</v>
      </c>
      <c r="E38" s="22">
        <f t="shared" ref="E38:S38" si="134">E25/E13</f>
        <v>2.6861814116246316E-4</v>
      </c>
      <c r="F38" s="22">
        <f t="shared" si="134"/>
        <v>-4.899486296285299E-4</v>
      </c>
      <c r="G38" s="22">
        <f t="shared" si="134"/>
        <v>-9.2949143540034529E-4</v>
      </c>
      <c r="H38" s="22">
        <f t="shared" si="134"/>
        <v>-5.8564095148579283E-4</v>
      </c>
      <c r="I38" s="22">
        <f t="shared" si="134"/>
        <v>-6.2390108331915372E-4</v>
      </c>
      <c r="J38" s="22">
        <f t="shared" si="134"/>
        <v>-1.9213663049279489E-4</v>
      </c>
      <c r="K38" s="22">
        <f t="shared" si="134"/>
        <v>-2.4666801026980135E-3</v>
      </c>
      <c r="L38" s="22">
        <f t="shared" si="134"/>
        <v>-3.4612097281184443E-4</v>
      </c>
      <c r="M38" s="22">
        <f t="shared" si="134"/>
        <v>1.3083953185615502E-5</v>
      </c>
      <c r="N38" s="22">
        <f t="shared" si="134"/>
        <v>-2.0286232192287307E-4</v>
      </c>
      <c r="O38" s="22">
        <f t="shared" si="134"/>
        <v>2.8406320101433727E-3</v>
      </c>
      <c r="P38" s="22">
        <f t="shared" si="134"/>
        <v>-1.4642057504546918E-3</v>
      </c>
      <c r="Q38" s="22">
        <f t="shared" si="134"/>
        <v>-1.0022767768758662E-3</v>
      </c>
      <c r="R38" s="22">
        <f t="shared" si="134"/>
        <v>-1.1815626476953309E-3</v>
      </c>
      <c r="S38" s="22">
        <f t="shared" si="134"/>
        <v>-1.0612037741942926E-3</v>
      </c>
      <c r="Z38" t="s">
        <v>58</v>
      </c>
      <c r="AA38" s="21">
        <f>AVERAGE(D31:T31)</f>
        <v>4.0941924811940963E-2</v>
      </c>
      <c r="AC38" s="21"/>
    </row>
    <row r="39" spans="3:65" x14ac:dyDescent="0.2">
      <c r="T39" s="26">
        <f>AVERAGE(D38:S38)</f>
        <v>-5.0297914430325746E-4</v>
      </c>
      <c r="Z39" t="s">
        <v>59</v>
      </c>
      <c r="AA39" s="21">
        <f>AVERAGE(D34:T34)</f>
        <v>0.20491936382097678</v>
      </c>
    </row>
    <row r="40" spans="3:65" x14ac:dyDescent="0.2">
      <c r="T40" s="2">
        <f>AVERAGE(D22:T22)</f>
        <v>36.235294117647058</v>
      </c>
      <c r="Z40" t="s">
        <v>60</v>
      </c>
      <c r="AA40" s="21">
        <f>AVERAGE(D35:T35)</f>
        <v>8.5817758547023462E-2</v>
      </c>
    </row>
    <row r="41" spans="3:65" x14ac:dyDescent="0.2">
      <c r="Z41" t="s">
        <v>61</v>
      </c>
      <c r="AA41" s="21">
        <f>AVERAGE(D33:T33)</f>
        <v>0.21551512433681097</v>
      </c>
    </row>
    <row r="43" spans="3:65" x14ac:dyDescent="0.2">
      <c r="Z43" t="s">
        <v>64</v>
      </c>
      <c r="AA43" t="s">
        <v>73</v>
      </c>
    </row>
    <row r="44" spans="3:65" x14ac:dyDescent="0.2">
      <c r="Z44" t="s">
        <v>65</v>
      </c>
      <c r="AA44" s="30">
        <v>4.5400000000000003E-2</v>
      </c>
    </row>
    <row r="45" spans="3:65" x14ac:dyDescent="0.2">
      <c r="Z45" t="s">
        <v>66</v>
      </c>
      <c r="AA45" s="31">
        <v>0.13</v>
      </c>
    </row>
    <row r="46" spans="3:65" x14ac:dyDescent="0.2">
      <c r="Z46" t="s">
        <v>67</v>
      </c>
      <c r="AA46" s="32">
        <f>NPV(AA45,Z26:BM26)</f>
        <v>546795.44683379866</v>
      </c>
    </row>
    <row r="47" spans="3:65" x14ac:dyDescent="0.2">
      <c r="Z47" t="s">
        <v>4</v>
      </c>
      <c r="AA47" s="33">
        <f>Main!C7</f>
        <v>9405</v>
      </c>
    </row>
    <row r="48" spans="3:65" x14ac:dyDescent="0.2">
      <c r="Z48" s="16" t="s">
        <v>68</v>
      </c>
      <c r="AA48" s="34">
        <f>AA47+AA46</f>
        <v>556200.44683379866</v>
      </c>
    </row>
    <row r="49" spans="26:27" x14ac:dyDescent="0.2">
      <c r="Z49" s="16" t="s">
        <v>69</v>
      </c>
      <c r="AA49" s="35">
        <f>AA48/Main!C5</f>
        <v>69.153356562700324</v>
      </c>
    </row>
    <row r="50" spans="26:27" x14ac:dyDescent="0.2">
      <c r="Z50" s="16" t="s">
        <v>70</v>
      </c>
      <c r="AA50" s="29">
        <f>Main!C4</f>
        <v>69.239999999999995</v>
      </c>
    </row>
    <row r="51" spans="26:27" x14ac:dyDescent="0.2">
      <c r="Z51" t="s">
        <v>71</v>
      </c>
    </row>
    <row r="52" spans="26:27" x14ac:dyDescent="0.2">
      <c r="Z52" t="s">
        <v>72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Mutlu</dc:creator>
  <cp:lastModifiedBy>Ihsan Mutlu</cp:lastModifiedBy>
  <dcterms:created xsi:type="dcterms:W3CDTF">2024-07-13T15:52:34Z</dcterms:created>
  <dcterms:modified xsi:type="dcterms:W3CDTF">2024-07-15T10:21:04Z</dcterms:modified>
</cp:coreProperties>
</file>