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sanmutlu/Desktop/Kangal_Capital/"/>
    </mc:Choice>
  </mc:AlternateContent>
  <xr:revisionPtr revIDLastSave="0" documentId="13_ncr:1_{63943CE9-FAC8-7E45-ABC3-B28089BCC177}" xr6:coauthVersionLast="47" xr6:coauthVersionMax="47" xr10:uidLastSave="{00000000-0000-0000-0000-000000000000}"/>
  <bookViews>
    <workbookView xWindow="300" yWindow="740" windowWidth="28980" windowHeight="16680" xr2:uid="{0949E67C-6CFF-1049-A9EF-0D293C4C2BFD}"/>
  </bookViews>
  <sheets>
    <sheet name="DCF Output Page " sheetId="3" r:id="rId1"/>
    <sheet name="info" sheetId="1" r:id="rId2"/>
    <sheet name="Historical Op. &amp; Work. Cap Data" sheetId="2" r:id="rId3"/>
    <sheet name="Hist &amp; Proj NWC" sheetId="5" r:id="rId4"/>
    <sheet name="WACC Analysis " sheetId="4" r:id="rId5"/>
    <sheet name="Sensitivity Analysi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3" l="1"/>
  <c r="K12" i="3"/>
  <c r="M12" i="3"/>
  <c r="L12" i="3"/>
  <c r="K15" i="3"/>
  <c r="J16" i="3"/>
  <c r="K16" i="3"/>
  <c r="O12" i="3"/>
  <c r="N12" i="3"/>
  <c r="I13" i="3"/>
  <c r="F11" i="3"/>
  <c r="K26" i="3"/>
  <c r="X35" i="2" l="1"/>
  <c r="X31" i="2"/>
  <c r="X25" i="2"/>
  <c r="L15" i="3"/>
  <c r="M15" i="3"/>
  <c r="N15" i="3"/>
  <c r="O15" i="3"/>
  <c r="K20" i="3"/>
  <c r="K23" i="3" s="1"/>
  <c r="J22" i="3"/>
  <c r="AA38" i="2"/>
  <c r="Y38" i="2"/>
  <c r="X29" i="2"/>
  <c r="Y29" i="2"/>
  <c r="Z29" i="2"/>
  <c r="AA29" i="2"/>
  <c r="J14" i="3"/>
  <c r="O20" i="3" s="1"/>
  <c r="J12" i="3"/>
  <c r="J10" i="3"/>
  <c r="G22" i="3"/>
  <c r="F22" i="3"/>
  <c r="E24" i="5"/>
  <c r="G14" i="3"/>
  <c r="G20" i="3" s="1"/>
  <c r="F14" i="3"/>
  <c r="F20" i="3" s="1"/>
  <c r="E14" i="3"/>
  <c r="E20" i="3" s="1"/>
  <c r="G12" i="3"/>
  <c r="F12" i="3"/>
  <c r="E12" i="3"/>
  <c r="G10" i="3"/>
  <c r="F10" i="3"/>
  <c r="E10" i="3"/>
  <c r="X21" i="2"/>
  <c r="J11" i="3" l="1"/>
  <c r="E13" i="3"/>
  <c r="F13" i="3"/>
  <c r="J13" i="3"/>
  <c r="K10" i="3"/>
  <c r="K13" i="3" s="1"/>
  <c r="I10" i="3"/>
  <c r="F15" i="3"/>
  <c r="J20" i="3"/>
  <c r="E15" i="3"/>
  <c r="G11" i="3"/>
  <c r="G15" i="3"/>
  <c r="G13" i="3"/>
  <c r="N20" i="3"/>
  <c r="N23" i="3" s="1"/>
  <c r="O23" i="3"/>
  <c r="Q33" i="3" s="1"/>
  <c r="L20" i="3"/>
  <c r="M20" i="3"/>
  <c r="J15" i="3"/>
  <c r="K34" i="3"/>
  <c r="E11" i="4"/>
  <c r="O24" i="4" s="1"/>
  <c r="E23" i="4"/>
  <c r="O17" i="4"/>
  <c r="S15" i="4"/>
  <c r="I17" i="4"/>
  <c r="E21" i="4"/>
  <c r="O18" i="4"/>
  <c r="I18" i="4"/>
  <c r="S14" i="4"/>
  <c r="S11" i="4"/>
  <c r="S13" i="4"/>
  <c r="S12" i="4"/>
  <c r="E25" i="5"/>
  <c r="J22" i="5"/>
  <c r="K22" i="5" s="1"/>
  <c r="L22" i="5" s="1"/>
  <c r="M22" i="5" s="1"/>
  <c r="N22" i="5" s="1"/>
  <c r="J16" i="5"/>
  <c r="M10" i="5"/>
  <c r="L10" i="5"/>
  <c r="K10" i="5"/>
  <c r="K9" i="5"/>
  <c r="L9" i="5" s="1"/>
  <c r="M9" i="5" s="1"/>
  <c r="N9" i="5" s="1"/>
  <c r="N10" i="5" s="1"/>
  <c r="J9" i="5"/>
  <c r="J10" i="5" s="1"/>
  <c r="I38" i="5"/>
  <c r="I37" i="5"/>
  <c r="I36" i="5"/>
  <c r="I32" i="5"/>
  <c r="I31" i="5"/>
  <c r="G38" i="5"/>
  <c r="F38" i="5"/>
  <c r="E38" i="5"/>
  <c r="G37" i="5"/>
  <c r="F37" i="5"/>
  <c r="E37" i="5"/>
  <c r="E36" i="5"/>
  <c r="G36" i="5"/>
  <c r="F36" i="5"/>
  <c r="G32" i="5"/>
  <c r="F32" i="5"/>
  <c r="E32" i="5"/>
  <c r="G31" i="5"/>
  <c r="F31" i="5"/>
  <c r="E31" i="5"/>
  <c r="I24" i="5"/>
  <c r="I25" i="5" s="1"/>
  <c r="G24" i="5"/>
  <c r="G25" i="5" s="1"/>
  <c r="F24" i="5"/>
  <c r="F25" i="5" s="1"/>
  <c r="X71" i="2"/>
  <c r="X70" i="2"/>
  <c r="X69" i="2"/>
  <c r="X68" i="2"/>
  <c r="X67" i="2"/>
  <c r="X63" i="2"/>
  <c r="X62" i="2"/>
  <c r="X61" i="2"/>
  <c r="X58" i="2"/>
  <c r="X57" i="2"/>
  <c r="X56" i="2"/>
  <c r="X51" i="2"/>
  <c r="X50" i="2"/>
  <c r="X49" i="2"/>
  <c r="X48" i="2"/>
  <c r="X45" i="2"/>
  <c r="X44" i="2"/>
  <c r="AB44" i="2" s="1"/>
  <c r="X43" i="2"/>
  <c r="X42" i="2"/>
  <c r="Y71" i="2"/>
  <c r="Y70" i="2"/>
  <c r="Y69" i="2"/>
  <c r="Y68" i="2"/>
  <c r="Y67" i="2"/>
  <c r="Y63" i="2"/>
  <c r="Y62" i="2"/>
  <c r="Y61" i="2"/>
  <c r="Y58" i="2"/>
  <c r="Y57" i="2"/>
  <c r="Y56" i="2"/>
  <c r="Y51" i="2"/>
  <c r="Y50" i="2"/>
  <c r="Y49" i="2"/>
  <c r="Y48" i="2"/>
  <c r="Y45" i="2"/>
  <c r="Y44" i="2"/>
  <c r="Y43" i="2"/>
  <c r="Y42" i="2"/>
  <c r="Z71" i="2"/>
  <c r="Z70" i="2"/>
  <c r="Z69" i="2"/>
  <c r="Z68" i="2"/>
  <c r="Z67" i="2"/>
  <c r="Z63" i="2"/>
  <c r="Z62" i="2"/>
  <c r="Z61" i="2"/>
  <c r="Z58" i="2"/>
  <c r="Z57" i="2"/>
  <c r="Z56" i="2"/>
  <c r="Z51" i="2"/>
  <c r="Z50" i="2"/>
  <c r="Z49" i="2"/>
  <c r="Z48" i="2"/>
  <c r="Z45" i="2"/>
  <c r="Z44" i="2"/>
  <c r="Z43" i="2"/>
  <c r="Z42" i="2"/>
  <c r="AA71" i="2"/>
  <c r="AA70" i="2"/>
  <c r="AA69" i="2"/>
  <c r="AA68" i="2"/>
  <c r="AA67" i="2"/>
  <c r="AA63" i="2"/>
  <c r="AA62" i="2"/>
  <c r="AA61" i="2"/>
  <c r="AA58" i="2"/>
  <c r="AA57" i="2"/>
  <c r="AA56" i="2"/>
  <c r="AA51" i="2"/>
  <c r="AA50" i="2"/>
  <c r="AA49" i="2"/>
  <c r="AA48" i="2"/>
  <c r="AA45" i="2"/>
  <c r="AB45" i="2" s="1"/>
  <c r="AA44" i="2"/>
  <c r="AA43" i="2"/>
  <c r="AA42" i="2"/>
  <c r="F72" i="2"/>
  <c r="E72" i="2"/>
  <c r="D72" i="2"/>
  <c r="C72" i="2"/>
  <c r="F59" i="2"/>
  <c r="E59" i="2"/>
  <c r="D59" i="2"/>
  <c r="C59" i="2"/>
  <c r="F46" i="2"/>
  <c r="F53" i="2" s="1"/>
  <c r="E46" i="2"/>
  <c r="E53" i="2" s="1"/>
  <c r="D46" i="2"/>
  <c r="D53" i="2" s="1"/>
  <c r="C46" i="2"/>
  <c r="C53" i="2" s="1"/>
  <c r="G72" i="2"/>
  <c r="G59" i="2"/>
  <c r="G46" i="2"/>
  <c r="G53" i="2" s="1"/>
  <c r="H72" i="2"/>
  <c r="H59" i="2"/>
  <c r="H46" i="2"/>
  <c r="H53" i="2" s="1"/>
  <c r="I72" i="2"/>
  <c r="I59" i="2"/>
  <c r="I46" i="2"/>
  <c r="I53" i="2" s="1"/>
  <c r="J72" i="2"/>
  <c r="J59" i="2"/>
  <c r="J46" i="2"/>
  <c r="J53" i="2" s="1"/>
  <c r="K72" i="2"/>
  <c r="K59" i="2"/>
  <c r="K46" i="2"/>
  <c r="K53" i="2" s="1"/>
  <c r="L72" i="2"/>
  <c r="L59" i="2"/>
  <c r="L46" i="2"/>
  <c r="L53" i="2" s="1"/>
  <c r="M72" i="2"/>
  <c r="M59" i="2"/>
  <c r="M46" i="2"/>
  <c r="M53" i="2" s="1"/>
  <c r="O72" i="2"/>
  <c r="O59" i="2"/>
  <c r="O46" i="2"/>
  <c r="O53" i="2" s="1"/>
  <c r="P72" i="2"/>
  <c r="P59" i="2"/>
  <c r="P46" i="2"/>
  <c r="P53" i="2" s="1"/>
  <c r="Q72" i="2"/>
  <c r="Q59" i="2"/>
  <c r="Q46" i="2"/>
  <c r="Q53" i="2" s="1"/>
  <c r="U72" i="2"/>
  <c r="U59" i="2"/>
  <c r="U46" i="2"/>
  <c r="U53" i="2" s="1"/>
  <c r="T72" i="2"/>
  <c r="T59" i="2"/>
  <c r="T46" i="2"/>
  <c r="T53" i="2" s="1"/>
  <c r="S72" i="2"/>
  <c r="S59" i="2"/>
  <c r="S46" i="2"/>
  <c r="S53" i="2" s="1"/>
  <c r="V72" i="2"/>
  <c r="V59" i="2"/>
  <c r="V46" i="2"/>
  <c r="V53" i="2" s="1"/>
  <c r="N72" i="2"/>
  <c r="N59" i="2"/>
  <c r="N46" i="2"/>
  <c r="N53" i="2" s="1"/>
  <c r="R72" i="2"/>
  <c r="R59" i="2"/>
  <c r="R46" i="2"/>
  <c r="R53" i="2" s="1"/>
  <c r="V38" i="2"/>
  <c r="V37" i="2"/>
  <c r="V35" i="2"/>
  <c r="V36" i="2"/>
  <c r="E18" i="3" l="1"/>
  <c r="E23" i="3" s="1"/>
  <c r="E16" i="3"/>
  <c r="J18" i="3"/>
  <c r="J23" i="3" s="1"/>
  <c r="N27" i="3"/>
  <c r="O27" i="3"/>
  <c r="K27" i="3"/>
  <c r="K28" i="3" s="1"/>
  <c r="M27" i="3"/>
  <c r="L27" i="3"/>
  <c r="Q34" i="3"/>
  <c r="E39" i="3"/>
  <c r="Q35" i="3"/>
  <c r="F16" i="3"/>
  <c r="F18" i="3"/>
  <c r="F23" i="3" s="1"/>
  <c r="G18" i="3"/>
  <c r="G23" i="3" s="1"/>
  <c r="G16" i="3"/>
  <c r="L23" i="3"/>
  <c r="M23" i="3"/>
  <c r="L10" i="3"/>
  <c r="K11" i="3"/>
  <c r="J24" i="5"/>
  <c r="J25" i="5" s="1"/>
  <c r="K16" i="5"/>
  <c r="I27" i="5"/>
  <c r="G27" i="5"/>
  <c r="F27" i="5"/>
  <c r="J27" i="5"/>
  <c r="AB56" i="2"/>
  <c r="S17" i="4"/>
  <c r="AB57" i="2"/>
  <c r="S18" i="4"/>
  <c r="Y46" i="2"/>
  <c r="Y53" i="2" s="1"/>
  <c r="X46" i="2"/>
  <c r="X53" i="2" s="1"/>
  <c r="AA46" i="2"/>
  <c r="G74" i="2"/>
  <c r="AA59" i="2"/>
  <c r="X59" i="2"/>
  <c r="Z59" i="2"/>
  <c r="U74" i="2"/>
  <c r="Z46" i="2"/>
  <c r="Z53" i="2" s="1"/>
  <c r="R74" i="2"/>
  <c r="AA72" i="2"/>
  <c r="Y59" i="2"/>
  <c r="V74" i="2"/>
  <c r="Y72" i="2"/>
  <c r="Y74" i="2" s="1"/>
  <c r="Z72" i="2"/>
  <c r="X72" i="2"/>
  <c r="C74" i="2"/>
  <c r="D74" i="2"/>
  <c r="E74" i="2"/>
  <c r="H74" i="2"/>
  <c r="I74" i="2"/>
  <c r="F74" i="2"/>
  <c r="K74" i="2"/>
  <c r="L74" i="2"/>
  <c r="J74" i="2"/>
  <c r="M74" i="2"/>
  <c r="O74" i="2"/>
  <c r="P74" i="2"/>
  <c r="N74" i="2"/>
  <c r="Q74" i="2"/>
  <c r="T74" i="2"/>
  <c r="S74" i="2"/>
  <c r="M10" i="3" l="1"/>
  <c r="L13" i="3"/>
  <c r="L16" i="3"/>
  <c r="L11" i="3"/>
  <c r="L16" i="5"/>
  <c r="K24" i="5"/>
  <c r="AB46" i="2"/>
  <c r="AB59" i="2"/>
  <c r="AA53" i="2"/>
  <c r="Z74" i="2"/>
  <c r="AA74" i="2"/>
  <c r="X74" i="2"/>
  <c r="M16" i="3" l="1"/>
  <c r="M11" i="3"/>
  <c r="N10" i="3"/>
  <c r="M13" i="3"/>
  <c r="K27" i="5"/>
  <c r="K25" i="5"/>
  <c r="M16" i="5"/>
  <c r="L24" i="5"/>
  <c r="L28" i="3"/>
  <c r="N16" i="3" l="1"/>
  <c r="O10" i="3"/>
  <c r="E36" i="3" s="1"/>
  <c r="N13" i="3"/>
  <c r="N11" i="3"/>
  <c r="L27" i="5"/>
  <c r="L25" i="5"/>
  <c r="N16" i="5"/>
  <c r="N24" i="5" s="1"/>
  <c r="M24" i="5"/>
  <c r="M28" i="3"/>
  <c r="N28" i="3"/>
  <c r="O13" i="3" l="1"/>
  <c r="O16" i="3"/>
  <c r="O11" i="3"/>
  <c r="Q10" i="3"/>
  <c r="M27" i="5"/>
  <c r="M25" i="5"/>
  <c r="N25" i="5"/>
  <c r="N27" i="5"/>
  <c r="O28" i="3"/>
  <c r="E33" i="3" s="1"/>
  <c r="F30" i="2" l="1"/>
  <c r="X30" i="2" s="1"/>
  <c r="F29" i="2"/>
  <c r="F25" i="2"/>
  <c r="F24" i="2"/>
  <c r="X24" i="2" s="1"/>
  <c r="F23" i="2"/>
  <c r="X23" i="2" s="1"/>
  <c r="F17" i="2"/>
  <c r="X17" i="2" s="1"/>
  <c r="F16" i="2"/>
  <c r="X16" i="2" s="1"/>
  <c r="F15" i="2"/>
  <c r="X15" i="2" s="1"/>
  <c r="F14" i="2"/>
  <c r="X14" i="2" s="1"/>
  <c r="F13" i="2"/>
  <c r="X13" i="2" s="1"/>
  <c r="F12" i="2"/>
  <c r="X12" i="2" s="1"/>
  <c r="F8" i="2"/>
  <c r="X8" i="2" s="1"/>
  <c r="F7" i="2"/>
  <c r="X7" i="2" s="1"/>
  <c r="C26" i="2"/>
  <c r="C18" i="2"/>
  <c r="C9" i="2"/>
  <c r="C35" i="2" s="1"/>
  <c r="D26" i="2"/>
  <c r="D18" i="2"/>
  <c r="D9" i="2"/>
  <c r="D35" i="2" s="1"/>
  <c r="E26" i="2"/>
  <c r="E18" i="2"/>
  <c r="E9" i="2"/>
  <c r="E35" i="2" s="1"/>
  <c r="J30" i="2"/>
  <c r="Y30" i="2" s="1"/>
  <c r="J29" i="2"/>
  <c r="J25" i="2"/>
  <c r="Y25" i="2" s="1"/>
  <c r="J24" i="2"/>
  <c r="Y24" i="2" s="1"/>
  <c r="J23" i="2"/>
  <c r="Y23" i="2" s="1"/>
  <c r="J17" i="2"/>
  <c r="Y17" i="2" s="1"/>
  <c r="J16" i="2"/>
  <c r="Y16" i="2" s="1"/>
  <c r="J15" i="2"/>
  <c r="Y15" i="2" s="1"/>
  <c r="J14" i="2"/>
  <c r="Y14" i="2" s="1"/>
  <c r="J13" i="2"/>
  <c r="Y13" i="2" s="1"/>
  <c r="J12" i="2"/>
  <c r="Y12" i="2" s="1"/>
  <c r="J8" i="2"/>
  <c r="Y8" i="2" s="1"/>
  <c r="J7" i="2"/>
  <c r="Y7" i="2" s="1"/>
  <c r="J26" i="2"/>
  <c r="N30" i="2"/>
  <c r="Z30" i="2" s="1"/>
  <c r="N29" i="2"/>
  <c r="N25" i="2"/>
  <c r="Z25" i="2" s="1"/>
  <c r="N24" i="2"/>
  <c r="Z24" i="2" s="1"/>
  <c r="N23" i="2"/>
  <c r="Z23" i="2" s="1"/>
  <c r="N17" i="2"/>
  <c r="Z17" i="2" s="1"/>
  <c r="N16" i="2"/>
  <c r="Z16" i="2" s="1"/>
  <c r="N15" i="2"/>
  <c r="Z15" i="2" s="1"/>
  <c r="N14" i="2"/>
  <c r="Z14" i="2" s="1"/>
  <c r="N13" i="2"/>
  <c r="Z13" i="2" s="1"/>
  <c r="N12" i="2"/>
  <c r="Z12" i="2" s="1"/>
  <c r="N8" i="2"/>
  <c r="Z8" i="2" s="1"/>
  <c r="N7" i="2"/>
  <c r="Z7" i="2" s="1"/>
  <c r="K26" i="2"/>
  <c r="K18" i="2"/>
  <c r="K9" i="2"/>
  <c r="G26" i="2"/>
  <c r="G18" i="2"/>
  <c r="G9" i="2"/>
  <c r="G35" i="2" s="1"/>
  <c r="L26" i="2"/>
  <c r="L18" i="2"/>
  <c r="L9" i="2"/>
  <c r="L35" i="2" s="1"/>
  <c r="H26" i="2"/>
  <c r="H18" i="2"/>
  <c r="H9" i="2"/>
  <c r="H35" i="2" s="1"/>
  <c r="I26" i="2"/>
  <c r="I18" i="2"/>
  <c r="I9" i="2"/>
  <c r="I35" i="2" s="1"/>
  <c r="M26" i="2"/>
  <c r="M18" i="2"/>
  <c r="M9" i="2"/>
  <c r="M35" i="2" s="1"/>
  <c r="R30" i="2"/>
  <c r="AA30" i="2" s="1"/>
  <c r="R29" i="2"/>
  <c r="R25" i="2"/>
  <c r="AA25" i="2" s="1"/>
  <c r="R24" i="2"/>
  <c r="AA24" i="2" s="1"/>
  <c r="R23" i="2"/>
  <c r="R17" i="2"/>
  <c r="AA17" i="2" s="1"/>
  <c r="R16" i="2"/>
  <c r="AA16" i="2" s="1"/>
  <c r="R15" i="2"/>
  <c r="AA15" i="2" s="1"/>
  <c r="R14" i="2"/>
  <c r="AA14" i="2" s="1"/>
  <c r="R13" i="2"/>
  <c r="AA13" i="2" s="1"/>
  <c r="R12" i="2"/>
  <c r="R8" i="2"/>
  <c r="R7" i="2"/>
  <c r="AA7" i="2" s="1"/>
  <c r="S26" i="2"/>
  <c r="S18" i="2"/>
  <c r="S9" i="2"/>
  <c r="S35" i="2" s="1"/>
  <c r="O26" i="2"/>
  <c r="O18" i="2"/>
  <c r="O9" i="2"/>
  <c r="O35" i="2" s="1"/>
  <c r="U26" i="2"/>
  <c r="U18" i="2"/>
  <c r="U9" i="2"/>
  <c r="U35" i="2" s="1"/>
  <c r="Q26" i="2"/>
  <c r="Q18" i="2"/>
  <c r="Q9" i="2"/>
  <c r="Q35" i="2" s="1"/>
  <c r="T26" i="2"/>
  <c r="T18" i="2"/>
  <c r="T9" i="2"/>
  <c r="T35" i="2" s="1"/>
  <c r="P26" i="2"/>
  <c r="P18" i="2"/>
  <c r="P9" i="2"/>
  <c r="AB7" i="2" l="1"/>
  <c r="Y26" i="2"/>
  <c r="P19" i="2"/>
  <c r="P36" i="2" s="1"/>
  <c r="P35" i="2"/>
  <c r="N9" i="2"/>
  <c r="N35" i="2" s="1"/>
  <c r="K35" i="2"/>
  <c r="Z18" i="2"/>
  <c r="X26" i="2"/>
  <c r="N26" i="2"/>
  <c r="Z26" i="2"/>
  <c r="Y18" i="2"/>
  <c r="X18" i="2"/>
  <c r="R26" i="2"/>
  <c r="AA23" i="2"/>
  <c r="AA26" i="2" s="1"/>
  <c r="R9" i="2"/>
  <c r="AA8" i="2"/>
  <c r="R18" i="2"/>
  <c r="AA12" i="2"/>
  <c r="AA18" i="2" s="1"/>
  <c r="P27" i="2"/>
  <c r="C19" i="2"/>
  <c r="D19" i="2"/>
  <c r="F26" i="2"/>
  <c r="F18" i="2"/>
  <c r="E19" i="2"/>
  <c r="F9" i="2"/>
  <c r="F35" i="2" s="1"/>
  <c r="J18" i="2"/>
  <c r="J9" i="2"/>
  <c r="J35" i="2" s="1"/>
  <c r="N18" i="2"/>
  <c r="K19" i="2"/>
  <c r="G19" i="2"/>
  <c r="L19" i="2"/>
  <c r="H19" i="2"/>
  <c r="I19" i="2"/>
  <c r="M19" i="2"/>
  <c r="S19" i="2"/>
  <c r="O19" i="2"/>
  <c r="U19" i="2"/>
  <c r="Q19" i="2"/>
  <c r="T19" i="2"/>
  <c r="X9" i="2" l="1"/>
  <c r="N19" i="2"/>
  <c r="N36" i="2" s="1"/>
  <c r="D27" i="2"/>
  <c r="D36" i="2"/>
  <c r="P31" i="2"/>
  <c r="P38" i="2"/>
  <c r="I27" i="2"/>
  <c r="I36" i="2"/>
  <c r="K27" i="2"/>
  <c r="K36" i="2"/>
  <c r="C27" i="2"/>
  <c r="C38" i="2" s="1"/>
  <c r="C36" i="2"/>
  <c r="R19" i="2"/>
  <c r="R35" i="2"/>
  <c r="E27" i="2"/>
  <c r="E36" i="2"/>
  <c r="Z9" i="2"/>
  <c r="Z21" i="2" s="1"/>
  <c r="U27" i="2"/>
  <c r="U36" i="2"/>
  <c r="O27" i="2"/>
  <c r="O36" i="2"/>
  <c r="S27" i="2"/>
  <c r="S36" i="2"/>
  <c r="M27" i="2"/>
  <c r="M36" i="2"/>
  <c r="H27" i="2"/>
  <c r="H36" i="2"/>
  <c r="T27" i="2"/>
  <c r="T36" i="2"/>
  <c r="L27" i="2"/>
  <c r="L36" i="2"/>
  <c r="AA9" i="2"/>
  <c r="AA21" i="2" s="1"/>
  <c r="Q27" i="2"/>
  <c r="Q36" i="2"/>
  <c r="G27" i="2"/>
  <c r="G36" i="2"/>
  <c r="Y9" i="2"/>
  <c r="Y21" i="2" s="1"/>
  <c r="N27" i="2"/>
  <c r="F19" i="2"/>
  <c r="J19" i="2"/>
  <c r="X19" i="2" l="1"/>
  <c r="Y35" i="2"/>
  <c r="Y79" i="2"/>
  <c r="Y91" i="2"/>
  <c r="Y83" i="2"/>
  <c r="Y89" i="2"/>
  <c r="Y85" i="2"/>
  <c r="Y87" i="2"/>
  <c r="Y81" i="2"/>
  <c r="Z81" i="2"/>
  <c r="Z85" i="2"/>
  <c r="Z83" i="2"/>
  <c r="Z79" i="2"/>
  <c r="Z91" i="2"/>
  <c r="Z87" i="2"/>
  <c r="Z89" i="2"/>
  <c r="AA35" i="2"/>
  <c r="AA83" i="2"/>
  <c r="AA81" i="2"/>
  <c r="AA85" i="2"/>
  <c r="AA79" i="2"/>
  <c r="AA91" i="2"/>
  <c r="AA89" i="2"/>
  <c r="AA87" i="2"/>
  <c r="X89" i="2"/>
  <c r="X91" i="2"/>
  <c r="X87" i="2"/>
  <c r="X81" i="2"/>
  <c r="X79" i="2"/>
  <c r="X85" i="2"/>
  <c r="X83" i="2"/>
  <c r="C31" i="2"/>
  <c r="C32" i="2" s="1"/>
  <c r="J27" i="2"/>
  <c r="J36" i="2"/>
  <c r="F27" i="2"/>
  <c r="F36" i="2"/>
  <c r="H31" i="2"/>
  <c r="H38" i="2"/>
  <c r="I31" i="2"/>
  <c r="I38" i="2"/>
  <c r="Q31" i="2"/>
  <c r="Q38" i="2"/>
  <c r="S31" i="2"/>
  <c r="S38" i="2"/>
  <c r="K31" i="2"/>
  <c r="K38" i="2"/>
  <c r="T31" i="2"/>
  <c r="T38" i="2"/>
  <c r="X27" i="2"/>
  <c r="X38" i="2" s="1"/>
  <c r="G31" i="2"/>
  <c r="G38" i="2"/>
  <c r="N31" i="2"/>
  <c r="N38" i="2"/>
  <c r="U31" i="2"/>
  <c r="U38" i="2"/>
  <c r="AA19" i="2"/>
  <c r="O31" i="2"/>
  <c r="O38" i="2"/>
  <c r="R27" i="2"/>
  <c r="R36" i="2"/>
  <c r="Y19" i="2"/>
  <c r="Z35" i="2"/>
  <c r="Z19" i="2"/>
  <c r="P32" i="2"/>
  <c r="P37" i="2"/>
  <c r="M31" i="2"/>
  <c r="M38" i="2"/>
  <c r="L31" i="2"/>
  <c r="L38" i="2"/>
  <c r="E31" i="2"/>
  <c r="E38" i="2"/>
  <c r="D31" i="2"/>
  <c r="D38" i="2"/>
  <c r="C7" i="1"/>
  <c r="K37" i="3" s="1"/>
  <c r="C6" i="1"/>
  <c r="C9" i="1" s="1"/>
  <c r="C10" i="1" s="1"/>
  <c r="X36" i="2" l="1"/>
  <c r="Y92" i="2"/>
  <c r="C37" i="2"/>
  <c r="AA92" i="2"/>
  <c r="Z92" i="2"/>
  <c r="Y27" i="2"/>
  <c r="Y36" i="2"/>
  <c r="L32" i="2"/>
  <c r="L37" i="2"/>
  <c r="K32" i="2"/>
  <c r="K37" i="2"/>
  <c r="O32" i="2"/>
  <c r="O37" i="2"/>
  <c r="N32" i="2"/>
  <c r="N37" i="2"/>
  <c r="H32" i="2"/>
  <c r="H37" i="2"/>
  <c r="R31" i="2"/>
  <c r="R38" i="2"/>
  <c r="M32" i="2"/>
  <c r="M37" i="2"/>
  <c r="G32" i="2"/>
  <c r="G37" i="2"/>
  <c r="S32" i="2"/>
  <c r="S37" i="2"/>
  <c r="D32" i="2"/>
  <c r="D37" i="2"/>
  <c r="AA27" i="2"/>
  <c r="AA36" i="2"/>
  <c r="Q32" i="2"/>
  <c r="Q37" i="2"/>
  <c r="F31" i="2"/>
  <c r="F38" i="2"/>
  <c r="Z36" i="2"/>
  <c r="Z27" i="2"/>
  <c r="E32" i="2"/>
  <c r="E37" i="2"/>
  <c r="U32" i="2"/>
  <c r="U37" i="2"/>
  <c r="T32" i="2"/>
  <c r="T37" i="2"/>
  <c r="I32" i="2"/>
  <c r="I37" i="2"/>
  <c r="J31" i="2"/>
  <c r="J38" i="2"/>
  <c r="R32" i="2" l="1"/>
  <c r="R37" i="2"/>
  <c r="AA31" i="2"/>
  <c r="Z31" i="2"/>
  <c r="Z38" i="2"/>
  <c r="F32" i="2"/>
  <c r="F37" i="2"/>
  <c r="J32" i="2"/>
  <c r="J37" i="2"/>
  <c r="X32" i="2"/>
  <c r="X37" i="2"/>
  <c r="Y31" i="2"/>
  <c r="Y32" i="2" l="1"/>
  <c r="Y37" i="2"/>
  <c r="Z32" i="2"/>
  <c r="Z37" i="2"/>
  <c r="AA32" i="2"/>
  <c r="AA37" i="2"/>
  <c r="X92" i="2"/>
  <c r="E15" i="4"/>
  <c r="E38" i="3" l="1"/>
  <c r="E40" i="3" l="1"/>
  <c r="E43" i="3" l="1"/>
  <c r="K33" i="3" s="1"/>
  <c r="Q40" i="3" s="1"/>
  <c r="Q43" i="3" s="1"/>
  <c r="E41" i="3" l="1"/>
  <c r="K39" i="3"/>
  <c r="K4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Ihsan Mutlu</author>
  </authors>
  <commentList>
    <comment ref="B18" authorId="0" shapeId="0" xr:uid="{D4F62A2D-CC33-614D-A492-4B6F2E261CCC}">
      <text>
        <r>
          <rPr>
            <b/>
            <sz val="10"/>
            <color rgb="FF000000"/>
            <rFont val="Tahoma"/>
            <family val="2"/>
          </rPr>
          <t>Ihsan Mutlu: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EBIAT = EBIT * (1-t)
</t>
        </r>
      </text>
    </comment>
    <comment ref="E41" authorId="0" shapeId="0" xr:uid="{29EB919D-7447-474F-B8F7-A691F38CCA47}">
      <text>
        <r>
          <rPr>
            <b/>
            <sz val="10"/>
            <color rgb="FF000000"/>
            <rFont val="Tahoma"/>
            <family val="2"/>
          </rPr>
          <t>Ihsan Mutlu: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50 - 75% is the norm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Ihsan Mutlu</author>
  </authors>
  <commentList>
    <comment ref="B13" authorId="0" shapeId="0" xr:uid="{2205E207-4E6B-2F40-AEAC-394090EF8536}">
      <text>
        <r>
          <rPr>
            <b/>
            <sz val="10"/>
            <color rgb="FF000000"/>
            <rFont val="Tahoma"/>
            <family val="2"/>
          </rPr>
          <t>Ihsan Mutlu: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Includes Depreciation &amp; Amortisation expense in Amazons statements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Ihsan Mutlu</author>
  </authors>
  <commentList>
    <comment ref="B21" authorId="0" shapeId="0" xr:uid="{FAEAE20F-0E3B-FF4F-A322-054C17D6E571}">
      <text>
        <r>
          <rPr>
            <b/>
            <sz val="10"/>
            <color rgb="FF000000"/>
            <rFont val="Tahoma"/>
            <family val="2"/>
          </rPr>
          <t>Ihsan Mutlu: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 10Y yield - inflation 
</t>
        </r>
      </text>
    </comment>
  </commentList>
</comments>
</file>

<file path=xl/sharedStrings.xml><?xml version="1.0" encoding="utf-8"?>
<sst xmlns="http://schemas.openxmlformats.org/spreadsheetml/2006/main" count="335" uniqueCount="233">
  <si>
    <t xml:space="preserve">Ticker </t>
  </si>
  <si>
    <t>Share Price</t>
  </si>
  <si>
    <t xml:space="preserve">Shares outstanding </t>
  </si>
  <si>
    <t xml:space="preserve">Market Cap </t>
  </si>
  <si>
    <t xml:space="preserve">Cash </t>
  </si>
  <si>
    <t xml:space="preserve">Debt </t>
  </si>
  <si>
    <t xml:space="preserve">Net EV </t>
  </si>
  <si>
    <t xml:space="preserve">AMZN </t>
  </si>
  <si>
    <t>in millions</t>
  </si>
  <si>
    <t>March</t>
  </si>
  <si>
    <t xml:space="preserve">June </t>
  </si>
  <si>
    <t>Sept</t>
  </si>
  <si>
    <t xml:space="preserve">December </t>
  </si>
  <si>
    <t>Q1 2020</t>
  </si>
  <si>
    <t xml:space="preserve">Q2 2020 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</si>
  <si>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</si>
  <si>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</si>
  <si>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</si>
  <si>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</si>
  <si>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</si>
  <si>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</si>
  <si>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</si>
  <si>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</si>
  <si>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</si>
  <si>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</si>
  <si>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</si>
  <si>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</si>
  <si>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</si>
  <si>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</si>
  <si>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</si>
  <si>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</si>
  <si>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</si>
  <si>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</si>
  <si>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Operating Expenses:</t>
  </si>
  <si>
    <t>Total Operating Expenses</t>
  </si>
  <si>
    <t>Taxes</t>
  </si>
  <si>
    <t xml:space="preserve">Net Income </t>
  </si>
  <si>
    <t xml:space="preserve">Tax Rate </t>
  </si>
  <si>
    <t>Assumptions</t>
  </si>
  <si>
    <t>Net Product Sales</t>
  </si>
  <si>
    <t xml:space="preserve">Net Service Sales </t>
  </si>
  <si>
    <t xml:space="preserve">Total net Sales </t>
  </si>
  <si>
    <t>Cost of Sales</t>
  </si>
  <si>
    <t xml:space="preserve">Fulfilment </t>
  </si>
  <si>
    <t xml:space="preserve">Tech &amp; Infrastructure </t>
  </si>
  <si>
    <t xml:space="preserve">Sales &amp; Marketing </t>
  </si>
  <si>
    <t xml:space="preserve">General &amp; Admin </t>
  </si>
  <si>
    <t xml:space="preserve">Other operating Expenses </t>
  </si>
  <si>
    <t xml:space="preserve">Interest Income </t>
  </si>
  <si>
    <t xml:space="preserve">Interest Expense </t>
  </si>
  <si>
    <t>Other income (expense)</t>
  </si>
  <si>
    <t>Total Non-Operating Income (Expense)</t>
  </si>
  <si>
    <t>Income Before Income Taxes</t>
  </si>
  <si>
    <t>Provision for Income taxes</t>
  </si>
  <si>
    <t>Equity-method investment activity, net of tax</t>
  </si>
  <si>
    <t xml:space="preserve">Diluted EPS </t>
  </si>
  <si>
    <t xml:space="preserve">Diluted Shares </t>
  </si>
  <si>
    <t xml:space="preserve">Gross Margin </t>
  </si>
  <si>
    <t>Operating Margin</t>
  </si>
  <si>
    <t xml:space="preserve">Net margin </t>
  </si>
  <si>
    <t xml:space="preserve">Discounted Cash Flow Analysis </t>
  </si>
  <si>
    <t>($ in millions, fiscal year ending December 31st)</t>
  </si>
  <si>
    <t xml:space="preserve">Operating Scenario </t>
  </si>
  <si>
    <t xml:space="preserve">Mid-Year Conversion </t>
  </si>
  <si>
    <t>Y</t>
  </si>
  <si>
    <t xml:space="preserve">Hisotrical Period </t>
  </si>
  <si>
    <t>Sales</t>
  </si>
  <si>
    <t xml:space="preserve">% Growth </t>
  </si>
  <si>
    <t>EBITDA</t>
  </si>
  <si>
    <t>% margin</t>
  </si>
  <si>
    <t>Depreciation &amp; Amortisation</t>
  </si>
  <si>
    <t xml:space="preserve">EBIT </t>
  </si>
  <si>
    <t xml:space="preserve">EBIAT </t>
  </si>
  <si>
    <t xml:space="preserve">Less: Capital Expenditure </t>
  </si>
  <si>
    <t xml:space="preserve">Less: Inc./(Dec.) in Net Working Capital </t>
  </si>
  <si>
    <t xml:space="preserve">Unlevered Free Cash Flow </t>
  </si>
  <si>
    <t>WACC</t>
  </si>
  <si>
    <t>Discount Period</t>
  </si>
  <si>
    <t xml:space="preserve">Discount Factor </t>
  </si>
  <si>
    <t>NA</t>
  </si>
  <si>
    <t xml:space="preserve">Present Value of Free Cash Flow </t>
  </si>
  <si>
    <t>CAGR</t>
  </si>
  <si>
    <t>('20 - 22')</t>
  </si>
  <si>
    <t>Projection Period</t>
  </si>
  <si>
    <t>('23 - 28')</t>
  </si>
  <si>
    <t xml:space="preserve">Enterprise Value </t>
  </si>
  <si>
    <t>Cumulative Present Value  of CF</t>
  </si>
  <si>
    <t>Terminal Value</t>
  </si>
  <si>
    <t xml:space="preserve">Exit Multiple </t>
  </si>
  <si>
    <t>Terminal Value EBITDA (2028E)</t>
  </si>
  <si>
    <t xml:space="preserve">Terminal Value  </t>
  </si>
  <si>
    <t>Discount Factor</t>
  </si>
  <si>
    <t xml:space="preserve">Present Value of Terminal Value </t>
  </si>
  <si>
    <t xml:space="preserve">% of Enterprise Value </t>
  </si>
  <si>
    <t>Implied Equity Value and Share Price</t>
  </si>
  <si>
    <t xml:space="preserve">Less:Total Debt </t>
  </si>
  <si>
    <t xml:space="preserve">Less: Preferred Stock </t>
  </si>
  <si>
    <t xml:space="preserve">Less: Non-Controlling Interest </t>
  </si>
  <si>
    <t xml:space="preserve">Plus: Cash &amp; Cash Equivalents </t>
  </si>
  <si>
    <t xml:space="preserve">Implied Equity Value </t>
  </si>
  <si>
    <t xml:space="preserve">Fully Diluted Shares Outstanding </t>
  </si>
  <si>
    <t xml:space="preserve">Implied Perpetual Growth Rate </t>
  </si>
  <si>
    <t>Terminal Year Free Cash Flow (2028E)</t>
  </si>
  <si>
    <t xml:space="preserve">Terminal Value </t>
  </si>
  <si>
    <t xml:space="preserve">Implied Perpetuity Growth Rate </t>
  </si>
  <si>
    <t>Implied EV/EBITDA</t>
  </si>
  <si>
    <t>LTM 9/30/2023 EBITDA</t>
  </si>
  <si>
    <t xml:space="preserve">Implied EV/EBITDA </t>
  </si>
  <si>
    <t>Enterprise Value</t>
  </si>
  <si>
    <t>6.5x</t>
  </si>
  <si>
    <t>7.0x</t>
  </si>
  <si>
    <t>7.5x</t>
  </si>
  <si>
    <t>8.0x</t>
  </si>
  <si>
    <t>8.5x</t>
  </si>
  <si>
    <t>Operating Data</t>
  </si>
  <si>
    <t xml:space="preserve">Balance Sheet Data </t>
  </si>
  <si>
    <t>Current Assets</t>
  </si>
  <si>
    <t xml:space="preserve">Accounts Receivable </t>
  </si>
  <si>
    <t>% Sales</t>
  </si>
  <si>
    <t xml:space="preserve">Current Liabilities </t>
  </si>
  <si>
    <t xml:space="preserve">Accounts Payable </t>
  </si>
  <si>
    <t xml:space="preserve">Other Current Liabilities </t>
  </si>
  <si>
    <t xml:space="preserve">CAGR </t>
  </si>
  <si>
    <t>LTM</t>
  </si>
  <si>
    <t>Working Capital Projections</t>
  </si>
  <si>
    <t>COGS</t>
  </si>
  <si>
    <t xml:space="preserve">Inventories </t>
  </si>
  <si>
    <t xml:space="preserve">Prepaid Expenses &amp; Others </t>
  </si>
  <si>
    <t xml:space="preserve">Total Current Assets </t>
  </si>
  <si>
    <t>Current Liabilities</t>
  </si>
  <si>
    <t>Accounts Payable</t>
  </si>
  <si>
    <t>Accrued Liabilities</t>
  </si>
  <si>
    <t xml:space="preserve">Total Current Liabilities </t>
  </si>
  <si>
    <t xml:space="preserve">Net Working Capital </t>
  </si>
  <si>
    <t>(Increase) / Decrease  in NWC</t>
  </si>
  <si>
    <t xml:space="preserve">Days Sales Outstanding </t>
  </si>
  <si>
    <t xml:space="preserve">Days Inventory Held </t>
  </si>
  <si>
    <t>Prepaids and Other CA (% of Sales)</t>
  </si>
  <si>
    <t xml:space="preserve">Days Payable Outstanding </t>
  </si>
  <si>
    <t>Accrued Liabilities (% of sales)</t>
  </si>
  <si>
    <t>Other Current Liabilities (% of Sales)</t>
  </si>
  <si>
    <t>Weighted Average Cost of Capital Analysis</t>
  </si>
  <si>
    <t>WACC Calculation</t>
  </si>
  <si>
    <t>Target Capital Structure</t>
  </si>
  <si>
    <t xml:space="preserve">Debt-to-Total Capitulisation </t>
  </si>
  <si>
    <t xml:space="preserve">Equity-to-Total Capitalisation </t>
  </si>
  <si>
    <t xml:space="preserve">Cost of Debt </t>
  </si>
  <si>
    <t>Cost-of-Debt</t>
  </si>
  <si>
    <t>Tax Rate</t>
  </si>
  <si>
    <t xml:space="preserve">After-tax Cost of Debt </t>
  </si>
  <si>
    <t>Comporable Companies Unlevered Beta</t>
  </si>
  <si>
    <t>Company</t>
  </si>
  <si>
    <t>Predicted</t>
  </si>
  <si>
    <t>Levered Beta</t>
  </si>
  <si>
    <t xml:space="preserve">Market </t>
  </si>
  <si>
    <t>Value of Debt</t>
  </si>
  <si>
    <t>Market</t>
  </si>
  <si>
    <t>Value of Equity</t>
  </si>
  <si>
    <t>Debt /</t>
  </si>
  <si>
    <t>Equity</t>
  </si>
  <si>
    <t xml:space="preserve">Marginal </t>
  </si>
  <si>
    <t xml:space="preserve">Unlevered </t>
  </si>
  <si>
    <t>Beta</t>
  </si>
  <si>
    <t>Mean</t>
  </si>
  <si>
    <t xml:space="preserve">Median </t>
  </si>
  <si>
    <t xml:space="preserve">Cost of Equity </t>
  </si>
  <si>
    <t>Risk-free Rate</t>
  </si>
  <si>
    <t>Makret Risk Premium</t>
  </si>
  <si>
    <t xml:space="preserve">Size Premium </t>
  </si>
  <si>
    <t>Amazon Relevered Beta</t>
  </si>
  <si>
    <t>Relevered Beta</t>
  </si>
  <si>
    <t xml:space="preserve">Mean </t>
  </si>
  <si>
    <t xml:space="preserve">Total </t>
  </si>
  <si>
    <t>Debt/</t>
  </si>
  <si>
    <t xml:space="preserve">Equity </t>
  </si>
  <si>
    <t>Target</t>
  </si>
  <si>
    <t xml:space="preserve">Relevered </t>
  </si>
  <si>
    <t>WACC Sensitivity Analysis</t>
  </si>
  <si>
    <t>Capitalisation</t>
  </si>
  <si>
    <t>Debt-to-Total</t>
  </si>
  <si>
    <t>Pretax Cost of Debt</t>
  </si>
  <si>
    <t>Sensitivity Analysis</t>
  </si>
  <si>
    <t>Implied Equity Value</t>
  </si>
  <si>
    <t>Implied Perpetual Growth Rate</t>
  </si>
  <si>
    <t>Implied Enterprise Value / LTM EBITDA</t>
  </si>
  <si>
    <t xml:space="preserve">PV of Terminal Value % of Enterprise Value </t>
  </si>
  <si>
    <t>Exit Multiple</t>
  </si>
  <si>
    <t xml:space="preserve">Cash &amp; cash Equivalents </t>
  </si>
  <si>
    <t xml:space="preserve">Marketable Securities </t>
  </si>
  <si>
    <t xml:space="preserve">Accouns Receivable, net and other </t>
  </si>
  <si>
    <t xml:space="preserve">Property and Equipment </t>
  </si>
  <si>
    <t>Operating Leases</t>
  </si>
  <si>
    <t xml:space="preserve">Goodwill </t>
  </si>
  <si>
    <t xml:space="preserve">Other Assets </t>
  </si>
  <si>
    <t xml:space="preserve">Total Assets </t>
  </si>
  <si>
    <t>Accrued Expenses &amp; Others</t>
  </si>
  <si>
    <t>Unearned Revenue</t>
  </si>
  <si>
    <t>Total Current Liabilities</t>
  </si>
  <si>
    <t xml:space="preserve">Long term Lease Liabilities </t>
  </si>
  <si>
    <t xml:space="preserve">Long term Debt </t>
  </si>
  <si>
    <t xml:space="preserve">Other Long Term Liabilities </t>
  </si>
  <si>
    <t xml:space="preserve">Stakeholders Equity </t>
  </si>
  <si>
    <t>Preferred Stock</t>
  </si>
  <si>
    <t xml:space="preserve">Common Stock </t>
  </si>
  <si>
    <t>Treasury Stock</t>
  </si>
  <si>
    <t xml:space="preserve">Additional Paid-in Capital </t>
  </si>
  <si>
    <t xml:space="preserve">Accumulated other Comprehensive Income </t>
  </si>
  <si>
    <t>Retained Earnings</t>
  </si>
  <si>
    <t>Total Stockholders Equity</t>
  </si>
  <si>
    <t>Total Liabilities &amp; Stock Holders Equity</t>
  </si>
  <si>
    <t xml:space="preserve">Segment Analysis </t>
  </si>
  <si>
    <t>Online Stores</t>
  </si>
  <si>
    <t>Physical Stores</t>
  </si>
  <si>
    <t xml:space="preserve">Thurd-Party Seller Activities </t>
  </si>
  <si>
    <t xml:space="preserve">Advertising Services </t>
  </si>
  <si>
    <t xml:space="preserve">Subscription Services </t>
  </si>
  <si>
    <t>AWS</t>
  </si>
  <si>
    <t xml:space="preserve">Other </t>
  </si>
  <si>
    <t xml:space="preserve">Consolidated </t>
  </si>
  <si>
    <t>Net Sales:</t>
  </si>
  <si>
    <t>% net sales</t>
  </si>
  <si>
    <t>Depreciation &amp;. Amoritsation</t>
  </si>
  <si>
    <t>Operating Income / EBIT</t>
  </si>
  <si>
    <t>N/A</t>
  </si>
  <si>
    <t>Alibaba</t>
  </si>
  <si>
    <t>eBay</t>
  </si>
  <si>
    <t>ETSY</t>
  </si>
  <si>
    <t>Goodfood Market</t>
  </si>
  <si>
    <t>Mercadolibre</t>
  </si>
  <si>
    <t>Amazon Inc.</t>
  </si>
  <si>
    <t>-</t>
  </si>
  <si>
    <t>Price per share</t>
  </si>
  <si>
    <t>Plus: Depreciation &amp; Amortisation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</si>
</sst>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£&quot;#,##0.00_);[Red]\(&quot;£&quot;#,##0.00\)"/>
    <numFmt numFmtId="164" formatCode="[$$-409]#,##0.00"/>
    <numFmt numFmtId="165" formatCode="[$$-409]#,##0"/>
    <numFmt numFmtId="166" formatCode="0.0%"/>
    <numFmt numFmtId="167" formatCode="[$$-409]#,##0.00_);[Red]\([$$-409]#,##0.00\)"/>
    <numFmt numFmtId="169" formatCode="[$$-409]#,##0_);[Red]\([$$-409]#,##0\)"/>
    <numFmt numFmtId="170" formatCode="#,##0.0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36"/>
      <color theme="0"/>
      <name val="Aptos Narrow"/>
      <scheme val="minor"/>
    </font>
    <font>
      <b/>
      <sz val="12"/>
      <color theme="0"/>
      <name val="Aptos Narrow"/>
      <scheme val="minor"/>
    </font>
    <font>
      <b/>
      <sz val="28"/>
      <color theme="0"/>
      <name val="Aptos Narrow"/>
      <scheme val="minor"/>
    </font>
    <font>
      <sz val="18"/>
      <color theme="0"/>
      <name val="Aptos Narrow"/>
      <scheme val="minor"/>
    </font>
    <font>
      <sz val="28"/>
      <color theme="0"/>
      <name val="Aptos Narrow"/>
      <scheme val="minor"/>
    </font>
    <font>
      <b/>
      <sz val="11"/>
      <color theme="0"/>
      <name val="Calibri"/>
      <family val="2"/>
    </font>
    <font>
      <b/>
      <i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9FF89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3" fontId="0" fillId="0" borderId="0" xfId="0" applyNumberFormat="1"/>
    <xf numFmtId="0" fontId="2" fillId="0" borderId="0" xfId="0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  <xf numFmtId="166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 indent="1"/>
    </xf>
    <xf numFmtId="0" fontId="0" fillId="0" borderId="0" xfId="0" applyAlignment="1">
      <alignment horizontal="left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9" fontId="0" fillId="0" borderId="0" xfId="0" applyNumberFormat="1"/>
    <xf numFmtId="0" fontId="5" fillId="3" borderId="0" xfId="0" applyFont="1" applyFill="1"/>
    <xf numFmtId="0" fontId="6" fillId="3" borderId="0" xfId="0" applyFont="1" applyFill="1"/>
    <xf numFmtId="0" fontId="9" fillId="3" borderId="0" xfId="0" applyFont="1" applyFill="1"/>
    <xf numFmtId="0" fontId="8" fillId="3" borderId="0" xfId="0" applyFont="1" applyFill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0" xfId="0" applyFont="1" applyFill="1" applyAlignment="1">
      <alignment horizontal="left" indent="1"/>
    </xf>
    <xf numFmtId="0" fontId="0" fillId="4" borderId="0" xfId="0" applyFill="1"/>
    <xf numFmtId="0" fontId="6" fillId="3" borderId="0" xfId="0" applyFont="1" applyFill="1" applyAlignment="1">
      <alignment horizontal="center"/>
    </xf>
    <xf numFmtId="0" fontId="0" fillId="4" borderId="1" xfId="0" applyFill="1" applyBorder="1"/>
    <xf numFmtId="0" fontId="3" fillId="0" borderId="0" xfId="0" applyFont="1" applyAlignment="1">
      <alignment horizontal="left" indent="2"/>
    </xf>
    <xf numFmtId="0" fontId="0" fillId="6" borderId="0" xfId="0" applyFill="1"/>
    <xf numFmtId="0" fontId="6" fillId="0" borderId="0" xfId="0" applyFont="1"/>
    <xf numFmtId="0" fontId="3" fillId="2" borderId="2" xfId="0" applyFont="1" applyFill="1" applyBorder="1" applyAlignment="1">
      <alignment horizontal="center"/>
    </xf>
    <xf numFmtId="9" fontId="3" fillId="2" borderId="4" xfId="0" applyNumberFormat="1" applyFont="1" applyFill="1" applyBorder="1" applyAlignment="1">
      <alignment horizontal="center"/>
    </xf>
    <xf numFmtId="10" fontId="3" fillId="2" borderId="4" xfId="0" applyNumberFormat="1" applyFont="1" applyFill="1" applyBorder="1" applyAlignment="1">
      <alignment horizontal="center"/>
    </xf>
    <xf numFmtId="0" fontId="0" fillId="3" borderId="0" xfId="0" applyFill="1"/>
    <xf numFmtId="0" fontId="3" fillId="0" borderId="0" xfId="0" applyFont="1" applyAlignment="1">
      <alignment textRotation="90"/>
    </xf>
    <xf numFmtId="9" fontId="3" fillId="2" borderId="4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10" fillId="3" borderId="0" xfId="0" applyNumberFormat="1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0" xfId="0" applyFont="1" applyFill="1"/>
    <xf numFmtId="0" fontId="3" fillId="0" borderId="1" xfId="0" applyFont="1" applyBorder="1"/>
    <xf numFmtId="0" fontId="0" fillId="0" borderId="4" xfId="0" applyBorder="1"/>
    <xf numFmtId="0" fontId="3" fillId="0" borderId="6" xfId="0" applyFont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3" fillId="4" borderId="10" xfId="0" applyFont="1" applyFill="1" applyBorder="1"/>
    <xf numFmtId="0" fontId="3" fillId="4" borderId="1" xfId="0" applyFont="1" applyFill="1" applyBorder="1"/>
    <xf numFmtId="0" fontId="3" fillId="4" borderId="11" xfId="0" applyFont="1" applyFill="1" applyBorder="1"/>
    <xf numFmtId="0" fontId="11" fillId="0" borderId="0" xfId="0" applyFont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6" fillId="6" borderId="0" xfId="0" applyFont="1" applyFill="1"/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left"/>
    </xf>
    <xf numFmtId="9" fontId="3" fillId="2" borderId="4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10" fontId="3" fillId="2" borderId="2" xfId="0" applyNumberFormat="1" applyFon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/>
    </xf>
    <xf numFmtId="166" fontId="0" fillId="0" borderId="0" xfId="0" applyNumberFormat="1"/>
    <xf numFmtId="166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9" fontId="0" fillId="4" borderId="3" xfId="0" applyNumberForma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5" borderId="8" xfId="0" applyNumberFormat="1" applyFont="1" applyFill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165" fontId="3" fillId="0" borderId="1" xfId="0" applyNumberFormat="1" applyFont="1" applyBorder="1" applyAlignment="1">
      <alignment horizontal="center"/>
    </xf>
    <xf numFmtId="165" fontId="3" fillId="0" borderId="12" xfId="0" applyNumberFormat="1" applyFont="1" applyBorder="1"/>
    <xf numFmtId="165" fontId="3" fillId="0" borderId="1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indent="3"/>
    </xf>
    <xf numFmtId="0" fontId="3" fillId="0" borderId="0" xfId="0" applyFont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5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 vertical="center"/>
    </xf>
    <xf numFmtId="165" fontId="1" fillId="4" borderId="0" xfId="0" applyNumberFormat="1" applyFon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0" fillId="5" borderId="6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0" fontId="0" fillId="5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center"/>
    </xf>
    <xf numFmtId="9" fontId="4" fillId="5" borderId="0" xfId="0" applyNumberFormat="1" applyFont="1" applyFill="1"/>
    <xf numFmtId="9" fontId="0" fillId="5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3" fillId="4" borderId="5" xfId="0" applyNumberFormat="1" applyFont="1" applyFill="1" applyBorder="1" applyAlignment="1">
      <alignment horizontal="center"/>
    </xf>
    <xf numFmtId="0" fontId="3" fillId="4" borderId="3" xfId="0" applyFont="1" applyFill="1" applyBorder="1"/>
    <xf numFmtId="10" fontId="3" fillId="4" borderId="3" xfId="0" applyNumberFormat="1" applyFont="1" applyFill="1" applyBorder="1"/>
    <xf numFmtId="10" fontId="0" fillId="5" borderId="0" xfId="0" applyNumberFormat="1" applyFill="1" applyAlignment="1">
      <alignment horizontal="center" vertical="center"/>
    </xf>
    <xf numFmtId="10" fontId="0" fillId="5" borderId="0" xfId="0" applyNumberFormat="1" applyFill="1"/>
    <xf numFmtId="164" fontId="3" fillId="4" borderId="0" xfId="0" applyNumberFormat="1" applyFont="1" applyFill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169" fontId="3" fillId="0" borderId="0" xfId="0" applyNumberFormat="1" applyFont="1" applyAlignment="1">
      <alignment horizontal="center"/>
    </xf>
    <xf numFmtId="167" fontId="3" fillId="4" borderId="3" xfId="0" applyNumberFormat="1" applyFont="1" applyFill="1" applyBorder="1" applyAlignment="1">
      <alignment horizontal="center"/>
    </xf>
    <xf numFmtId="169" fontId="3" fillId="4" borderId="3" xfId="0" applyNumberFormat="1" applyFont="1" applyFill="1" applyBorder="1" applyAlignment="1">
      <alignment horizontal="center"/>
    </xf>
    <xf numFmtId="1" fontId="0" fillId="4" borderId="3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6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  <xf numFmtId="10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9" fontId="3" fillId="2" borderId="2" xfId="0" applyNumberFormat="1" applyFont="1" applyFill="1" applyBorder="1" applyAlignment="1">
      <alignment horizontal="center" vertical="center"/>
    </xf>
    <xf numFmtId="165" fontId="0" fillId="5" borderId="0" xfId="0" applyNumberFormat="1" applyFill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65" fontId="3" fillId="0" borderId="4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8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F89"/>
      <color rgb="FFFFFD57"/>
      <color rgb="FFE3F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A6B0-2BC5-A641-94A1-7DD3442B6001}">
  <dimension ref="B3:W57"/>
  <sheetViews>
    <sheetView showGridLines="0" tabSelected="1" topLeftCell="A3" workbookViewId="0">
      <selection activeCell="J20" sqref="J20"/>
    </sheetView>
  </sheetViews>
  <sheetFormatPr baseColWidth="10" defaultRowHeight="16" x14ac:dyDescent="0.2"/>
  <cols>
    <col min="2" max="2" width="12.83203125" customWidth="1"/>
    <col min="5" max="5" width="12" bestFit="1" customWidth="1"/>
    <col min="8" max="8" width="3" customWidth="1"/>
    <col min="11" max="11" width="11.1640625" bestFit="1" customWidth="1"/>
    <col min="12" max="12" width="12.6640625" bestFit="1" customWidth="1"/>
    <col min="13" max="13" width="15.83203125" customWidth="1"/>
    <col min="14" max="15" width="11.1640625" bestFit="1" customWidth="1"/>
    <col min="16" max="16" width="2.33203125" customWidth="1"/>
    <col min="17" max="17" width="13.6640625" bestFit="1" customWidth="1"/>
    <col min="18" max="18" width="12.6640625" bestFit="1" customWidth="1"/>
  </cols>
  <sheetData>
    <row r="3" spans="2:23" ht="47" x14ac:dyDescent="0.55000000000000004">
      <c r="B3" s="25" t="s">
        <v>229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42"/>
      <c r="S3" s="42"/>
      <c r="T3" s="42"/>
      <c r="U3" s="42"/>
      <c r="V3" s="42"/>
      <c r="W3" s="42"/>
    </row>
    <row r="4" spans="2:23" ht="37" x14ac:dyDescent="0.45">
      <c r="B4" s="27" t="s">
        <v>60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42"/>
      <c r="S4" s="42"/>
      <c r="T4" s="42"/>
      <c r="U4" s="42"/>
      <c r="V4" s="42"/>
      <c r="W4" s="42"/>
    </row>
    <row r="5" spans="2:23" ht="24" x14ac:dyDescent="0.3">
      <c r="B5" s="28" t="s">
        <v>61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42"/>
      <c r="S5" s="42"/>
      <c r="T5" s="42"/>
      <c r="U5" s="42"/>
      <c r="V5" s="42"/>
      <c r="W5" s="42"/>
    </row>
    <row r="6" spans="2:23" ht="15" customHeight="1" x14ac:dyDescent="0.3">
      <c r="B6" s="164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42"/>
      <c r="S6" s="42"/>
      <c r="T6" s="42"/>
      <c r="U6" s="42"/>
      <c r="V6" s="42"/>
      <c r="W6" s="42"/>
    </row>
    <row r="7" spans="2:23" x14ac:dyDescent="0.2">
      <c r="B7" s="29" t="s">
        <v>62</v>
      </c>
      <c r="D7" s="6">
        <v>1</v>
      </c>
    </row>
    <row r="8" spans="2:23" x14ac:dyDescent="0.2">
      <c r="B8" s="29" t="s">
        <v>63</v>
      </c>
      <c r="D8" s="6" t="s">
        <v>64</v>
      </c>
      <c r="E8" s="143" t="s">
        <v>65</v>
      </c>
      <c r="F8" s="143"/>
      <c r="G8" s="143"/>
      <c r="I8" s="33" t="s">
        <v>81</v>
      </c>
      <c r="J8" s="6"/>
      <c r="K8" s="143" t="s">
        <v>83</v>
      </c>
      <c r="L8" s="143"/>
      <c r="M8" s="143"/>
      <c r="N8" s="143"/>
      <c r="O8" s="143"/>
      <c r="Q8" s="33" t="s">
        <v>81</v>
      </c>
      <c r="R8" s="33"/>
    </row>
    <row r="9" spans="2:23" x14ac:dyDescent="0.2">
      <c r="E9" s="30">
        <v>2020</v>
      </c>
      <c r="F9" s="30">
        <v>2021</v>
      </c>
      <c r="G9" s="30">
        <v>2022</v>
      </c>
      <c r="H9" s="31"/>
      <c r="I9" s="35" t="s">
        <v>82</v>
      </c>
      <c r="J9" s="34">
        <v>2023</v>
      </c>
      <c r="K9" s="30">
        <v>2024</v>
      </c>
      <c r="L9" s="30">
        <v>2025</v>
      </c>
      <c r="M9" s="30">
        <v>2026</v>
      </c>
      <c r="N9" s="30">
        <v>2027</v>
      </c>
      <c r="O9" s="30">
        <v>2028</v>
      </c>
      <c r="P9" s="31"/>
      <c r="Q9" s="35" t="s">
        <v>84</v>
      </c>
      <c r="R9" s="33"/>
    </row>
    <row r="10" spans="2:23" x14ac:dyDescent="0.2">
      <c r="B10" s="29" t="s">
        <v>66</v>
      </c>
      <c r="E10" s="9">
        <f>'Historical Op. &amp; Work. Cap Data'!X9</f>
        <v>386064</v>
      </c>
      <c r="F10" s="9">
        <f>'Historical Op. &amp; Work. Cap Data'!Y9</f>
        <v>469822</v>
      </c>
      <c r="G10" s="9">
        <f>'Historical Op. &amp; Work. Cap Data'!Z9</f>
        <v>513983</v>
      </c>
      <c r="H10" s="51"/>
      <c r="I10" s="92">
        <f>(G10/E10)^(1/2)-1</f>
        <v>0.15383769899275368</v>
      </c>
      <c r="J10" s="94">
        <f>'Historical Op. &amp; Work. Cap Data'!AA9</f>
        <v>574785</v>
      </c>
      <c r="K10" s="93">
        <f>J10*1.11</f>
        <v>638011.35000000009</v>
      </c>
      <c r="L10" s="93">
        <f t="shared" ref="L10" si="0">K10*1.11</f>
        <v>708192.5985000002</v>
      </c>
      <c r="M10" s="93">
        <f>L10*1.16</f>
        <v>821503.41426000022</v>
      </c>
      <c r="N10" s="93">
        <f t="shared" ref="N10" si="1">M10*1.09</f>
        <v>895438.72154340032</v>
      </c>
      <c r="O10" s="93">
        <f>N10*1.08</f>
        <v>967073.81926687236</v>
      </c>
      <c r="P10" s="51"/>
      <c r="Q10" s="92">
        <f>(O10/J10)^(1/5) -1</f>
        <v>0.10966232200172144</v>
      </c>
    </row>
    <row r="11" spans="2:23" x14ac:dyDescent="0.2">
      <c r="B11" t="s">
        <v>67</v>
      </c>
      <c r="E11" s="157"/>
      <c r="F11" s="92">
        <f>F10/E10-1</f>
        <v>0.21695366571345676</v>
      </c>
      <c r="G11" s="92">
        <f t="shared" ref="G11" si="2">G10/F10-1</f>
        <v>9.399517263985091E-2</v>
      </c>
      <c r="H11" s="51"/>
      <c r="I11" s="51"/>
      <c r="J11" s="117">
        <f>J10/G10-1</f>
        <v>0.1182957412988368</v>
      </c>
      <c r="K11" s="92">
        <f>K10/J10-1</f>
        <v>0.1100000000000001</v>
      </c>
      <c r="L11" s="92">
        <f t="shared" ref="L11:O11" si="3">L10/K10-1</f>
        <v>0.1100000000000001</v>
      </c>
      <c r="M11" s="92">
        <f t="shared" si="3"/>
        <v>0.15999999999999992</v>
      </c>
      <c r="N11" s="92">
        <f t="shared" si="3"/>
        <v>9.000000000000008E-2</v>
      </c>
      <c r="O11" s="92">
        <f t="shared" si="3"/>
        <v>8.0000000000000071E-2</v>
      </c>
      <c r="P11" s="51"/>
      <c r="Q11" s="51"/>
    </row>
    <row r="12" spans="2:23" x14ac:dyDescent="0.2">
      <c r="B12" s="29" t="s">
        <v>68</v>
      </c>
      <c r="E12" s="119">
        <f>'Historical Op. &amp; Work. Cap Data'!X21</f>
        <v>48079</v>
      </c>
      <c r="F12" s="119">
        <f>'Historical Op. &amp; Work. Cap Data'!Y21</f>
        <v>59312</v>
      </c>
      <c r="G12" s="119">
        <f>'Historical Op. &amp; Work. Cap Data'!Z21</f>
        <v>54169</v>
      </c>
      <c r="H12" s="51"/>
      <c r="I12" s="92"/>
      <c r="J12" s="106">
        <f>'Historical Op. &amp; Work. Cap Data'!AA21</f>
        <v>85515</v>
      </c>
      <c r="K12" s="93">
        <f>K14+K15</f>
        <v>115218</v>
      </c>
      <c r="L12" s="93">
        <f t="shared" ref="L12:O12" si="4">L14+L15</f>
        <v>145920</v>
      </c>
      <c r="M12" s="93">
        <f t="shared" si="4"/>
        <v>183260</v>
      </c>
      <c r="N12" s="93">
        <f t="shared" si="4"/>
        <v>219981</v>
      </c>
      <c r="O12" s="93">
        <f t="shared" si="4"/>
        <v>261848</v>
      </c>
      <c r="P12" s="51"/>
      <c r="Q12" s="90"/>
      <c r="R12" s="90"/>
      <c r="S12" s="90"/>
      <c r="T12" s="90"/>
      <c r="U12" s="90"/>
    </row>
    <row r="13" spans="2:23" x14ac:dyDescent="0.2">
      <c r="B13" t="s">
        <v>69</v>
      </c>
      <c r="E13" s="92">
        <f>E12/E10</f>
        <v>0.12453634630527581</v>
      </c>
      <c r="F13" s="92">
        <f t="shared" ref="F13:G13" si="5">F12/F10</f>
        <v>0.12624355607017126</v>
      </c>
      <c r="G13" s="92">
        <f t="shared" si="5"/>
        <v>0.10539064521589235</v>
      </c>
      <c r="H13" s="51"/>
      <c r="I13" s="92">
        <f>(G12/E12)^(1/2)-1</f>
        <v>6.1445489889137006E-2</v>
      </c>
      <c r="J13" s="117">
        <f>J12/J10</f>
        <v>0.14877736892925181</v>
      </c>
      <c r="K13" s="92">
        <f>K12/K10</f>
        <v>0.18058926381168608</v>
      </c>
      <c r="L13" s="92">
        <f t="shared" ref="L13" si="6">L12/L10</f>
        <v>0.2060456439520385</v>
      </c>
      <c r="M13" s="92">
        <f t="shared" ref="M13" si="7">M12/M10</f>
        <v>0.22307880505290201</v>
      </c>
      <c r="N13" s="92">
        <f t="shared" ref="N13" si="8">N12/N10</f>
        <v>0.24566840221163913</v>
      </c>
      <c r="O13" s="92">
        <f t="shared" ref="O13" si="9">O12/O10</f>
        <v>0.27076319799299703</v>
      </c>
      <c r="P13" s="51"/>
      <c r="Q13" s="51"/>
    </row>
    <row r="14" spans="2:23" x14ac:dyDescent="0.2">
      <c r="B14" t="s">
        <v>70</v>
      </c>
      <c r="E14" s="160">
        <f>'Historical Op. &amp; Work. Cap Data'!X20</f>
        <v>25180</v>
      </c>
      <c r="F14" s="160">
        <f>'Historical Op. &amp; Work. Cap Data'!Y20</f>
        <v>34433</v>
      </c>
      <c r="G14" s="160">
        <f>'Historical Op. &amp; Work. Cap Data'!Z20</f>
        <v>41921</v>
      </c>
      <c r="H14" s="51"/>
      <c r="I14" s="92"/>
      <c r="J14" s="120">
        <f>'Historical Op. &amp; Work. Cap Data'!AA20</f>
        <v>48663</v>
      </c>
      <c r="K14" s="107">
        <v>56536</v>
      </c>
      <c r="L14" s="107">
        <v>62958</v>
      </c>
      <c r="M14" s="107">
        <v>67489</v>
      </c>
      <c r="N14" s="107">
        <v>73056</v>
      </c>
      <c r="O14" s="107">
        <v>82267</v>
      </c>
      <c r="P14" s="51"/>
      <c r="Q14" s="92"/>
      <c r="R14" s="92"/>
      <c r="S14" s="92"/>
      <c r="T14" s="92"/>
      <c r="U14" s="92"/>
    </row>
    <row r="15" spans="2:23" x14ac:dyDescent="0.2">
      <c r="B15" s="29" t="s">
        <v>71</v>
      </c>
      <c r="E15" s="9">
        <f>E12-E14</f>
        <v>22899</v>
      </c>
      <c r="F15" s="9">
        <f t="shared" ref="F15:G15" si="10">F12-F14</f>
        <v>24879</v>
      </c>
      <c r="G15" s="9">
        <f t="shared" si="10"/>
        <v>12248</v>
      </c>
      <c r="H15" s="51"/>
      <c r="I15" s="92"/>
      <c r="J15" s="158">
        <f t="shared" ref="J15" si="11">J12-J14</f>
        <v>36852</v>
      </c>
      <c r="K15" s="9">
        <f>K18+K17</f>
        <v>58682</v>
      </c>
      <c r="L15" s="9">
        <f t="shared" ref="L15:O15" si="12">L18+L17</f>
        <v>82962</v>
      </c>
      <c r="M15" s="9">
        <f t="shared" si="12"/>
        <v>115771</v>
      </c>
      <c r="N15" s="9">
        <f t="shared" si="12"/>
        <v>146925</v>
      </c>
      <c r="O15" s="9">
        <f t="shared" si="12"/>
        <v>179581</v>
      </c>
      <c r="P15" s="51"/>
      <c r="Q15" s="90"/>
      <c r="S15" s="24"/>
    </row>
    <row r="16" spans="2:23" x14ac:dyDescent="0.2">
      <c r="B16" t="s">
        <v>69</v>
      </c>
      <c r="E16" s="92">
        <f>E15/E10</f>
        <v>5.9313999751336569E-2</v>
      </c>
      <c r="F16" s="92">
        <f t="shared" ref="F16:G16" si="13">F15/F10</f>
        <v>5.2954097509269465E-2</v>
      </c>
      <c r="G16" s="92">
        <f t="shared" si="13"/>
        <v>2.3829581912242232E-2</v>
      </c>
      <c r="H16" s="51"/>
      <c r="I16" s="51"/>
      <c r="J16" s="117">
        <f>J15/J10</f>
        <v>6.4114407996033296E-2</v>
      </c>
      <c r="K16" s="92">
        <f>K15/K10</f>
        <v>9.1976420168700751E-2</v>
      </c>
      <c r="L16" s="92">
        <f t="shared" ref="L16" si="14">L15/L10</f>
        <v>0.1171460986400015</v>
      </c>
      <c r="M16" s="92">
        <f>M15/M10</f>
        <v>0.14092576852438896</v>
      </c>
      <c r="N16" s="92">
        <f t="shared" ref="N16" si="15">N15/N10</f>
        <v>0.16408157974981966</v>
      </c>
      <c r="O16" s="92">
        <f t="shared" ref="O16" si="16">O15/O10</f>
        <v>0.18569523486442671</v>
      </c>
      <c r="P16" s="51"/>
      <c r="Q16" s="51"/>
    </row>
    <row r="17" spans="2:18" x14ac:dyDescent="0.2">
      <c r="B17" t="s">
        <v>35</v>
      </c>
      <c r="E17" s="107">
        <v>2863</v>
      </c>
      <c r="F17" s="107">
        <v>4791</v>
      </c>
      <c r="G17" s="107">
        <v>-3217</v>
      </c>
      <c r="H17" s="51"/>
      <c r="I17" s="51"/>
      <c r="J17" s="156">
        <v>7120</v>
      </c>
      <c r="K17" s="107">
        <v>9968</v>
      </c>
      <c r="L17" s="107">
        <v>14092</v>
      </c>
      <c r="M17" s="107">
        <v>19665</v>
      </c>
      <c r="N17" s="107">
        <v>24957</v>
      </c>
      <c r="O17" s="107">
        <v>30504</v>
      </c>
      <c r="P17" s="51"/>
      <c r="Q17" s="51"/>
    </row>
    <row r="18" spans="2:18" x14ac:dyDescent="0.2">
      <c r="B18" s="29" t="s">
        <v>72</v>
      </c>
      <c r="E18" s="108">
        <f>E15-E17</f>
        <v>20036</v>
      </c>
      <c r="F18" s="108">
        <f t="shared" ref="F18:G18" si="17">F15-F17</f>
        <v>20088</v>
      </c>
      <c r="G18" s="108">
        <f t="shared" si="17"/>
        <v>15465</v>
      </c>
      <c r="H18" s="51"/>
      <c r="I18" s="92"/>
      <c r="J18" s="159">
        <f t="shared" ref="J18" si="18">J15-J17</f>
        <v>29732</v>
      </c>
      <c r="K18" s="108">
        <v>48714</v>
      </c>
      <c r="L18" s="108">
        <v>68870</v>
      </c>
      <c r="M18" s="108">
        <v>96106</v>
      </c>
      <c r="N18" s="108">
        <v>121968</v>
      </c>
      <c r="O18" s="108">
        <v>149077</v>
      </c>
      <c r="P18" s="51"/>
      <c r="Q18" s="51"/>
    </row>
    <row r="19" spans="2:18" x14ac:dyDescent="0.2">
      <c r="E19" s="51"/>
      <c r="F19" s="51"/>
      <c r="G19" s="51"/>
      <c r="H19" s="51"/>
      <c r="I19" s="51"/>
      <c r="J19" s="68"/>
      <c r="K19" s="90"/>
      <c r="L19" s="51"/>
      <c r="M19" s="51"/>
      <c r="N19" s="51"/>
      <c r="O19" s="51"/>
      <c r="P19" s="51"/>
      <c r="Q19" s="51"/>
    </row>
    <row r="20" spans="2:18" x14ac:dyDescent="0.2">
      <c r="B20" t="s">
        <v>232</v>
      </c>
      <c r="E20" s="90">
        <f>E14</f>
        <v>25180</v>
      </c>
      <c r="F20" s="90">
        <f t="shared" ref="F20:G20" si="19">F14</f>
        <v>34433</v>
      </c>
      <c r="G20" s="90">
        <f t="shared" si="19"/>
        <v>41921</v>
      </c>
      <c r="H20" s="51"/>
      <c r="I20" s="51"/>
      <c r="J20" s="91">
        <f t="shared" ref="J20:O20" si="20">J14</f>
        <v>48663</v>
      </c>
      <c r="K20" s="90">
        <f t="shared" si="20"/>
        <v>56536</v>
      </c>
      <c r="L20" s="90">
        <f t="shared" si="20"/>
        <v>62958</v>
      </c>
      <c r="M20" s="90">
        <f t="shared" si="20"/>
        <v>67489</v>
      </c>
      <c r="N20" s="90">
        <f t="shared" si="20"/>
        <v>73056</v>
      </c>
      <c r="O20" s="90">
        <f t="shared" si="20"/>
        <v>82267</v>
      </c>
      <c r="P20" s="51"/>
      <c r="Q20" s="51"/>
    </row>
    <row r="21" spans="2:18" x14ac:dyDescent="0.2">
      <c r="B21" t="s">
        <v>73</v>
      </c>
      <c r="E21" s="155">
        <v>40140</v>
      </c>
      <c r="F21" s="155">
        <v>61053</v>
      </c>
      <c r="G21" s="155">
        <v>63645</v>
      </c>
      <c r="H21" s="51"/>
      <c r="I21" s="51"/>
      <c r="J21" s="121">
        <v>52729</v>
      </c>
      <c r="K21" s="155">
        <v>65114</v>
      </c>
      <c r="L21" s="155">
        <v>72248</v>
      </c>
      <c r="M21" s="155">
        <v>83707</v>
      </c>
      <c r="N21" s="155">
        <v>91482</v>
      </c>
      <c r="O21" s="155">
        <v>98785</v>
      </c>
      <c r="P21" s="51"/>
      <c r="Q21" s="51"/>
    </row>
    <row r="22" spans="2:18" x14ac:dyDescent="0.2">
      <c r="B22" t="s">
        <v>74</v>
      </c>
      <c r="E22" s="161" t="s">
        <v>79</v>
      </c>
      <c r="F22" s="107">
        <f>'Hist &amp; Proj NWC'!F27</f>
        <v>12966</v>
      </c>
      <c r="G22" s="107">
        <f>'Hist &amp; Proj NWC'!G27</f>
        <v>-27916</v>
      </c>
      <c r="H22" s="52"/>
      <c r="I22" s="162"/>
      <c r="J22" s="156">
        <f>'Hist &amp; Proj NWC'!I27</f>
        <v>16036</v>
      </c>
      <c r="K22" s="107">
        <v>1589</v>
      </c>
      <c r="L22" s="107">
        <v>4831</v>
      </c>
      <c r="M22" s="107">
        <v>1995</v>
      </c>
      <c r="N22" s="107">
        <v>3713</v>
      </c>
      <c r="O22" s="107">
        <v>4501</v>
      </c>
      <c r="P22" s="51"/>
    </row>
    <row r="23" spans="2:18" x14ac:dyDescent="0.2">
      <c r="B23" s="29" t="s">
        <v>75</v>
      </c>
      <c r="E23" s="93">
        <f>E18+E20-E21</f>
        <v>5076</v>
      </c>
      <c r="F23" s="93">
        <f t="shared" ref="F23" si="21">F18+F20-F21-F22</f>
        <v>-19498</v>
      </c>
      <c r="G23" s="93">
        <f>G18+G20-G21-G22</f>
        <v>21657</v>
      </c>
      <c r="H23" s="51"/>
      <c r="I23" s="51"/>
      <c r="J23" s="93">
        <f>J18+J20-J21-J22</f>
        <v>9630</v>
      </c>
      <c r="K23" s="93">
        <f t="shared" ref="K23" si="22">K18+K20-K21-K22</f>
        <v>38547</v>
      </c>
      <c r="L23" s="93">
        <f t="shared" ref="L23" si="23">L18+L20-L21-L22</f>
        <v>54749</v>
      </c>
      <c r="M23" s="93">
        <f t="shared" ref="M23" si="24">M18+M20-M21-M22</f>
        <v>77893</v>
      </c>
      <c r="N23" s="93">
        <f t="shared" ref="N23" si="25">N18+N20-N21-N22</f>
        <v>99829</v>
      </c>
      <c r="O23" s="93">
        <f t="shared" ref="O23" si="26">O18+O20-O21-O22</f>
        <v>128058</v>
      </c>
      <c r="P23" s="51"/>
      <c r="Q23" s="3"/>
      <c r="R23" s="1"/>
    </row>
    <row r="24" spans="2:18" x14ac:dyDescent="0.2">
      <c r="B24" s="29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</row>
    <row r="25" spans="2:18" x14ac:dyDescent="0.2">
      <c r="B25" s="13" t="s">
        <v>76</v>
      </c>
      <c r="E25" s="131">
        <v>8.2000000000000003E-2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2:18" x14ac:dyDescent="0.2">
      <c r="B26" s="13" t="s">
        <v>77</v>
      </c>
      <c r="E26" s="51"/>
      <c r="F26" s="51"/>
      <c r="G26" s="51"/>
      <c r="H26" s="51"/>
      <c r="I26" s="51"/>
      <c r="J26" s="51"/>
      <c r="K26" s="51">
        <f>YEARFRAC(31/12/2024,31/122024,2)</f>
        <v>0</v>
      </c>
      <c r="L26" s="51">
        <v>1</v>
      </c>
      <c r="M26" s="51">
        <v>2</v>
      </c>
      <c r="N26" s="51">
        <v>3</v>
      </c>
      <c r="O26" s="51">
        <v>4</v>
      </c>
      <c r="P26" s="51"/>
      <c r="Q26" s="51"/>
    </row>
    <row r="27" spans="2:18" x14ac:dyDescent="0.2">
      <c r="B27" s="13" t="s">
        <v>78</v>
      </c>
      <c r="E27" s="51"/>
      <c r="F27" s="51"/>
      <c r="G27" s="51"/>
      <c r="H27" s="51"/>
      <c r="I27" s="51"/>
      <c r="J27" s="51"/>
      <c r="K27" s="163">
        <f>1/((1+$E$25)^K26)</f>
        <v>1</v>
      </c>
      <c r="L27" s="163">
        <f t="shared" ref="L27:O27" si="27">1/((1+$E$25)^L26)</f>
        <v>0.92421441774491675</v>
      </c>
      <c r="M27" s="163">
        <f t="shared" si="27"/>
        <v>0.85417228996757555</v>
      </c>
      <c r="N27" s="163">
        <f t="shared" si="27"/>
        <v>0.78943834562622495</v>
      </c>
      <c r="O27" s="163">
        <f t="shared" si="27"/>
        <v>0.72961030094845203</v>
      </c>
      <c r="P27" s="51"/>
      <c r="Q27" s="51"/>
    </row>
    <row r="28" spans="2:18" x14ac:dyDescent="0.2">
      <c r="B28" s="36" t="s">
        <v>80</v>
      </c>
      <c r="C28" s="37"/>
      <c r="D28" s="37"/>
      <c r="E28" s="53"/>
      <c r="F28" s="53"/>
      <c r="G28" s="53"/>
      <c r="H28" s="53"/>
      <c r="I28" s="53"/>
      <c r="J28" s="53"/>
      <c r="K28" s="133">
        <f>K23*K27</f>
        <v>38547</v>
      </c>
      <c r="L28" s="133">
        <f t="shared" ref="L28:O28" si="28">L23*L27</f>
        <v>50599.815157116449</v>
      </c>
      <c r="M28" s="133">
        <f t="shared" si="28"/>
        <v>66534.042182444362</v>
      </c>
      <c r="N28" s="133">
        <f t="shared" si="28"/>
        <v>78808.84060552041</v>
      </c>
      <c r="O28" s="133">
        <f t="shared" si="28"/>
        <v>93432.435918856863</v>
      </c>
      <c r="P28" s="51"/>
      <c r="Q28" s="51"/>
    </row>
    <row r="32" spans="2:18" x14ac:dyDescent="0.2">
      <c r="B32" s="142" t="s">
        <v>85</v>
      </c>
      <c r="C32" s="142"/>
      <c r="D32" s="142"/>
      <c r="E32" s="142"/>
      <c r="G32" s="142" t="s">
        <v>94</v>
      </c>
      <c r="H32" s="142"/>
      <c r="I32" s="142"/>
      <c r="J32" s="142"/>
      <c r="K32" s="142"/>
      <c r="M32" s="144" t="s">
        <v>101</v>
      </c>
      <c r="N32" s="144"/>
      <c r="O32" s="144"/>
      <c r="P32" s="144"/>
      <c r="Q32" s="144"/>
    </row>
    <row r="33" spans="2:17" x14ac:dyDescent="0.2">
      <c r="B33" t="s">
        <v>86</v>
      </c>
      <c r="E33" s="137">
        <f>NPV(E25,K28:O28)</f>
        <v>251873.93929081288</v>
      </c>
      <c r="G33" t="s">
        <v>85</v>
      </c>
      <c r="K33" s="136">
        <f>E43</f>
        <v>2390104.142521407</v>
      </c>
      <c r="M33" t="s">
        <v>102</v>
      </c>
      <c r="Q33" s="11">
        <f>O23</f>
        <v>128058</v>
      </c>
    </row>
    <row r="34" spans="2:17" x14ac:dyDescent="0.2">
      <c r="E34" s="6"/>
      <c r="G34" t="s">
        <v>95</v>
      </c>
      <c r="K34" s="49">
        <f>info!C8</f>
        <v>58314</v>
      </c>
      <c r="M34" t="s">
        <v>76</v>
      </c>
      <c r="Q34" s="134">
        <f>E25</f>
        <v>8.2000000000000003E-2</v>
      </c>
    </row>
    <row r="35" spans="2:17" x14ac:dyDescent="0.2">
      <c r="B35" s="31" t="s">
        <v>87</v>
      </c>
      <c r="C35" s="31"/>
      <c r="D35" s="31"/>
      <c r="E35" s="35"/>
      <c r="G35" t="s">
        <v>96</v>
      </c>
      <c r="K35" s="49" t="s">
        <v>230</v>
      </c>
      <c r="M35" t="s">
        <v>103</v>
      </c>
      <c r="Q35" s="2">
        <f>Q33*(1+Q37)/(Q34-Q37)</f>
        <v>3170960</v>
      </c>
    </row>
    <row r="36" spans="2:17" x14ac:dyDescent="0.2">
      <c r="B36" t="s">
        <v>89</v>
      </c>
      <c r="E36" s="11">
        <f>O12</f>
        <v>261848</v>
      </c>
      <c r="G36" t="s">
        <v>97</v>
      </c>
      <c r="K36" s="49" t="s">
        <v>230</v>
      </c>
      <c r="Q36" s="6"/>
    </row>
    <row r="37" spans="2:17" x14ac:dyDescent="0.2">
      <c r="B37" t="s">
        <v>88</v>
      </c>
      <c r="E37" s="141">
        <f>Q35/E36</f>
        <v>12.109926369496808</v>
      </c>
      <c r="G37" t="s">
        <v>98</v>
      </c>
      <c r="K37" s="50">
        <f>info!C7</f>
        <v>86780</v>
      </c>
      <c r="M37" s="29" t="s">
        <v>104</v>
      </c>
      <c r="Q37" s="89">
        <v>0.04</v>
      </c>
    </row>
    <row r="38" spans="2:17" x14ac:dyDescent="0.2">
      <c r="B38" s="32" t="s">
        <v>90</v>
      </c>
      <c r="E38" s="9">
        <f>E36*E37</f>
        <v>3170960</v>
      </c>
      <c r="K38" s="6"/>
    </row>
    <row r="39" spans="2:17" x14ac:dyDescent="0.2">
      <c r="B39" t="s">
        <v>91</v>
      </c>
      <c r="E39" s="135">
        <f>1/((1+E25)^5)</f>
        <v>0.67431635947176705</v>
      </c>
      <c r="G39" s="40" t="s">
        <v>99</v>
      </c>
      <c r="K39" s="139">
        <f>K33-K34+K37</f>
        <v>2418570.142521407</v>
      </c>
      <c r="M39" s="144" t="s">
        <v>105</v>
      </c>
      <c r="N39" s="144"/>
      <c r="O39" s="144"/>
      <c r="P39" s="144"/>
      <c r="Q39" s="144"/>
    </row>
    <row r="40" spans="2:17" x14ac:dyDescent="0.2">
      <c r="B40" s="32" t="s">
        <v>92</v>
      </c>
      <c r="E40" s="9">
        <f>E38*E39</f>
        <v>2138230.2032305943</v>
      </c>
      <c r="K40" s="6"/>
      <c r="M40" t="s">
        <v>85</v>
      </c>
      <c r="Q40" s="136">
        <f>K33</f>
        <v>2390104.142521407</v>
      </c>
    </row>
    <row r="41" spans="2:17" x14ac:dyDescent="0.2">
      <c r="B41" s="13" t="s">
        <v>93</v>
      </c>
      <c r="E41" s="15">
        <f>E40/E43</f>
        <v>0.8946180064668221</v>
      </c>
      <c r="G41" t="s">
        <v>100</v>
      </c>
      <c r="K41" s="5">
        <v>10515.011007999999</v>
      </c>
      <c r="M41" t="s">
        <v>106</v>
      </c>
      <c r="Q41" s="109">
        <v>85000</v>
      </c>
    </row>
    <row r="42" spans="2:17" x14ac:dyDescent="0.2">
      <c r="E42" s="6"/>
      <c r="K42" s="6"/>
      <c r="Q42" s="6"/>
    </row>
    <row r="43" spans="2:17" x14ac:dyDescent="0.2">
      <c r="B43" s="32" t="s">
        <v>85</v>
      </c>
      <c r="E43" s="136">
        <f>E40+E33</f>
        <v>2390104.142521407</v>
      </c>
      <c r="G43" t="s">
        <v>99</v>
      </c>
      <c r="K43" s="138">
        <f>K39/K41</f>
        <v>230.01118502694078</v>
      </c>
      <c r="M43" s="29" t="s">
        <v>107</v>
      </c>
      <c r="Q43" s="140">
        <f>Q40/Q41</f>
        <v>28.11887226495773</v>
      </c>
    </row>
    <row r="45" spans="2:17" x14ac:dyDescent="0.2">
      <c r="C45" s="142" t="s">
        <v>108</v>
      </c>
      <c r="D45" s="142"/>
      <c r="E45" s="142"/>
      <c r="F45" s="142"/>
      <c r="G45" s="142"/>
      <c r="H45" s="142"/>
      <c r="I45" s="142"/>
      <c r="K45" s="142" t="s">
        <v>104</v>
      </c>
      <c r="L45" s="142"/>
      <c r="M45" s="142"/>
      <c r="N45" s="142"/>
      <c r="O45" s="142"/>
      <c r="P45" s="142"/>
      <c r="Q45" s="142"/>
    </row>
    <row r="46" spans="2:17" x14ac:dyDescent="0.2">
      <c r="E46" s="146" t="s">
        <v>186</v>
      </c>
      <c r="F46" s="146"/>
      <c r="G46" s="146"/>
      <c r="M46" s="146" t="s">
        <v>186</v>
      </c>
      <c r="N46" s="146"/>
      <c r="O46" s="146"/>
    </row>
    <row r="47" spans="2:17" x14ac:dyDescent="0.2">
      <c r="C47" s="37"/>
      <c r="D47" s="43" t="s">
        <v>109</v>
      </c>
      <c r="E47" s="43" t="s">
        <v>110</v>
      </c>
      <c r="F47" s="43" t="s">
        <v>111</v>
      </c>
      <c r="G47" s="43" t="s">
        <v>112</v>
      </c>
      <c r="H47" s="147" t="s">
        <v>113</v>
      </c>
      <c r="I47" s="147"/>
      <c r="K47" s="37"/>
      <c r="L47" s="43" t="s">
        <v>109</v>
      </c>
      <c r="M47" s="43" t="s">
        <v>110</v>
      </c>
      <c r="N47" s="43" t="s">
        <v>111</v>
      </c>
      <c r="O47" s="43" t="s">
        <v>112</v>
      </c>
      <c r="P47" s="147" t="s">
        <v>113</v>
      </c>
      <c r="Q47" s="147"/>
    </row>
    <row r="48" spans="2:17" x14ac:dyDescent="0.2">
      <c r="C48" s="44">
        <v>0.1</v>
      </c>
      <c r="D48" s="51"/>
      <c r="E48" s="51"/>
      <c r="F48" s="51"/>
      <c r="G48" s="51"/>
      <c r="H48" s="148"/>
      <c r="I48" s="148"/>
      <c r="K48" s="44">
        <v>0.1</v>
      </c>
      <c r="L48" s="51"/>
      <c r="M48" s="51"/>
      <c r="N48" s="51"/>
      <c r="O48" s="51"/>
      <c r="P48" s="148"/>
      <c r="Q48" s="148"/>
    </row>
    <row r="49" spans="2:17" x14ac:dyDescent="0.2">
      <c r="C49" s="45">
        <v>0.105</v>
      </c>
      <c r="D49" s="51"/>
      <c r="E49" s="54"/>
      <c r="F49" s="54"/>
      <c r="G49" s="54"/>
      <c r="H49" s="145"/>
      <c r="I49" s="145"/>
      <c r="K49" s="45">
        <v>0.105</v>
      </c>
      <c r="L49" s="51"/>
      <c r="M49" s="54"/>
      <c r="N49" s="54"/>
      <c r="O49" s="54"/>
      <c r="P49" s="145"/>
      <c r="Q49" s="145"/>
    </row>
    <row r="50" spans="2:17" ht="40" x14ac:dyDescent="0.2">
      <c r="B50" s="47" t="s">
        <v>76</v>
      </c>
      <c r="C50" s="48">
        <v>0.11</v>
      </c>
      <c r="D50" s="51"/>
      <c r="E50" s="54"/>
      <c r="F50" s="53"/>
      <c r="G50" s="54"/>
      <c r="H50" s="145"/>
      <c r="I50" s="145"/>
      <c r="J50" s="47" t="s">
        <v>76</v>
      </c>
      <c r="K50" s="48">
        <v>0.11</v>
      </c>
      <c r="L50" s="51"/>
      <c r="M50" s="54"/>
      <c r="N50" s="53"/>
      <c r="O50" s="54"/>
      <c r="P50" s="145"/>
      <c r="Q50" s="145"/>
    </row>
    <row r="51" spans="2:17" x14ac:dyDescent="0.2">
      <c r="C51" s="45">
        <v>0.115</v>
      </c>
      <c r="D51" s="51"/>
      <c r="E51" s="54"/>
      <c r="F51" s="54"/>
      <c r="G51" s="54"/>
      <c r="H51" s="145"/>
      <c r="I51" s="145"/>
      <c r="K51" s="45">
        <v>0.115</v>
      </c>
      <c r="L51" s="51"/>
      <c r="M51" s="54"/>
      <c r="N51" s="54"/>
      <c r="O51" s="54"/>
      <c r="P51" s="145"/>
      <c r="Q51" s="145"/>
    </row>
    <row r="52" spans="2:17" x14ac:dyDescent="0.2">
      <c r="C52" s="44">
        <v>0.12</v>
      </c>
      <c r="D52" s="51"/>
      <c r="E52" s="51"/>
      <c r="F52" s="51"/>
      <c r="G52" s="51"/>
      <c r="H52" s="145"/>
      <c r="I52" s="145"/>
      <c r="K52" s="44">
        <v>0.12</v>
      </c>
      <c r="L52" s="51"/>
      <c r="M52" s="51"/>
      <c r="N52" s="51"/>
      <c r="O52" s="51"/>
      <c r="P52" s="145"/>
      <c r="Q52" s="145"/>
    </row>
    <row r="57" spans="2:17" x14ac:dyDescent="0.2">
      <c r="K57" s="17"/>
    </row>
  </sheetData>
  <mergeCells count="22">
    <mergeCell ref="M46:O46"/>
    <mergeCell ref="E46:G46"/>
    <mergeCell ref="H47:I47"/>
    <mergeCell ref="P51:Q51"/>
    <mergeCell ref="P50:Q50"/>
    <mergeCell ref="P49:Q49"/>
    <mergeCell ref="P48:Q48"/>
    <mergeCell ref="P47:Q47"/>
    <mergeCell ref="H48:I48"/>
    <mergeCell ref="P52:Q52"/>
    <mergeCell ref="H52:I52"/>
    <mergeCell ref="H51:I51"/>
    <mergeCell ref="H50:I50"/>
    <mergeCell ref="H49:I49"/>
    <mergeCell ref="K45:Q45"/>
    <mergeCell ref="C45:I45"/>
    <mergeCell ref="E8:G8"/>
    <mergeCell ref="K8:O8"/>
    <mergeCell ref="B32:E32"/>
    <mergeCell ref="G32:K32"/>
    <mergeCell ref="M39:Q39"/>
    <mergeCell ref="M32:Q3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24DE-0223-2748-B1DE-96587EBBC8D5}">
  <dimension ref="B3:D10"/>
  <sheetViews>
    <sheetView showGridLines="0" workbookViewId="0">
      <selection activeCell="D17" sqref="D17"/>
    </sheetView>
  </sheetViews>
  <sheetFormatPr baseColWidth="10" defaultRowHeight="16" x14ac:dyDescent="0.2"/>
  <cols>
    <col min="2" max="2" width="17" bestFit="1" customWidth="1"/>
    <col min="3" max="3" width="12.6640625" bestFit="1" customWidth="1"/>
  </cols>
  <sheetData>
    <row r="3" spans="2:4" x14ac:dyDescent="0.2">
      <c r="B3" t="s">
        <v>0</v>
      </c>
      <c r="C3" s="21" t="s">
        <v>7</v>
      </c>
    </row>
    <row r="4" spans="2:4" x14ac:dyDescent="0.2">
      <c r="B4" t="s">
        <v>1</v>
      </c>
      <c r="C4" s="87">
        <v>229.05</v>
      </c>
    </row>
    <row r="5" spans="2:4" x14ac:dyDescent="0.2">
      <c r="B5" t="s">
        <v>2</v>
      </c>
      <c r="C5" s="88">
        <v>10515</v>
      </c>
      <c r="D5" s="4" t="s">
        <v>8</v>
      </c>
    </row>
    <row r="6" spans="2:4" x14ac:dyDescent="0.2">
      <c r="B6" t="s">
        <v>3</v>
      </c>
      <c r="C6" s="87">
        <f>C5*C4</f>
        <v>2408460.75</v>
      </c>
      <c r="D6" s="4" t="s">
        <v>8</v>
      </c>
    </row>
    <row r="7" spans="2:4" x14ac:dyDescent="0.2">
      <c r="B7" t="s">
        <v>4</v>
      </c>
      <c r="C7" s="87">
        <f>73387+13393</f>
        <v>86780</v>
      </c>
      <c r="D7" s="4" t="s">
        <v>8</v>
      </c>
    </row>
    <row r="8" spans="2:4" x14ac:dyDescent="0.2">
      <c r="B8" t="s">
        <v>5</v>
      </c>
      <c r="C8" s="87">
        <v>58314</v>
      </c>
      <c r="D8" s="4" t="s">
        <v>8</v>
      </c>
    </row>
    <row r="9" spans="2:4" x14ac:dyDescent="0.2">
      <c r="B9" t="s">
        <v>6</v>
      </c>
      <c r="C9" s="87">
        <f>C6+C8-C7</f>
        <v>2379994.75</v>
      </c>
      <c r="D9" s="4" t="s">
        <v>8</v>
      </c>
    </row>
    <row r="10" spans="2:4" x14ac:dyDescent="0.2">
      <c r="B10" t="s">
        <v>231</v>
      </c>
      <c r="C10" s="1">
        <f>C9/C5</f>
        <v>226.34281978126486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406F-DE14-294B-943F-19B3FC5D55FF}">
  <dimension ref="B5:AG97"/>
  <sheetViews>
    <sheetView showGridLines="0" topLeftCell="A2" zoomScale="89" workbookViewId="0">
      <pane xSplit="2" ySplit="5" topLeftCell="C7" activePane="bottomRight" state="frozen"/>
      <selection activeCell="A2" sqref="A2"/>
      <selection pane="topRight" activeCell="C2" sqref="C2"/>
      <selection pane="bottomLeft" activeCell="A7" sqref="A7"/>
      <selection pane="bottomRight" activeCell="AB22" sqref="AB22"/>
    </sheetView>
  </sheetViews>
  <sheetFormatPr baseColWidth="10" defaultRowHeight="16" x14ac:dyDescent="0.2"/>
  <cols>
    <col min="2" max="2" width="37" customWidth="1"/>
    <col min="24" max="24" width="20" bestFit="1" customWidth="1"/>
    <col min="25" max="25" width="17" bestFit="1" customWidth="1"/>
    <col min="26" max="27" width="11.33203125" bestFit="1" customWidth="1"/>
    <col min="28" max="28" width="10.33203125" bestFit="1" customWidth="1"/>
    <col min="33" max="33" width="11.33203125" bestFit="1" customWidth="1"/>
  </cols>
  <sheetData>
    <row r="5" spans="2:29" x14ac:dyDescent="0.2">
      <c r="B5" s="7"/>
      <c r="C5" s="6" t="s">
        <v>9</v>
      </c>
      <c r="D5" s="6" t="s">
        <v>10</v>
      </c>
      <c r="E5" s="6" t="s">
        <v>11</v>
      </c>
      <c r="F5" s="6" t="s">
        <v>12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9</v>
      </c>
      <c r="P5" s="6" t="s">
        <v>10</v>
      </c>
      <c r="Q5" s="6" t="s">
        <v>11</v>
      </c>
      <c r="R5" s="6" t="s">
        <v>12</v>
      </c>
      <c r="S5" s="6" t="s">
        <v>9</v>
      </c>
      <c r="T5" s="6" t="s">
        <v>10</v>
      </c>
      <c r="U5" s="6" t="s">
        <v>11</v>
      </c>
      <c r="V5" s="6" t="s">
        <v>12</v>
      </c>
    </row>
    <row r="6" spans="2:29" x14ac:dyDescent="0.2">
      <c r="B6" s="55" t="s">
        <v>114</v>
      </c>
      <c r="C6" s="56" t="s">
        <v>13</v>
      </c>
      <c r="D6" s="56" t="s">
        <v>14</v>
      </c>
      <c r="E6" s="56" t="s">
        <v>15</v>
      </c>
      <c r="F6" s="56" t="s">
        <v>16</v>
      </c>
      <c r="G6" s="56" t="s">
        <v>17</v>
      </c>
      <c r="H6" s="56" t="s">
        <v>18</v>
      </c>
      <c r="I6" s="56" t="s">
        <v>19</v>
      </c>
      <c r="J6" s="56" t="s">
        <v>20</v>
      </c>
      <c r="K6" s="56" t="s">
        <v>21</v>
      </c>
      <c r="L6" s="56" t="s">
        <v>22</v>
      </c>
      <c r="M6" s="56" t="s">
        <v>23</v>
      </c>
      <c r="N6" s="56" t="s">
        <v>24</v>
      </c>
      <c r="O6" s="56" t="s">
        <v>25</v>
      </c>
      <c r="P6" s="56" t="s">
        <v>26</v>
      </c>
      <c r="Q6" s="56" t="s">
        <v>27</v>
      </c>
      <c r="R6" s="56" t="s">
        <v>28</v>
      </c>
      <c r="S6" s="56" t="s">
        <v>29</v>
      </c>
      <c r="T6" s="56" t="s">
        <v>30</v>
      </c>
      <c r="U6" s="56" t="s">
        <v>31</v>
      </c>
      <c r="V6" s="56" t="s">
        <v>32</v>
      </c>
      <c r="W6" s="26"/>
      <c r="X6" s="38">
        <v>2020</v>
      </c>
      <c r="Y6" s="38">
        <v>2021</v>
      </c>
      <c r="Z6" s="38">
        <v>2022</v>
      </c>
      <c r="AA6" s="38">
        <v>2023</v>
      </c>
      <c r="AB6" s="38" t="s">
        <v>122</v>
      </c>
      <c r="AC6" s="38" t="s">
        <v>123</v>
      </c>
    </row>
    <row r="7" spans="2:29" x14ac:dyDescent="0.2">
      <c r="B7" s="19" t="s">
        <v>39</v>
      </c>
      <c r="C7" s="22">
        <v>41841</v>
      </c>
      <c r="D7" s="22">
        <v>50244</v>
      </c>
      <c r="E7" s="22">
        <v>52774</v>
      </c>
      <c r="F7" s="22">
        <f>215915-SUM(C7:E7)</f>
        <v>71056</v>
      </c>
      <c r="G7" s="22">
        <v>57491</v>
      </c>
      <c r="H7" s="22">
        <v>58004</v>
      </c>
      <c r="I7" s="22">
        <v>54876</v>
      </c>
      <c r="J7" s="22">
        <f>241787-SUM(G7:I7)</f>
        <v>71416</v>
      </c>
      <c r="K7" s="22">
        <v>56455</v>
      </c>
      <c r="L7" s="22">
        <v>56575</v>
      </c>
      <c r="M7" s="22">
        <v>59340</v>
      </c>
      <c r="N7" s="22">
        <f>242901-SUM(K7:M7)</f>
        <v>70531</v>
      </c>
      <c r="O7" s="22">
        <v>56981</v>
      </c>
      <c r="P7" s="22">
        <v>59032</v>
      </c>
      <c r="Q7" s="22">
        <v>63171</v>
      </c>
      <c r="R7" s="22">
        <f>255887-SUM(O7:Q7)</f>
        <v>76703</v>
      </c>
      <c r="S7" s="22">
        <v>60915</v>
      </c>
      <c r="T7" s="22">
        <v>61569</v>
      </c>
      <c r="U7" s="22">
        <v>67601</v>
      </c>
      <c r="V7" s="9"/>
      <c r="X7" s="22">
        <f>SUM(C7:F7)</f>
        <v>215915</v>
      </c>
      <c r="Y7" s="22">
        <f>SUM(G7:J7)</f>
        <v>241787</v>
      </c>
      <c r="Z7" s="22">
        <f>SUM(K7:N7)</f>
        <v>242901</v>
      </c>
      <c r="AA7" s="22">
        <f>SUM(O7:R7)</f>
        <v>255887</v>
      </c>
      <c r="AB7" s="89">
        <f>(AA7/X7)^(1/3)-1</f>
        <v>5.8250468384214438E-2</v>
      </c>
    </row>
    <row r="8" spans="2:29" x14ac:dyDescent="0.2">
      <c r="B8" s="10" t="s">
        <v>40</v>
      </c>
      <c r="C8" s="11">
        <v>33611</v>
      </c>
      <c r="D8" s="11">
        <v>38668</v>
      </c>
      <c r="E8" s="11">
        <v>43371</v>
      </c>
      <c r="F8" s="11">
        <f>170149-SUM(C8:E8)</f>
        <v>54499</v>
      </c>
      <c r="G8" s="11">
        <v>51027</v>
      </c>
      <c r="H8" s="11">
        <v>55076</v>
      </c>
      <c r="I8" s="11">
        <v>55936</v>
      </c>
      <c r="J8" s="11">
        <f>228035-SUM(G8:I8)</f>
        <v>65996</v>
      </c>
      <c r="K8" s="11">
        <v>59989</v>
      </c>
      <c r="L8" s="11">
        <v>64659</v>
      </c>
      <c r="M8" s="11">
        <v>67761</v>
      </c>
      <c r="N8" s="11">
        <f>271082-SUM(K8:M8)</f>
        <v>78673</v>
      </c>
      <c r="O8" s="11">
        <v>70377</v>
      </c>
      <c r="P8" s="11">
        <v>75351</v>
      </c>
      <c r="Q8" s="11">
        <v>79912</v>
      </c>
      <c r="R8" s="11">
        <f>318898-SUM(O8:Q8)</f>
        <v>93258</v>
      </c>
      <c r="S8" s="11">
        <v>82398</v>
      </c>
      <c r="T8" s="11">
        <v>86408</v>
      </c>
      <c r="U8" s="11">
        <v>91276</v>
      </c>
      <c r="V8" s="11"/>
      <c r="X8" s="22">
        <f t="shared" ref="X8" si="0">SUM(C8:F8)</f>
        <v>170149</v>
      </c>
      <c r="Y8" s="22">
        <f>SUM(G8:J8)</f>
        <v>228035</v>
      </c>
      <c r="Z8" s="22">
        <f>SUM(K8:N8)</f>
        <v>271082</v>
      </c>
      <c r="AA8" s="22">
        <f>SUM(O8:R8)</f>
        <v>318898</v>
      </c>
    </row>
    <row r="9" spans="2:29" x14ac:dyDescent="0.2">
      <c r="B9" s="20" t="s">
        <v>41</v>
      </c>
      <c r="C9" s="9">
        <f t="shared" ref="C9:U9" si="1">SUM(C7:C8)</f>
        <v>75452</v>
      </c>
      <c r="D9" s="9">
        <f t="shared" si="1"/>
        <v>88912</v>
      </c>
      <c r="E9" s="9">
        <f t="shared" si="1"/>
        <v>96145</v>
      </c>
      <c r="F9" s="9">
        <f t="shared" si="1"/>
        <v>125555</v>
      </c>
      <c r="G9" s="9">
        <f t="shared" si="1"/>
        <v>108518</v>
      </c>
      <c r="H9" s="9">
        <f t="shared" si="1"/>
        <v>113080</v>
      </c>
      <c r="I9" s="9">
        <f t="shared" si="1"/>
        <v>110812</v>
      </c>
      <c r="J9" s="9">
        <f t="shared" si="1"/>
        <v>137412</v>
      </c>
      <c r="K9" s="9">
        <f t="shared" si="1"/>
        <v>116444</v>
      </c>
      <c r="L9" s="9">
        <f t="shared" si="1"/>
        <v>121234</v>
      </c>
      <c r="M9" s="9">
        <f t="shared" si="1"/>
        <v>127101</v>
      </c>
      <c r="N9" s="9">
        <f t="shared" si="1"/>
        <v>149204</v>
      </c>
      <c r="O9" s="9">
        <f t="shared" si="1"/>
        <v>127358</v>
      </c>
      <c r="P9" s="9">
        <f t="shared" si="1"/>
        <v>134383</v>
      </c>
      <c r="Q9" s="9">
        <f t="shared" si="1"/>
        <v>143083</v>
      </c>
      <c r="R9" s="9">
        <f t="shared" si="1"/>
        <v>169961</v>
      </c>
      <c r="S9" s="9">
        <f t="shared" si="1"/>
        <v>143313</v>
      </c>
      <c r="T9" s="9">
        <f t="shared" si="1"/>
        <v>147977</v>
      </c>
      <c r="U9" s="9">
        <f t="shared" si="1"/>
        <v>158877</v>
      </c>
      <c r="V9" s="11"/>
      <c r="X9" s="9">
        <f>SUM(C9:F9)</f>
        <v>386064</v>
      </c>
      <c r="Y9" s="9">
        <f>SUM(G9:J9)</f>
        <v>469822</v>
      </c>
      <c r="Z9" s="9">
        <f>SUM(K9:N9)</f>
        <v>513983</v>
      </c>
      <c r="AA9" s="9">
        <f>SUM(O9:R9)</f>
        <v>574785</v>
      </c>
    </row>
    <row r="10" spans="2:29" x14ac:dyDescent="0.2"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2:29" x14ac:dyDescent="0.2">
      <c r="B11" s="10" t="s">
        <v>33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2:29" x14ac:dyDescent="0.2">
      <c r="B12" s="10" t="s">
        <v>42</v>
      </c>
      <c r="C12" s="11">
        <v>44257</v>
      </c>
      <c r="D12" s="11">
        <v>52660</v>
      </c>
      <c r="E12" s="11">
        <v>57106</v>
      </c>
      <c r="F12" s="11">
        <f>233307-SUM(C12:E12)</f>
        <v>79284</v>
      </c>
      <c r="G12" s="11">
        <v>62403</v>
      </c>
      <c r="H12" s="11">
        <v>64176</v>
      </c>
      <c r="I12" s="11">
        <v>62930</v>
      </c>
      <c r="J12" s="11">
        <f>272344-SUM(G12:I12)</f>
        <v>82835</v>
      </c>
      <c r="K12" s="11">
        <v>66499</v>
      </c>
      <c r="L12" s="11">
        <v>66424</v>
      </c>
      <c r="M12" s="11">
        <v>70268</v>
      </c>
      <c r="N12" s="11">
        <f>288831-SUM(K12:M12)</f>
        <v>85640</v>
      </c>
      <c r="O12" s="11">
        <v>67791</v>
      </c>
      <c r="P12" s="11">
        <v>69373</v>
      </c>
      <c r="Q12" s="11">
        <v>75022</v>
      </c>
      <c r="R12" s="11">
        <f>304739-SUM(O12:Q12)</f>
        <v>92553</v>
      </c>
      <c r="S12" s="11">
        <v>72633</v>
      </c>
      <c r="T12" s="11">
        <v>73785</v>
      </c>
      <c r="U12" s="11">
        <v>80977</v>
      </c>
      <c r="V12" s="11"/>
      <c r="X12" s="11">
        <f>SUM(C12:F12)</f>
        <v>233307</v>
      </c>
      <c r="Y12" s="11">
        <f>SUM(G12:J12)</f>
        <v>272344</v>
      </c>
      <c r="Z12" s="11">
        <f>SUM(K12:N12)</f>
        <v>288831</v>
      </c>
      <c r="AA12" s="11">
        <f>SUM(O12:R12)</f>
        <v>304739</v>
      </c>
    </row>
    <row r="13" spans="2:29" x14ac:dyDescent="0.2">
      <c r="B13" s="10" t="s">
        <v>43</v>
      </c>
      <c r="C13" s="11">
        <v>11531</v>
      </c>
      <c r="D13" s="11">
        <v>13806</v>
      </c>
      <c r="E13" s="11">
        <v>14705</v>
      </c>
      <c r="F13" s="11">
        <f>58517-SUM(C13:E13)</f>
        <v>18475</v>
      </c>
      <c r="G13" s="11">
        <v>16530</v>
      </c>
      <c r="H13" s="11">
        <v>17638</v>
      </c>
      <c r="I13" s="11">
        <v>18498</v>
      </c>
      <c r="J13" s="11">
        <f>75111-SUM(G13:I13)</f>
        <v>22445</v>
      </c>
      <c r="K13" s="11">
        <v>20271</v>
      </c>
      <c r="L13" s="11">
        <v>20342</v>
      </c>
      <c r="M13" s="11">
        <v>20583</v>
      </c>
      <c r="N13" s="11">
        <f>84299-SUM(K13:M13)</f>
        <v>23103</v>
      </c>
      <c r="O13" s="11">
        <v>20905</v>
      </c>
      <c r="P13" s="11">
        <v>21305</v>
      </c>
      <c r="Q13" s="11">
        <v>22314</v>
      </c>
      <c r="R13" s="11">
        <f>90619-SUM(O13:Q13)</f>
        <v>26095</v>
      </c>
      <c r="S13" s="11">
        <v>22317</v>
      </c>
      <c r="T13" s="11">
        <v>23566</v>
      </c>
      <c r="U13" s="11">
        <v>24660</v>
      </c>
      <c r="V13" s="11"/>
      <c r="X13" s="11">
        <f>SUM(C13:F13)</f>
        <v>58517</v>
      </c>
      <c r="Y13" s="11">
        <f t="shared" ref="Y13:Y17" si="2">SUM(G13:J13)</f>
        <v>75111</v>
      </c>
      <c r="Z13" s="11">
        <f>SUM(K13:N13)</f>
        <v>84299</v>
      </c>
      <c r="AA13" s="11">
        <f t="shared" ref="AA13:AA17" si="3">SUM(O13:R13)</f>
        <v>90619</v>
      </c>
    </row>
    <row r="14" spans="2:29" x14ac:dyDescent="0.2">
      <c r="B14" s="10" t="s">
        <v>44</v>
      </c>
      <c r="C14" s="22">
        <v>9325</v>
      </c>
      <c r="D14" s="22">
        <v>10388</v>
      </c>
      <c r="E14" s="22">
        <v>10976</v>
      </c>
      <c r="F14" s="9">
        <f>42740-SUM(C14:E14)</f>
        <v>12051</v>
      </c>
      <c r="G14" s="22">
        <v>12488</v>
      </c>
      <c r="H14" s="22">
        <v>13871</v>
      </c>
      <c r="I14" s="22">
        <v>14380</v>
      </c>
      <c r="J14" s="9">
        <f>56052-SUM(G14:I14)</f>
        <v>15313</v>
      </c>
      <c r="K14" s="22">
        <v>14842</v>
      </c>
      <c r="L14" s="22">
        <v>18072</v>
      </c>
      <c r="M14" s="22">
        <v>19485</v>
      </c>
      <c r="N14" s="9">
        <f>73213-SUM(K14:M14)</f>
        <v>20814</v>
      </c>
      <c r="O14" s="22">
        <v>20450</v>
      </c>
      <c r="P14" s="22">
        <v>21931</v>
      </c>
      <c r="Q14" s="22">
        <v>21203</v>
      </c>
      <c r="R14" s="9">
        <f>85622-SUM(O14:Q14)</f>
        <v>22038</v>
      </c>
      <c r="S14" s="22">
        <v>20424</v>
      </c>
      <c r="T14" s="22">
        <v>22304</v>
      </c>
      <c r="U14" s="22">
        <v>22245</v>
      </c>
      <c r="V14" s="9"/>
      <c r="X14" s="11">
        <f t="shared" ref="X14:X17" si="4">SUM(C14:F14)</f>
        <v>42740</v>
      </c>
      <c r="Y14" s="11">
        <f t="shared" si="2"/>
        <v>56052</v>
      </c>
      <c r="Z14" s="11">
        <f t="shared" ref="Z14:Z17" si="5">SUM(K14:N14)</f>
        <v>73213</v>
      </c>
      <c r="AA14" s="11">
        <f t="shared" si="3"/>
        <v>85622</v>
      </c>
    </row>
    <row r="15" spans="2:29" x14ac:dyDescent="0.2">
      <c r="B15" s="10" t="s">
        <v>45</v>
      </c>
      <c r="C15" s="11">
        <v>4828</v>
      </c>
      <c r="D15" s="11">
        <v>4345</v>
      </c>
      <c r="E15" s="11">
        <v>5434</v>
      </c>
      <c r="F15" s="11">
        <f>22008-SUM(C15:E15)</f>
        <v>7401</v>
      </c>
      <c r="G15" s="11">
        <v>6207</v>
      </c>
      <c r="H15" s="11">
        <v>7524</v>
      </c>
      <c r="I15" s="11">
        <v>8010</v>
      </c>
      <c r="J15" s="11">
        <f>32551-SUM(G15:I15)</f>
        <v>10810</v>
      </c>
      <c r="K15" s="11">
        <v>8320</v>
      </c>
      <c r="L15" s="11">
        <v>10086</v>
      </c>
      <c r="M15" s="11">
        <v>11014</v>
      </c>
      <c r="N15" s="11">
        <f>42238-SUM(K15:M15)</f>
        <v>12818</v>
      </c>
      <c r="O15" s="11">
        <v>10172</v>
      </c>
      <c r="P15" s="11">
        <v>10745</v>
      </c>
      <c r="Q15" s="11">
        <v>10551</v>
      </c>
      <c r="R15" s="11">
        <f>44370-SUM(O15:Q15)</f>
        <v>12902</v>
      </c>
      <c r="S15" s="11">
        <v>9662</v>
      </c>
      <c r="T15" s="11">
        <v>10512</v>
      </c>
      <c r="U15" s="11">
        <v>10609</v>
      </c>
      <c r="V15" s="11"/>
      <c r="X15" s="11">
        <f t="shared" si="4"/>
        <v>22008</v>
      </c>
      <c r="Y15" s="11">
        <f t="shared" si="2"/>
        <v>32551</v>
      </c>
      <c r="Z15" s="11">
        <f t="shared" si="5"/>
        <v>42238</v>
      </c>
      <c r="AA15" s="11">
        <f t="shared" si="3"/>
        <v>44370</v>
      </c>
    </row>
    <row r="16" spans="2:29" x14ac:dyDescent="0.2">
      <c r="B16" s="21" t="s">
        <v>46</v>
      </c>
      <c r="C16" s="11">
        <v>1452</v>
      </c>
      <c r="D16" s="11">
        <v>1580</v>
      </c>
      <c r="E16" s="11">
        <v>1668</v>
      </c>
      <c r="F16" s="11">
        <f>6668-SUM(C16:E16)</f>
        <v>1968</v>
      </c>
      <c r="G16" s="11">
        <v>1987</v>
      </c>
      <c r="H16" s="11">
        <v>2158</v>
      </c>
      <c r="I16" s="11">
        <v>2153</v>
      </c>
      <c r="J16" s="11">
        <f>8823-SUM(G16:I16)</f>
        <v>2525</v>
      </c>
      <c r="K16" s="11">
        <v>2594</v>
      </c>
      <c r="L16" s="11">
        <v>2903</v>
      </c>
      <c r="M16" s="11">
        <v>3061</v>
      </c>
      <c r="N16" s="11">
        <f>11891-SUM(K16:M16)</f>
        <v>3333</v>
      </c>
      <c r="O16" s="11">
        <v>3043</v>
      </c>
      <c r="P16" s="11">
        <v>3202</v>
      </c>
      <c r="Q16" s="11">
        <v>2561</v>
      </c>
      <c r="R16" s="11">
        <f>11816-SUM(O16:Q16)</f>
        <v>3010</v>
      </c>
      <c r="S16" s="11">
        <v>2742</v>
      </c>
      <c r="T16" s="11">
        <v>3041</v>
      </c>
      <c r="U16" s="11">
        <v>2713</v>
      </c>
      <c r="V16" s="11"/>
      <c r="X16" s="11">
        <f t="shared" si="4"/>
        <v>6668</v>
      </c>
      <c r="Y16" s="11">
        <f t="shared" si="2"/>
        <v>8823</v>
      </c>
      <c r="Z16" s="11">
        <f t="shared" si="5"/>
        <v>11891</v>
      </c>
      <c r="AA16" s="11">
        <f t="shared" si="3"/>
        <v>11816</v>
      </c>
    </row>
    <row r="17" spans="2:33" x14ac:dyDescent="0.2">
      <c r="B17" s="10" t="s">
        <v>47</v>
      </c>
      <c r="C17" s="11">
        <v>70</v>
      </c>
      <c r="D17" s="11">
        <v>290</v>
      </c>
      <c r="E17" s="11">
        <v>62</v>
      </c>
      <c r="F17" s="11">
        <f>-75-SUM(C17:E17)</f>
        <v>-497</v>
      </c>
      <c r="G17" s="11">
        <v>38</v>
      </c>
      <c r="H17" s="11">
        <v>11</v>
      </c>
      <c r="I17" s="11">
        <v>-11</v>
      </c>
      <c r="J17" s="11">
        <f>62-SUM(G17:I17)</f>
        <v>24</v>
      </c>
      <c r="K17" s="11">
        <v>249</v>
      </c>
      <c r="L17" s="11">
        <v>90</v>
      </c>
      <c r="M17" s="11">
        <v>165</v>
      </c>
      <c r="N17" s="11">
        <f>1263-SUM(K17:M17)</f>
        <v>759</v>
      </c>
      <c r="O17" s="11">
        <v>223</v>
      </c>
      <c r="P17" s="11">
        <v>146</v>
      </c>
      <c r="Q17" s="11">
        <v>244</v>
      </c>
      <c r="R17" s="11">
        <f>767-SUM(O17:Q17)</f>
        <v>154</v>
      </c>
      <c r="S17" s="11">
        <v>228</v>
      </c>
      <c r="T17" s="11">
        <v>97</v>
      </c>
      <c r="U17" s="11">
        <v>262</v>
      </c>
      <c r="V17" s="11"/>
      <c r="X17" s="11">
        <f t="shared" si="4"/>
        <v>-75</v>
      </c>
      <c r="Y17" s="11">
        <f t="shared" si="2"/>
        <v>62</v>
      </c>
      <c r="Z17" s="11">
        <f t="shared" si="5"/>
        <v>1263</v>
      </c>
      <c r="AA17" s="11">
        <f t="shared" si="3"/>
        <v>767</v>
      </c>
    </row>
    <row r="18" spans="2:33" x14ac:dyDescent="0.2">
      <c r="B18" s="20" t="s">
        <v>34</v>
      </c>
      <c r="C18" s="9">
        <f t="shared" ref="C18:U18" si="6">SUM(C12:C17)</f>
        <v>71463</v>
      </c>
      <c r="D18" s="9">
        <f t="shared" si="6"/>
        <v>83069</v>
      </c>
      <c r="E18" s="9">
        <f t="shared" si="6"/>
        <v>89951</v>
      </c>
      <c r="F18" s="9">
        <f t="shared" si="6"/>
        <v>118682</v>
      </c>
      <c r="G18" s="9">
        <f t="shared" si="6"/>
        <v>99653</v>
      </c>
      <c r="H18" s="9">
        <f t="shared" si="6"/>
        <v>105378</v>
      </c>
      <c r="I18" s="9">
        <f t="shared" si="6"/>
        <v>105960</v>
      </c>
      <c r="J18" s="9">
        <f t="shared" si="6"/>
        <v>133952</v>
      </c>
      <c r="K18" s="9">
        <f t="shared" si="6"/>
        <v>112775</v>
      </c>
      <c r="L18" s="9">
        <f t="shared" si="6"/>
        <v>117917</v>
      </c>
      <c r="M18" s="9">
        <f t="shared" si="6"/>
        <v>124576</v>
      </c>
      <c r="N18" s="9">
        <f t="shared" si="6"/>
        <v>146467</v>
      </c>
      <c r="O18" s="9">
        <f t="shared" si="6"/>
        <v>122584</v>
      </c>
      <c r="P18" s="9">
        <f t="shared" si="6"/>
        <v>126702</v>
      </c>
      <c r="Q18" s="9">
        <f t="shared" si="6"/>
        <v>131895</v>
      </c>
      <c r="R18" s="9">
        <f t="shared" si="6"/>
        <v>156752</v>
      </c>
      <c r="S18" s="9">
        <f t="shared" si="6"/>
        <v>128006</v>
      </c>
      <c r="T18" s="9">
        <f t="shared" si="6"/>
        <v>133305</v>
      </c>
      <c r="U18" s="9">
        <f t="shared" si="6"/>
        <v>141466</v>
      </c>
      <c r="V18" s="9"/>
      <c r="X18" s="9">
        <f>SUM(X12:X17)</f>
        <v>363165</v>
      </c>
      <c r="Y18" s="9">
        <f>SUM(Y12:Y17)</f>
        <v>444943</v>
      </c>
      <c r="Z18" s="9">
        <f>SUM(Z12:Z17)</f>
        <v>501735</v>
      </c>
      <c r="AA18" s="9">
        <f>SUM(AA12:AA17)</f>
        <v>537933</v>
      </c>
    </row>
    <row r="19" spans="2:33" x14ac:dyDescent="0.2">
      <c r="B19" s="8" t="s">
        <v>222</v>
      </c>
      <c r="C19" s="9">
        <f t="shared" ref="C19:U19" si="7">C9-C18</f>
        <v>3989</v>
      </c>
      <c r="D19" s="9">
        <f t="shared" si="7"/>
        <v>5843</v>
      </c>
      <c r="E19" s="9">
        <f t="shared" si="7"/>
        <v>6194</v>
      </c>
      <c r="F19" s="9">
        <f t="shared" si="7"/>
        <v>6873</v>
      </c>
      <c r="G19" s="9">
        <f t="shared" si="7"/>
        <v>8865</v>
      </c>
      <c r="H19" s="9">
        <f t="shared" si="7"/>
        <v>7702</v>
      </c>
      <c r="I19" s="9">
        <f t="shared" si="7"/>
        <v>4852</v>
      </c>
      <c r="J19" s="9">
        <f t="shared" si="7"/>
        <v>3460</v>
      </c>
      <c r="K19" s="9">
        <f t="shared" si="7"/>
        <v>3669</v>
      </c>
      <c r="L19" s="9">
        <f t="shared" si="7"/>
        <v>3317</v>
      </c>
      <c r="M19" s="9">
        <f t="shared" si="7"/>
        <v>2525</v>
      </c>
      <c r="N19" s="9">
        <f t="shared" si="7"/>
        <v>2737</v>
      </c>
      <c r="O19" s="9">
        <f t="shared" si="7"/>
        <v>4774</v>
      </c>
      <c r="P19" s="9">
        <f t="shared" si="7"/>
        <v>7681</v>
      </c>
      <c r="Q19" s="9">
        <f t="shared" si="7"/>
        <v>11188</v>
      </c>
      <c r="R19" s="9">
        <f t="shared" si="7"/>
        <v>13209</v>
      </c>
      <c r="S19" s="9">
        <f t="shared" si="7"/>
        <v>15307</v>
      </c>
      <c r="T19" s="9">
        <f t="shared" si="7"/>
        <v>14672</v>
      </c>
      <c r="U19" s="9">
        <f t="shared" si="7"/>
        <v>17411</v>
      </c>
      <c r="V19" s="11"/>
      <c r="X19" s="9">
        <f>X9-X18</f>
        <v>22899</v>
      </c>
      <c r="Y19" s="9">
        <f>Y9-Y18</f>
        <v>24879</v>
      </c>
      <c r="Z19" s="9">
        <f>Z9-Z18</f>
        <v>12248</v>
      </c>
      <c r="AA19" s="9">
        <f>AA9-AA18</f>
        <v>36852</v>
      </c>
    </row>
    <row r="20" spans="2:33" x14ac:dyDescent="0.2">
      <c r="B20" s="19" t="s">
        <v>221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X20" s="11">
        <v>25180</v>
      </c>
      <c r="Y20" s="11">
        <v>34433</v>
      </c>
      <c r="Z20" s="11">
        <v>41921</v>
      </c>
      <c r="AA20" s="11">
        <v>48663</v>
      </c>
    </row>
    <row r="21" spans="2:33" x14ac:dyDescent="0.2">
      <c r="B21" s="8" t="s">
        <v>68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X21" s="9">
        <f>X9-(X18-X20)</f>
        <v>48079</v>
      </c>
      <c r="Y21" s="9">
        <f t="shared" ref="Y21:AA21" si="8">Y9-(Y18-Y20)</f>
        <v>59312</v>
      </c>
      <c r="Z21" s="9">
        <f t="shared" si="8"/>
        <v>54169</v>
      </c>
      <c r="AA21" s="9">
        <f t="shared" si="8"/>
        <v>85515</v>
      </c>
    </row>
    <row r="22" spans="2:33" x14ac:dyDescent="0.2">
      <c r="B22" s="10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X22" s="16"/>
      <c r="Y22" s="16"/>
      <c r="Z22" s="16"/>
      <c r="AA22" s="16"/>
      <c r="AC22" s="17"/>
    </row>
    <row r="23" spans="2:33" x14ac:dyDescent="0.2">
      <c r="B23" s="10" t="s">
        <v>48</v>
      </c>
      <c r="C23" s="11">
        <v>202</v>
      </c>
      <c r="D23" s="11">
        <v>135</v>
      </c>
      <c r="E23" s="11">
        <v>118</v>
      </c>
      <c r="F23" s="11">
        <f>555-SUM(C23:E23)</f>
        <v>100</v>
      </c>
      <c r="G23" s="11">
        <v>105</v>
      </c>
      <c r="H23" s="11">
        <v>106</v>
      </c>
      <c r="I23" s="11">
        <v>119</v>
      </c>
      <c r="J23" s="11">
        <f>448-SUM(G23:I23)</f>
        <v>118</v>
      </c>
      <c r="K23" s="11">
        <v>108</v>
      </c>
      <c r="L23" s="11">
        <v>159</v>
      </c>
      <c r="M23" s="11">
        <v>277</v>
      </c>
      <c r="N23" s="11">
        <f>989-SUM(K23:M23)</f>
        <v>445</v>
      </c>
      <c r="O23" s="11">
        <v>611</v>
      </c>
      <c r="P23" s="11">
        <v>661</v>
      </c>
      <c r="Q23" s="11">
        <v>776</v>
      </c>
      <c r="R23" s="11">
        <f>2949-SUM(O23:Q23)</f>
        <v>901</v>
      </c>
      <c r="S23" s="11">
        <v>993</v>
      </c>
      <c r="T23" s="11">
        <v>1180</v>
      </c>
      <c r="U23" s="11">
        <v>1256</v>
      </c>
      <c r="V23" s="5"/>
      <c r="X23" s="11">
        <f t="shared" ref="X23:X24" si="9">SUM(C23:F23)</f>
        <v>555</v>
      </c>
      <c r="Y23" s="11">
        <f t="shared" ref="Y23:Y25" si="10">SUM(G23:J23)</f>
        <v>448</v>
      </c>
      <c r="Z23" s="11">
        <f t="shared" ref="Z23:Z25" si="11">SUM(K23:N23)</f>
        <v>989</v>
      </c>
      <c r="AA23" s="11">
        <f t="shared" ref="AA23:AA25" si="12">SUM(O23:R23)</f>
        <v>2949</v>
      </c>
    </row>
    <row r="24" spans="2:33" x14ac:dyDescent="0.2">
      <c r="B24" s="10" t="s">
        <v>49</v>
      </c>
      <c r="C24" s="11">
        <v>-402</v>
      </c>
      <c r="D24" s="11">
        <v>-403</v>
      </c>
      <c r="E24" s="11">
        <v>-428</v>
      </c>
      <c r="F24" s="11">
        <f>-1647-SUM(C24:E24)</f>
        <v>-414</v>
      </c>
      <c r="G24" s="11">
        <v>-399</v>
      </c>
      <c r="H24" s="11">
        <v>-435</v>
      </c>
      <c r="I24" s="11">
        <v>-493</v>
      </c>
      <c r="J24" s="11">
        <f>-1809-SUM(G24:I24)</f>
        <v>-482</v>
      </c>
      <c r="K24" s="11">
        <v>-472</v>
      </c>
      <c r="L24" s="11">
        <v>-584</v>
      </c>
      <c r="M24" s="11">
        <v>-617</v>
      </c>
      <c r="N24" s="11">
        <f>-2367-SUM(K24:M24)</f>
        <v>-694</v>
      </c>
      <c r="O24" s="11">
        <v>-823</v>
      </c>
      <c r="P24" s="11">
        <v>-840</v>
      </c>
      <c r="Q24" s="11">
        <v>-806</v>
      </c>
      <c r="R24" s="11">
        <f>-3182-SUM(O24:Q24)</f>
        <v>-713</v>
      </c>
      <c r="S24" s="11">
        <v>-644</v>
      </c>
      <c r="T24" s="11">
        <v>-589</v>
      </c>
      <c r="U24" s="11">
        <v>-603</v>
      </c>
      <c r="X24" s="11">
        <f t="shared" si="9"/>
        <v>-1647</v>
      </c>
      <c r="Y24" s="11">
        <f t="shared" si="10"/>
        <v>-1809</v>
      </c>
      <c r="Z24" s="11">
        <f>SUM(K24:N24)</f>
        <v>-2367</v>
      </c>
      <c r="AA24" s="11">
        <f t="shared" si="12"/>
        <v>-3182</v>
      </c>
    </row>
    <row r="25" spans="2:33" x14ac:dyDescent="0.2">
      <c r="B25" s="10" t="s">
        <v>50</v>
      </c>
      <c r="C25" s="11">
        <v>-406</v>
      </c>
      <c r="D25" s="11">
        <v>646</v>
      </c>
      <c r="E25" s="11">
        <v>925</v>
      </c>
      <c r="F25" s="11">
        <f>2371-SUM(C25:E25)</f>
        <v>1206</v>
      </c>
      <c r="G25" s="11">
        <v>1697</v>
      </c>
      <c r="H25" s="11">
        <v>1261</v>
      </c>
      <c r="I25" s="11">
        <v>-163</v>
      </c>
      <c r="J25" s="11">
        <f>14633-SUM(G25:I25)</f>
        <v>11838</v>
      </c>
      <c r="K25" s="11">
        <v>-8570</v>
      </c>
      <c r="L25" s="11">
        <v>-5545</v>
      </c>
      <c r="M25" s="11">
        <v>759</v>
      </c>
      <c r="N25" s="11">
        <f>-16806-SUM(K25:M25)</f>
        <v>-3450</v>
      </c>
      <c r="O25" s="11">
        <v>-443</v>
      </c>
      <c r="P25" s="11">
        <v>61</v>
      </c>
      <c r="Q25" s="11">
        <v>1031</v>
      </c>
      <c r="R25" s="11">
        <f>938-SUM(O25:Q25)</f>
        <v>289</v>
      </c>
      <c r="S25" s="11">
        <v>-2673</v>
      </c>
      <c r="T25" s="11">
        <v>-18</v>
      </c>
      <c r="U25" s="11">
        <v>-27</v>
      </c>
      <c r="V25" s="15"/>
      <c r="X25" s="11">
        <f>SUM(C25:F25)</f>
        <v>2371</v>
      </c>
      <c r="Y25" s="11">
        <f t="shared" si="10"/>
        <v>14633</v>
      </c>
      <c r="Z25" s="11">
        <f t="shared" si="11"/>
        <v>-16806</v>
      </c>
      <c r="AA25" s="11">
        <f t="shared" si="12"/>
        <v>938</v>
      </c>
    </row>
    <row r="26" spans="2:33" x14ac:dyDescent="0.2">
      <c r="B26" s="20" t="s">
        <v>51</v>
      </c>
      <c r="C26" s="9">
        <f t="shared" ref="C26:U26" si="13">SUM(C23:C25)</f>
        <v>-606</v>
      </c>
      <c r="D26" s="9">
        <f t="shared" si="13"/>
        <v>378</v>
      </c>
      <c r="E26" s="9">
        <f t="shared" si="13"/>
        <v>615</v>
      </c>
      <c r="F26" s="9">
        <f t="shared" si="13"/>
        <v>892</v>
      </c>
      <c r="G26" s="9">
        <f t="shared" si="13"/>
        <v>1403</v>
      </c>
      <c r="H26" s="9">
        <f t="shared" si="13"/>
        <v>932</v>
      </c>
      <c r="I26" s="9">
        <f t="shared" si="13"/>
        <v>-537</v>
      </c>
      <c r="J26" s="9">
        <f t="shared" si="13"/>
        <v>11474</v>
      </c>
      <c r="K26" s="9">
        <f t="shared" si="13"/>
        <v>-8934</v>
      </c>
      <c r="L26" s="9">
        <f t="shared" si="13"/>
        <v>-5970</v>
      </c>
      <c r="M26" s="9">
        <f t="shared" si="13"/>
        <v>419</v>
      </c>
      <c r="N26" s="9">
        <f t="shared" si="13"/>
        <v>-3699</v>
      </c>
      <c r="O26" s="9">
        <f t="shared" si="13"/>
        <v>-655</v>
      </c>
      <c r="P26" s="9">
        <f t="shared" si="13"/>
        <v>-118</v>
      </c>
      <c r="Q26" s="9">
        <f t="shared" si="13"/>
        <v>1001</v>
      </c>
      <c r="R26" s="9">
        <f t="shared" si="13"/>
        <v>477</v>
      </c>
      <c r="S26" s="9">
        <f t="shared" si="13"/>
        <v>-2324</v>
      </c>
      <c r="T26" s="9">
        <f t="shared" si="13"/>
        <v>573</v>
      </c>
      <c r="U26" s="9">
        <f t="shared" si="13"/>
        <v>626</v>
      </c>
      <c r="X26" s="9">
        <f>SUM(X23:X25)</f>
        <v>1279</v>
      </c>
      <c r="Y26" s="9">
        <f>SUM(Y23:Y25)</f>
        <v>13272</v>
      </c>
      <c r="Z26" s="9">
        <f>SUM(Z23:Z25)</f>
        <v>-18184</v>
      </c>
      <c r="AA26" s="9">
        <f>SUM(AA23:AA25)</f>
        <v>705</v>
      </c>
    </row>
    <row r="27" spans="2:33" x14ac:dyDescent="0.2">
      <c r="B27" s="20" t="s">
        <v>52</v>
      </c>
      <c r="C27" s="9">
        <f t="shared" ref="C27:U27" si="14">C19+C26</f>
        <v>3383</v>
      </c>
      <c r="D27" s="9">
        <f t="shared" si="14"/>
        <v>6221</v>
      </c>
      <c r="E27" s="9">
        <f t="shared" si="14"/>
        <v>6809</v>
      </c>
      <c r="F27" s="9">
        <f t="shared" si="14"/>
        <v>7765</v>
      </c>
      <c r="G27" s="9">
        <f t="shared" si="14"/>
        <v>10268</v>
      </c>
      <c r="H27" s="9">
        <f t="shared" si="14"/>
        <v>8634</v>
      </c>
      <c r="I27" s="9">
        <f t="shared" si="14"/>
        <v>4315</v>
      </c>
      <c r="J27" s="9">
        <f t="shared" si="14"/>
        <v>14934</v>
      </c>
      <c r="K27" s="9">
        <f t="shared" si="14"/>
        <v>-5265</v>
      </c>
      <c r="L27" s="9">
        <f t="shared" si="14"/>
        <v>-2653</v>
      </c>
      <c r="M27" s="9">
        <f t="shared" si="14"/>
        <v>2944</v>
      </c>
      <c r="N27" s="9">
        <f t="shared" si="14"/>
        <v>-962</v>
      </c>
      <c r="O27" s="9">
        <f t="shared" si="14"/>
        <v>4119</v>
      </c>
      <c r="P27" s="9">
        <f t="shared" si="14"/>
        <v>7563</v>
      </c>
      <c r="Q27" s="9">
        <f t="shared" si="14"/>
        <v>12189</v>
      </c>
      <c r="R27" s="9">
        <f t="shared" si="14"/>
        <v>13686</v>
      </c>
      <c r="S27" s="9">
        <f t="shared" si="14"/>
        <v>12983</v>
      </c>
      <c r="T27" s="9">
        <f t="shared" si="14"/>
        <v>15245</v>
      </c>
      <c r="U27" s="9">
        <f t="shared" si="14"/>
        <v>18037</v>
      </c>
      <c r="V27" s="15"/>
      <c r="X27" s="9">
        <f>X19+X26</f>
        <v>24178</v>
      </c>
      <c r="Y27" s="9">
        <f>Y19+Y26</f>
        <v>38151</v>
      </c>
      <c r="Z27" s="9">
        <f>Z19+Z26</f>
        <v>-5936</v>
      </c>
      <c r="AA27" s="9">
        <f>AA19+AA26</f>
        <v>37557</v>
      </c>
    </row>
    <row r="28" spans="2:33" x14ac:dyDescent="0.2">
      <c r="B28" s="10"/>
      <c r="X28" s="17"/>
      <c r="Y28" s="17"/>
      <c r="Z28" s="17"/>
      <c r="AA28" s="17"/>
    </row>
    <row r="29" spans="2:33" x14ac:dyDescent="0.2">
      <c r="B29" s="10" t="s">
        <v>53</v>
      </c>
      <c r="C29" s="11">
        <v>-744</v>
      </c>
      <c r="D29" s="11">
        <v>-984</v>
      </c>
      <c r="E29" s="11">
        <v>-569</v>
      </c>
      <c r="F29" s="11">
        <f>-2863-SUM(C29:E29)</f>
        <v>-566</v>
      </c>
      <c r="G29" s="11">
        <v>-2156</v>
      </c>
      <c r="H29" s="11">
        <v>-868</v>
      </c>
      <c r="I29" s="11">
        <v>-1155</v>
      </c>
      <c r="J29" s="11">
        <f>-4791-SUM(G29:I29)</f>
        <v>-612</v>
      </c>
      <c r="K29" s="11">
        <v>1422</v>
      </c>
      <c r="L29" s="11">
        <v>637</v>
      </c>
      <c r="M29" s="11">
        <v>-69</v>
      </c>
      <c r="N29" s="11">
        <f>3217-SUM(K29:M29)</f>
        <v>1227</v>
      </c>
      <c r="O29" s="11">
        <v>-948</v>
      </c>
      <c r="P29" s="11">
        <v>-804</v>
      </c>
      <c r="Q29" s="11">
        <v>-2306</v>
      </c>
      <c r="R29" s="23">
        <f>-7120-SUM(O29:Q29)</f>
        <v>-3062</v>
      </c>
      <c r="S29" s="11">
        <v>-2467</v>
      </c>
      <c r="T29" s="11">
        <v>-1767</v>
      </c>
      <c r="U29" s="11">
        <v>-2706</v>
      </c>
      <c r="X29" s="11">
        <f t="shared" ref="X29:X30" si="15">SUM(C29:F29)</f>
        <v>-2863</v>
      </c>
      <c r="Y29" s="11">
        <f t="shared" ref="Y29:Y30" si="16">SUM(G29:J29)</f>
        <v>-4791</v>
      </c>
      <c r="Z29" s="11">
        <f t="shared" ref="Z29:Z30" si="17">SUM(K29:N29)</f>
        <v>3217</v>
      </c>
      <c r="AA29" s="11">
        <f t="shared" ref="AA29:AA30" si="18">SUM(O29:R29)</f>
        <v>-7120</v>
      </c>
    </row>
    <row r="30" spans="2:33" x14ac:dyDescent="0.2">
      <c r="B30" s="10" t="s">
        <v>54</v>
      </c>
      <c r="C30" s="11">
        <v>-104</v>
      </c>
      <c r="D30" s="11">
        <v>6</v>
      </c>
      <c r="E30" s="11">
        <v>91</v>
      </c>
      <c r="F30" s="11">
        <f>16-SUM(C30:E30)</f>
        <v>23</v>
      </c>
      <c r="G30" s="11">
        <v>-5</v>
      </c>
      <c r="H30" s="11">
        <v>12</v>
      </c>
      <c r="I30" s="11">
        <v>-4</v>
      </c>
      <c r="J30" s="11">
        <f>4-SUM(G30:I30)</f>
        <v>1</v>
      </c>
      <c r="K30" s="11">
        <v>-1</v>
      </c>
      <c r="L30" s="11">
        <v>-12</v>
      </c>
      <c r="M30" s="11">
        <v>-3</v>
      </c>
      <c r="N30" s="11">
        <f>-3-SUM(K30:M30)</f>
        <v>13</v>
      </c>
      <c r="O30" s="11">
        <v>1</v>
      </c>
      <c r="P30" s="11">
        <v>-9</v>
      </c>
      <c r="Q30" s="11">
        <v>-4</v>
      </c>
      <c r="R30" s="11">
        <f>-12-SUM(O30:Q30)</f>
        <v>0</v>
      </c>
      <c r="S30" s="11">
        <v>-85</v>
      </c>
      <c r="T30" s="11">
        <v>7</v>
      </c>
      <c r="U30" s="11">
        <v>-3</v>
      </c>
      <c r="X30" s="11">
        <f t="shared" si="15"/>
        <v>16</v>
      </c>
      <c r="Y30" s="11">
        <f t="shared" si="16"/>
        <v>4</v>
      </c>
      <c r="Z30" s="11">
        <f t="shared" si="17"/>
        <v>-3</v>
      </c>
      <c r="AA30" s="11">
        <f t="shared" si="18"/>
        <v>-12</v>
      </c>
    </row>
    <row r="31" spans="2:33" x14ac:dyDescent="0.2">
      <c r="B31" s="8" t="s">
        <v>36</v>
      </c>
      <c r="C31" s="9">
        <f t="shared" ref="C31:U31" si="19">C27+SUM(C29:C30)</f>
        <v>2535</v>
      </c>
      <c r="D31" s="9">
        <f t="shared" si="19"/>
        <v>5243</v>
      </c>
      <c r="E31" s="9">
        <f t="shared" si="19"/>
        <v>6331</v>
      </c>
      <c r="F31" s="9">
        <f t="shared" si="19"/>
        <v>7222</v>
      </c>
      <c r="G31" s="9">
        <f t="shared" si="19"/>
        <v>8107</v>
      </c>
      <c r="H31" s="9">
        <f t="shared" si="19"/>
        <v>7778</v>
      </c>
      <c r="I31" s="9">
        <f t="shared" si="19"/>
        <v>3156</v>
      </c>
      <c r="J31" s="9">
        <f t="shared" si="19"/>
        <v>14323</v>
      </c>
      <c r="K31" s="9">
        <f t="shared" si="19"/>
        <v>-3844</v>
      </c>
      <c r="L31" s="9">
        <f t="shared" si="19"/>
        <v>-2028</v>
      </c>
      <c r="M31" s="9">
        <f t="shared" si="19"/>
        <v>2872</v>
      </c>
      <c r="N31" s="9">
        <f t="shared" si="19"/>
        <v>278</v>
      </c>
      <c r="O31" s="9">
        <f t="shared" si="19"/>
        <v>3172</v>
      </c>
      <c r="P31" s="9">
        <f t="shared" si="19"/>
        <v>6750</v>
      </c>
      <c r="Q31" s="9">
        <f t="shared" si="19"/>
        <v>9879</v>
      </c>
      <c r="R31" s="9">
        <f t="shared" si="19"/>
        <v>10624</v>
      </c>
      <c r="S31" s="9">
        <f t="shared" si="19"/>
        <v>10431</v>
      </c>
      <c r="T31" s="9">
        <f t="shared" si="19"/>
        <v>13485</v>
      </c>
      <c r="U31" s="9">
        <f t="shared" si="19"/>
        <v>15328</v>
      </c>
      <c r="X31" s="9">
        <f>X27+SUM(X29:X30)</f>
        <v>21331</v>
      </c>
      <c r="Y31" s="9">
        <f>Y27+SUM(Y29:Y30)</f>
        <v>33364</v>
      </c>
      <c r="Z31" s="9">
        <f>Z27+SUM(Z29:Z30)</f>
        <v>-2722</v>
      </c>
      <c r="AA31" s="9">
        <f>AA27+SUM(AA29:AA30)</f>
        <v>30425</v>
      </c>
      <c r="AB31" s="23"/>
      <c r="AC31" s="23"/>
      <c r="AD31" s="23"/>
      <c r="AE31" s="23"/>
      <c r="AF31" s="23"/>
      <c r="AG31" s="23"/>
    </row>
    <row r="32" spans="2:33" x14ac:dyDescent="0.2">
      <c r="B32" s="10" t="s">
        <v>55</v>
      </c>
      <c r="C32" s="2">
        <f t="shared" ref="C32:U32" si="20">C31/C33</f>
        <v>5.0098814229249014</v>
      </c>
      <c r="D32" s="2">
        <f t="shared" si="20"/>
        <v>10.300589390962672</v>
      </c>
      <c r="E32" s="2">
        <f t="shared" si="20"/>
        <v>12.365234375</v>
      </c>
      <c r="F32" s="2">
        <f t="shared" si="20"/>
        <v>14.16078431372549</v>
      </c>
      <c r="G32" s="2">
        <f t="shared" si="20"/>
        <v>15.803118908382066</v>
      </c>
      <c r="H32" s="2">
        <f t="shared" si="20"/>
        <v>0.75617343962667705</v>
      </c>
      <c r="I32" s="2">
        <f t="shared" si="20"/>
        <v>0.30614026578717624</v>
      </c>
      <c r="J32" s="2">
        <f t="shared" si="20"/>
        <v>1.3911227661227661</v>
      </c>
      <c r="K32" s="2">
        <f t="shared" si="20"/>
        <v>-7.5520628683693518</v>
      </c>
      <c r="L32" s="2">
        <f t="shared" si="20"/>
        <v>-0.19931203931203931</v>
      </c>
      <c r="M32" s="2">
        <f t="shared" si="20"/>
        <v>0.27799825767108705</v>
      </c>
      <c r="N32" s="2">
        <f t="shared" si="20"/>
        <v>2.7284326234174108E-2</v>
      </c>
      <c r="O32" s="2">
        <f t="shared" si="20"/>
        <v>0.3065622885860636</v>
      </c>
      <c r="P32" s="2">
        <f t="shared" si="20"/>
        <v>0.64599483204134367</v>
      </c>
      <c r="Q32" s="2">
        <f t="shared" si="20"/>
        <v>0.93568857738207989</v>
      </c>
      <c r="R32" s="2">
        <f t="shared" si="20"/>
        <v>1.0125810141059854</v>
      </c>
      <c r="S32" s="2">
        <f t="shared" si="20"/>
        <v>0.97760074976569822</v>
      </c>
      <c r="T32" s="2">
        <f t="shared" si="20"/>
        <v>1.2593388121031004</v>
      </c>
      <c r="U32" s="2">
        <f t="shared" si="20"/>
        <v>1.4278528178854215</v>
      </c>
      <c r="X32" s="2">
        <f>X31/X33</f>
        <v>2.0916846440478527</v>
      </c>
      <c r="Y32" s="2">
        <f>Y31/Y33</f>
        <v>3.2404817404817403</v>
      </c>
      <c r="Z32" s="2">
        <f>Z31/Z33</f>
        <v>-0.2671508489547551</v>
      </c>
      <c r="AA32" s="2">
        <f>AA31/AA33</f>
        <v>2.8998284407167367</v>
      </c>
    </row>
    <row r="33" spans="2:31" x14ac:dyDescent="0.2">
      <c r="B33" s="10" t="s">
        <v>56</v>
      </c>
      <c r="C33" s="6">
        <v>506</v>
      </c>
      <c r="D33" s="6">
        <v>509</v>
      </c>
      <c r="E33" s="6">
        <v>512</v>
      </c>
      <c r="F33" s="6">
        <v>510</v>
      </c>
      <c r="G33" s="6">
        <v>513</v>
      </c>
      <c r="H33" s="6">
        <v>10286</v>
      </c>
      <c r="I33" s="6">
        <v>10309</v>
      </c>
      <c r="J33" s="6">
        <v>10296</v>
      </c>
      <c r="K33" s="6">
        <v>509</v>
      </c>
      <c r="L33" s="6">
        <v>10175</v>
      </c>
      <c r="M33" s="6">
        <v>10331</v>
      </c>
      <c r="N33" s="6">
        <v>10189</v>
      </c>
      <c r="O33" s="6">
        <v>10347</v>
      </c>
      <c r="P33" s="6">
        <v>10449</v>
      </c>
      <c r="Q33" s="6">
        <v>10558</v>
      </c>
      <c r="R33" s="6">
        <v>10492</v>
      </c>
      <c r="S33" s="6">
        <v>10670</v>
      </c>
      <c r="T33" s="6">
        <v>10708</v>
      </c>
      <c r="U33" s="6">
        <v>10735</v>
      </c>
      <c r="X33" s="6">
        <v>10198</v>
      </c>
      <c r="Y33" s="6">
        <v>10296</v>
      </c>
      <c r="Z33" s="6">
        <v>10189</v>
      </c>
      <c r="AA33" s="6">
        <v>10492</v>
      </c>
    </row>
    <row r="34" spans="2:31" x14ac:dyDescent="0.2">
      <c r="F34" s="1"/>
    </row>
    <row r="35" spans="2:31" x14ac:dyDescent="0.2">
      <c r="B35" s="10" t="s">
        <v>57</v>
      </c>
      <c r="C35" s="84">
        <f t="shared" ref="C35:V35" si="21">(C9-C12)/C9</f>
        <v>0.41344165827280921</v>
      </c>
      <c r="D35" s="84">
        <f t="shared" si="21"/>
        <v>0.40772899046247973</v>
      </c>
      <c r="E35" s="84">
        <f t="shared" si="21"/>
        <v>0.40604295595194756</v>
      </c>
      <c r="F35" s="84">
        <f t="shared" si="21"/>
        <v>0.36853171916689897</v>
      </c>
      <c r="G35" s="84">
        <f t="shared" si="21"/>
        <v>0.42495254243535635</v>
      </c>
      <c r="H35" s="84">
        <f t="shared" si="21"/>
        <v>0.43247258577997877</v>
      </c>
      <c r="I35" s="84">
        <f t="shared" si="21"/>
        <v>0.43210121647475003</v>
      </c>
      <c r="J35" s="84">
        <f t="shared" si="21"/>
        <v>0.39717783017494834</v>
      </c>
      <c r="K35" s="84">
        <f t="shared" si="21"/>
        <v>0.42891862182680085</v>
      </c>
      <c r="L35" s="84">
        <f t="shared" si="21"/>
        <v>0.4521008957883102</v>
      </c>
      <c r="M35" s="84">
        <f t="shared" si="21"/>
        <v>0.44714833085498934</v>
      </c>
      <c r="N35" s="84">
        <f t="shared" si="21"/>
        <v>0.42602075011393797</v>
      </c>
      <c r="O35" s="84">
        <f t="shared" si="21"/>
        <v>0.46771306082067871</v>
      </c>
      <c r="P35" s="84">
        <f t="shared" si="21"/>
        <v>0.48376654785203488</v>
      </c>
      <c r="Q35" s="84">
        <f t="shared" si="21"/>
        <v>0.47567495789157344</v>
      </c>
      <c r="R35" s="84">
        <f t="shared" si="21"/>
        <v>0.45544566106342044</v>
      </c>
      <c r="S35" s="84">
        <f t="shared" si="21"/>
        <v>0.49318624269954575</v>
      </c>
      <c r="T35" s="84">
        <f t="shared" si="21"/>
        <v>0.50137521371564497</v>
      </c>
      <c r="U35" s="84">
        <f t="shared" si="21"/>
        <v>0.49031640829069029</v>
      </c>
      <c r="V35" s="84" t="e">
        <f t="shared" si="21"/>
        <v>#DIV/0!</v>
      </c>
      <c r="X35" s="84">
        <f>(X9-X12)/X9</f>
        <v>0.3956779186870571</v>
      </c>
      <c r="Y35" s="84">
        <f>(Y9-Y12)/Y9</f>
        <v>0.42032514441639601</v>
      </c>
      <c r="Z35" s="84">
        <f>(Z9-Z12)/Z9</f>
        <v>0.43805339865326287</v>
      </c>
      <c r="AA35" s="84">
        <f>(AA9-AA12)/AA9</f>
        <v>0.46982088955000567</v>
      </c>
      <c r="AE35" s="24"/>
    </row>
    <row r="36" spans="2:31" x14ac:dyDescent="0.2">
      <c r="B36" s="10" t="s">
        <v>58</v>
      </c>
      <c r="C36" s="86">
        <f t="shared" ref="C36:V36" si="22">C19/C9</f>
        <v>5.2868048560674334E-2</v>
      </c>
      <c r="D36" s="86">
        <f t="shared" si="22"/>
        <v>6.5716663667446468E-2</v>
      </c>
      <c r="E36" s="86">
        <f t="shared" si="22"/>
        <v>6.4423526964480726E-2</v>
      </c>
      <c r="F36" s="86">
        <f t="shared" si="22"/>
        <v>5.4740950181195493E-2</v>
      </c>
      <c r="G36" s="86">
        <f t="shared" si="22"/>
        <v>8.1691516614755155E-2</v>
      </c>
      <c r="H36" s="86">
        <f t="shared" si="22"/>
        <v>6.8111071807569867E-2</v>
      </c>
      <c r="I36" s="86">
        <f t="shared" si="22"/>
        <v>4.3785871566256365E-2</v>
      </c>
      <c r="J36" s="86">
        <f t="shared" si="22"/>
        <v>2.5179751404535267E-2</v>
      </c>
      <c r="K36" s="86">
        <f t="shared" si="22"/>
        <v>3.1508708048504003E-2</v>
      </c>
      <c r="L36" s="86">
        <f t="shared" si="22"/>
        <v>2.7360311463780786E-2</v>
      </c>
      <c r="M36" s="86">
        <f t="shared" si="22"/>
        <v>1.986609074672898E-2</v>
      </c>
      <c r="N36" s="86">
        <f t="shared" si="22"/>
        <v>1.8344012224873328E-2</v>
      </c>
      <c r="O36" s="86">
        <f t="shared" si="22"/>
        <v>3.7484885126964934E-2</v>
      </c>
      <c r="P36" s="86">
        <f t="shared" si="22"/>
        <v>5.7157527365812637E-2</v>
      </c>
      <c r="Q36" s="86">
        <f t="shared" si="22"/>
        <v>7.8192377850618167E-2</v>
      </c>
      <c r="R36" s="86">
        <f t="shared" si="22"/>
        <v>7.771782938438819E-2</v>
      </c>
      <c r="S36" s="86">
        <f t="shared" si="22"/>
        <v>0.10680817511321374</v>
      </c>
      <c r="T36" s="86">
        <f t="shared" si="22"/>
        <v>9.9150543665569649E-2</v>
      </c>
      <c r="U36" s="86">
        <f t="shared" si="22"/>
        <v>0.1095879202150091</v>
      </c>
      <c r="V36" s="86" t="e">
        <f t="shared" si="22"/>
        <v>#DIV/0!</v>
      </c>
      <c r="X36" s="86">
        <f>X19/X9</f>
        <v>5.9313999751336569E-2</v>
      </c>
      <c r="Y36" s="86">
        <f>Y19/Y9</f>
        <v>5.2954097509269465E-2</v>
      </c>
      <c r="Z36" s="86">
        <f>Z19/Z9</f>
        <v>2.3829581912242232E-2</v>
      </c>
      <c r="AA36" s="86">
        <f>AA19/AA9</f>
        <v>6.4114407996033296E-2</v>
      </c>
    </row>
    <row r="37" spans="2:31" x14ac:dyDescent="0.2">
      <c r="B37" s="10" t="s">
        <v>59</v>
      </c>
      <c r="C37" s="18">
        <f t="shared" ref="C37:V37" si="23">C31/C9</f>
        <v>3.3597518952446587E-2</v>
      </c>
      <c r="D37" s="18">
        <f t="shared" si="23"/>
        <v>5.896841821126507E-2</v>
      </c>
      <c r="E37" s="18">
        <f t="shared" si="23"/>
        <v>6.5848458058141351E-2</v>
      </c>
      <c r="F37" s="18">
        <f t="shared" si="23"/>
        <v>5.7520608498267692E-2</v>
      </c>
      <c r="G37" s="18">
        <f t="shared" si="23"/>
        <v>7.470650030409702E-2</v>
      </c>
      <c r="H37" s="18">
        <f t="shared" si="23"/>
        <v>6.8783162362928904E-2</v>
      </c>
      <c r="I37" s="18">
        <f t="shared" si="23"/>
        <v>2.8480669963541854E-2</v>
      </c>
      <c r="J37" s="18">
        <f t="shared" si="23"/>
        <v>0.1042339824760574</v>
      </c>
      <c r="K37" s="18">
        <f t="shared" si="23"/>
        <v>-3.3011576380062517E-2</v>
      </c>
      <c r="L37" s="18">
        <f t="shared" si="23"/>
        <v>-1.6727980599501788E-2</v>
      </c>
      <c r="M37" s="18">
        <f t="shared" si="23"/>
        <v>2.2596203019645794E-2</v>
      </c>
      <c r="N37" s="18">
        <f t="shared" si="23"/>
        <v>1.8632208251789495E-3</v>
      </c>
      <c r="O37" s="18">
        <f t="shared" si="23"/>
        <v>2.4906170008951147E-2</v>
      </c>
      <c r="P37" s="18">
        <f t="shared" si="23"/>
        <v>5.0229567728060844E-2</v>
      </c>
      <c r="Q37" s="18">
        <f t="shared" si="23"/>
        <v>6.9043841686293975E-2</v>
      </c>
      <c r="R37" s="18">
        <f t="shared" si="23"/>
        <v>6.2508457822676972E-2</v>
      </c>
      <c r="S37" s="18">
        <f t="shared" si="23"/>
        <v>7.2784743882271671E-2</v>
      </c>
      <c r="T37" s="18">
        <f t="shared" si="23"/>
        <v>9.1129026808220201E-2</v>
      </c>
      <c r="U37" s="18">
        <f t="shared" si="23"/>
        <v>9.6477148989469838E-2</v>
      </c>
      <c r="V37" s="18" t="e">
        <f t="shared" si="23"/>
        <v>#DIV/0!</v>
      </c>
      <c r="X37" s="18">
        <f>X31/X9</f>
        <v>5.5252496995316841E-2</v>
      </c>
      <c r="Y37" s="18">
        <f>Y31/Y9</f>
        <v>7.1014128755145567E-2</v>
      </c>
      <c r="Z37" s="18">
        <f>Z31/Z9</f>
        <v>-5.2958950004183018E-3</v>
      </c>
      <c r="AA37" s="18">
        <f>AA31/AA9</f>
        <v>5.2932835755978319E-2</v>
      </c>
      <c r="AC37" s="85"/>
    </row>
    <row r="38" spans="2:31" x14ac:dyDescent="0.2">
      <c r="B38" s="10" t="s">
        <v>37</v>
      </c>
      <c r="C38" s="18">
        <f>C29/C27</f>
        <v>-0.21992314513745195</v>
      </c>
      <c r="D38" s="18">
        <f t="shared" ref="D38:AA38" si="24">D29/D27</f>
        <v>-0.1581739270213792</v>
      </c>
      <c r="E38" s="18">
        <f t="shared" si="24"/>
        <v>-8.3565868703186955E-2</v>
      </c>
      <c r="F38" s="18">
        <f t="shared" si="24"/>
        <v>-7.2891178364455897E-2</v>
      </c>
      <c r="G38" s="18">
        <f t="shared" si="24"/>
        <v>-0.20997273081417997</v>
      </c>
      <c r="H38" s="18">
        <f t="shared" si="24"/>
        <v>-0.1005327773917072</v>
      </c>
      <c r="I38" s="18">
        <f t="shared" si="24"/>
        <v>-0.26767091541135574</v>
      </c>
      <c r="J38" s="18">
        <f t="shared" si="24"/>
        <v>-4.0980313378867012E-2</v>
      </c>
      <c r="K38" s="18">
        <f t="shared" si="24"/>
        <v>-0.27008547008547007</v>
      </c>
      <c r="L38" s="18">
        <f t="shared" si="24"/>
        <v>-0.24010554089709762</v>
      </c>
      <c r="M38" s="18">
        <f t="shared" si="24"/>
        <v>-2.34375E-2</v>
      </c>
      <c r="N38" s="18">
        <f t="shared" si="24"/>
        <v>-1.2754677754677755</v>
      </c>
      <c r="O38" s="18">
        <f t="shared" si="24"/>
        <v>-0.23015294974508377</v>
      </c>
      <c r="P38" s="18">
        <f t="shared" si="24"/>
        <v>-0.10630702102340341</v>
      </c>
      <c r="Q38" s="18">
        <f t="shared" si="24"/>
        <v>-0.18918697185987365</v>
      </c>
      <c r="R38" s="18">
        <f t="shared" si="24"/>
        <v>-0.22373228116323249</v>
      </c>
      <c r="S38" s="18">
        <f t="shared" si="24"/>
        <v>-0.1900177154740815</v>
      </c>
      <c r="T38" s="18">
        <f t="shared" si="24"/>
        <v>-0.11590685470646113</v>
      </c>
      <c r="U38" s="18">
        <f t="shared" si="24"/>
        <v>-0.15002494871652713</v>
      </c>
      <c r="V38" s="18" t="e">
        <f t="shared" si="24"/>
        <v>#DIV/0!</v>
      </c>
      <c r="X38" s="18">
        <f>-X29/X27</f>
        <v>0.1184134337000579</v>
      </c>
      <c r="Y38" s="18">
        <f>-Y29/Y27</f>
        <v>0.12557993237398757</v>
      </c>
      <c r="Z38" s="18">
        <f t="shared" si="24"/>
        <v>-0.54194743935309975</v>
      </c>
      <c r="AA38" s="18">
        <f>-AA29/AA27</f>
        <v>0.18957850733551668</v>
      </c>
      <c r="AC38" s="85"/>
    </row>
    <row r="40" spans="2:31" x14ac:dyDescent="0.2">
      <c r="B40" s="26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</row>
    <row r="41" spans="2:31" x14ac:dyDescent="0.2">
      <c r="B41" s="8" t="s">
        <v>116</v>
      </c>
    </row>
    <row r="42" spans="2:31" x14ac:dyDescent="0.2">
      <c r="B42" s="12" t="s">
        <v>187</v>
      </c>
      <c r="C42" s="11">
        <v>27201</v>
      </c>
      <c r="D42" s="11">
        <v>37466</v>
      </c>
      <c r="E42" s="11">
        <v>29930</v>
      </c>
      <c r="F42" s="11">
        <v>42122</v>
      </c>
      <c r="G42" s="11">
        <v>33834</v>
      </c>
      <c r="H42" s="11">
        <v>40380</v>
      </c>
      <c r="I42" s="11">
        <v>29944</v>
      </c>
      <c r="J42" s="11">
        <v>36220</v>
      </c>
      <c r="K42" s="11">
        <v>36393</v>
      </c>
      <c r="L42" s="11">
        <v>37478</v>
      </c>
      <c r="M42" s="11">
        <v>34947</v>
      </c>
      <c r="N42" s="11">
        <v>53888</v>
      </c>
      <c r="O42" s="11">
        <v>49343</v>
      </c>
      <c r="P42" s="11">
        <v>49529</v>
      </c>
      <c r="Q42" s="11">
        <v>49605</v>
      </c>
      <c r="R42" s="11">
        <v>73387</v>
      </c>
      <c r="S42" s="11">
        <v>72852</v>
      </c>
      <c r="T42" s="11">
        <v>71178</v>
      </c>
      <c r="U42" s="11">
        <v>75091</v>
      </c>
      <c r="V42" s="11">
        <v>75091</v>
      </c>
      <c r="X42" s="90">
        <f>SUM(C42:F42)</f>
        <v>136719</v>
      </c>
      <c r="Y42" s="90">
        <f>SUM(G42:J42)</f>
        <v>140378</v>
      </c>
      <c r="Z42" s="90">
        <f>SUM(K42:N42)</f>
        <v>162706</v>
      </c>
      <c r="AA42" s="90">
        <f>SUM(O42:R42)</f>
        <v>221864</v>
      </c>
    </row>
    <row r="43" spans="2:31" x14ac:dyDescent="0.2">
      <c r="B43" s="12" t="s">
        <v>188</v>
      </c>
      <c r="C43" s="11">
        <v>22091</v>
      </c>
      <c r="D43" s="11">
        <v>33925</v>
      </c>
      <c r="E43" s="11">
        <v>38472</v>
      </c>
      <c r="F43" s="11">
        <v>42274</v>
      </c>
      <c r="G43" s="11">
        <v>39436</v>
      </c>
      <c r="H43" s="11">
        <v>49514</v>
      </c>
      <c r="I43" s="11">
        <v>49044</v>
      </c>
      <c r="J43" s="11">
        <v>59829</v>
      </c>
      <c r="K43" s="11">
        <v>29992</v>
      </c>
      <c r="L43" s="11">
        <v>23232</v>
      </c>
      <c r="M43" s="11">
        <v>23715</v>
      </c>
      <c r="N43" s="11">
        <v>16138</v>
      </c>
      <c r="O43" s="11">
        <v>15062</v>
      </c>
      <c r="P43" s="11">
        <v>14441</v>
      </c>
      <c r="Q43" s="11">
        <v>14564</v>
      </c>
      <c r="R43" s="11">
        <v>13393</v>
      </c>
      <c r="S43" s="11">
        <v>12222</v>
      </c>
      <c r="T43" s="11">
        <v>17914</v>
      </c>
      <c r="U43" s="11">
        <v>12960</v>
      </c>
      <c r="V43" s="11">
        <v>12960</v>
      </c>
      <c r="X43" s="90">
        <f t="shared" ref="X43:X45" si="25">SUM(C43:F43)</f>
        <v>136762</v>
      </c>
      <c r="Y43" s="90">
        <f t="shared" ref="Y43:Y45" si="26">SUM(G43:J43)</f>
        <v>197823</v>
      </c>
      <c r="Z43" s="90">
        <f t="shared" ref="Z43:Z45" si="27">SUM(K43:N43)</f>
        <v>93077</v>
      </c>
      <c r="AA43" s="90">
        <f t="shared" ref="AA43:AA45" si="28">SUM(O43:R43)</f>
        <v>57460</v>
      </c>
    </row>
    <row r="44" spans="2:31" x14ac:dyDescent="0.2">
      <c r="B44" s="13" t="s">
        <v>126</v>
      </c>
      <c r="C44" s="11">
        <v>18857</v>
      </c>
      <c r="D44" s="11">
        <v>19599</v>
      </c>
      <c r="E44" s="11">
        <v>23735</v>
      </c>
      <c r="F44" s="11">
        <v>23795</v>
      </c>
      <c r="G44" s="11">
        <v>23849</v>
      </c>
      <c r="H44" s="11">
        <v>24119</v>
      </c>
      <c r="I44" s="11">
        <v>30933</v>
      </c>
      <c r="J44" s="11">
        <v>32640</v>
      </c>
      <c r="K44" s="11">
        <v>34987</v>
      </c>
      <c r="L44" s="11">
        <v>38153</v>
      </c>
      <c r="M44" s="11">
        <v>36647</v>
      </c>
      <c r="N44" s="11">
        <v>34405</v>
      </c>
      <c r="O44" s="11">
        <v>34170</v>
      </c>
      <c r="P44" s="11">
        <v>36587</v>
      </c>
      <c r="Q44" s="11">
        <v>35406</v>
      </c>
      <c r="R44" s="11">
        <v>33318</v>
      </c>
      <c r="S44" s="11">
        <v>31147</v>
      </c>
      <c r="T44" s="11">
        <v>34109</v>
      </c>
      <c r="U44" s="11">
        <v>36103</v>
      </c>
      <c r="V44" s="11">
        <v>36103</v>
      </c>
      <c r="X44" s="90">
        <f t="shared" si="25"/>
        <v>85986</v>
      </c>
      <c r="Y44" s="90">
        <f t="shared" si="26"/>
        <v>111541</v>
      </c>
      <c r="Z44" s="90">
        <f t="shared" si="27"/>
        <v>144192</v>
      </c>
      <c r="AA44" s="90">
        <f t="shared" si="28"/>
        <v>139481</v>
      </c>
      <c r="AB44" s="118">
        <f>(AA44/X44)^(1/3)-1</f>
        <v>0.174976287241567</v>
      </c>
    </row>
    <row r="45" spans="2:31" x14ac:dyDescent="0.2">
      <c r="B45" s="12" t="s">
        <v>189</v>
      </c>
      <c r="C45" s="11">
        <v>17836</v>
      </c>
      <c r="D45" s="11">
        <v>19918</v>
      </c>
      <c r="E45" s="11">
        <v>20832</v>
      </c>
      <c r="F45" s="11">
        <v>24542</v>
      </c>
      <c r="G45" s="11">
        <v>24289</v>
      </c>
      <c r="H45" s="11">
        <v>26835</v>
      </c>
      <c r="I45" s="11">
        <v>28610</v>
      </c>
      <c r="J45" s="11">
        <v>32891</v>
      </c>
      <c r="K45" s="11">
        <v>32504</v>
      </c>
      <c r="L45" s="11">
        <v>34804</v>
      </c>
      <c r="M45" s="11">
        <v>36154</v>
      </c>
      <c r="N45" s="11">
        <v>42360</v>
      </c>
      <c r="O45" s="11">
        <v>37646</v>
      </c>
      <c r="P45" s="11">
        <v>39925</v>
      </c>
      <c r="Q45" s="11">
        <v>43420</v>
      </c>
      <c r="R45" s="11">
        <v>52253</v>
      </c>
      <c r="S45" s="11">
        <v>47768</v>
      </c>
      <c r="T45" s="11">
        <v>50106</v>
      </c>
      <c r="U45" s="11">
        <v>51638</v>
      </c>
      <c r="V45" s="11">
        <v>51638</v>
      </c>
      <c r="X45" s="90">
        <f t="shared" si="25"/>
        <v>83128</v>
      </c>
      <c r="Y45" s="90">
        <f t="shared" si="26"/>
        <v>112625</v>
      </c>
      <c r="Z45" s="90">
        <f t="shared" si="27"/>
        <v>145822</v>
      </c>
      <c r="AA45" s="90">
        <f t="shared" si="28"/>
        <v>173244</v>
      </c>
      <c r="AB45" s="118">
        <f>(AA45/X45)^(1/3)-1</f>
        <v>0.27733150358181646</v>
      </c>
    </row>
    <row r="46" spans="2:31" x14ac:dyDescent="0.2">
      <c r="B46" s="29" t="s">
        <v>128</v>
      </c>
      <c r="C46" s="98">
        <f t="shared" ref="C46:F46" si="29">SUM(C42:C45)</f>
        <v>85985</v>
      </c>
      <c r="D46" s="98">
        <f t="shared" si="29"/>
        <v>110908</v>
      </c>
      <c r="E46" s="98">
        <f t="shared" si="29"/>
        <v>112969</v>
      </c>
      <c r="F46" s="98">
        <f t="shared" si="29"/>
        <v>132733</v>
      </c>
      <c r="G46" s="98">
        <f t="shared" ref="G46:V46" si="30">SUM(G42:G45)</f>
        <v>121408</v>
      </c>
      <c r="H46" s="98">
        <f t="shared" si="30"/>
        <v>140848</v>
      </c>
      <c r="I46" s="98">
        <f t="shared" si="30"/>
        <v>138531</v>
      </c>
      <c r="J46" s="98">
        <f t="shared" si="30"/>
        <v>161580</v>
      </c>
      <c r="K46" s="98">
        <f t="shared" si="30"/>
        <v>133876</v>
      </c>
      <c r="L46" s="98">
        <f t="shared" si="30"/>
        <v>133667</v>
      </c>
      <c r="M46" s="98">
        <f t="shared" si="30"/>
        <v>131463</v>
      </c>
      <c r="N46" s="98">
        <f t="shared" si="30"/>
        <v>146791</v>
      </c>
      <c r="O46" s="98">
        <f t="shared" si="30"/>
        <v>136221</v>
      </c>
      <c r="P46" s="98">
        <f t="shared" si="30"/>
        <v>140482</v>
      </c>
      <c r="Q46" s="98">
        <f t="shared" si="30"/>
        <v>142995</v>
      </c>
      <c r="R46" s="98">
        <f t="shared" si="30"/>
        <v>172351</v>
      </c>
      <c r="S46" s="98">
        <f t="shared" si="30"/>
        <v>163989</v>
      </c>
      <c r="T46" s="98">
        <f t="shared" si="30"/>
        <v>173307</v>
      </c>
      <c r="U46" s="98">
        <f t="shared" si="30"/>
        <v>175792</v>
      </c>
      <c r="V46" s="98">
        <f t="shared" si="30"/>
        <v>175792</v>
      </c>
      <c r="X46" s="100">
        <f>SUM(X42:X45)</f>
        <v>442595</v>
      </c>
      <c r="Y46" s="100">
        <f>SUM(Y42:Y45)</f>
        <v>562367</v>
      </c>
      <c r="Z46" s="100">
        <f>SUM(Z42:Z45)</f>
        <v>545797</v>
      </c>
      <c r="AA46" s="100">
        <f>SUM(AA42:AA45)</f>
        <v>592049</v>
      </c>
      <c r="AB46" s="118">
        <f>(AA46/X46)^(1/3)-1</f>
        <v>0.10183623251325002</v>
      </c>
    </row>
    <row r="47" spans="2:31" x14ac:dyDescent="0.2">
      <c r="X47" s="51"/>
      <c r="Y47" s="101"/>
      <c r="Z47" s="51"/>
      <c r="AA47" s="51"/>
    </row>
    <row r="48" spans="2:31" x14ac:dyDescent="0.2">
      <c r="B48" t="s">
        <v>190</v>
      </c>
      <c r="C48" s="11">
        <v>77779</v>
      </c>
      <c r="D48" s="11">
        <v>86517</v>
      </c>
      <c r="E48" s="11">
        <v>99981</v>
      </c>
      <c r="F48" s="11">
        <v>113114</v>
      </c>
      <c r="G48" s="11">
        <v>121461</v>
      </c>
      <c r="H48" s="11">
        <v>133502</v>
      </c>
      <c r="I48" s="11">
        <v>147152</v>
      </c>
      <c r="J48" s="11">
        <v>160281</v>
      </c>
      <c r="K48" s="11">
        <v>168468</v>
      </c>
      <c r="L48" s="11">
        <v>173706</v>
      </c>
      <c r="M48" s="11">
        <v>177195</v>
      </c>
      <c r="N48" s="11">
        <v>186715</v>
      </c>
      <c r="O48" s="11">
        <v>190754</v>
      </c>
      <c r="P48" s="11">
        <v>193784</v>
      </c>
      <c r="Q48" s="11">
        <v>196468</v>
      </c>
      <c r="R48" s="11">
        <v>204177</v>
      </c>
      <c r="S48" s="11">
        <v>209950</v>
      </c>
      <c r="T48" s="11">
        <v>220717</v>
      </c>
      <c r="U48" s="11">
        <v>237917</v>
      </c>
      <c r="V48" s="11">
        <v>237917</v>
      </c>
      <c r="X48" s="90">
        <f t="shared" ref="X48:X51" si="31">SUM(C48:F48)</f>
        <v>377391</v>
      </c>
      <c r="Y48" s="90">
        <f t="shared" ref="Y48:Y51" si="32">SUM(G48:J48)</f>
        <v>562396</v>
      </c>
      <c r="Z48" s="90">
        <f t="shared" ref="Z48:Z51" si="33">SUM(K48:N48)</f>
        <v>706084</v>
      </c>
      <c r="AA48" s="90">
        <f t="shared" ref="AA48:AA51" si="34">SUM(O48:R48)</f>
        <v>785183</v>
      </c>
    </row>
    <row r="49" spans="2:28" x14ac:dyDescent="0.2">
      <c r="B49" t="s">
        <v>191</v>
      </c>
      <c r="C49" s="11">
        <v>26279</v>
      </c>
      <c r="D49" s="11">
        <v>28537</v>
      </c>
      <c r="E49" s="11">
        <v>34119</v>
      </c>
      <c r="F49" s="11">
        <v>37553</v>
      </c>
      <c r="G49" s="11">
        <v>39328</v>
      </c>
      <c r="H49" s="11">
        <v>43346</v>
      </c>
      <c r="I49" s="11">
        <v>52151</v>
      </c>
      <c r="J49" s="11">
        <v>56082</v>
      </c>
      <c r="K49" s="11">
        <v>56161</v>
      </c>
      <c r="L49" s="11">
        <v>58430</v>
      </c>
      <c r="M49" s="11">
        <v>62033</v>
      </c>
      <c r="N49" s="11">
        <v>66123</v>
      </c>
      <c r="O49" s="11">
        <v>68262</v>
      </c>
      <c r="P49" s="11">
        <v>70332</v>
      </c>
      <c r="Q49" s="11">
        <v>70758</v>
      </c>
      <c r="R49" s="11">
        <v>72513</v>
      </c>
      <c r="S49" s="11">
        <v>73313</v>
      </c>
      <c r="T49" s="11">
        <v>74575</v>
      </c>
      <c r="U49" s="11">
        <v>76527</v>
      </c>
      <c r="V49" s="11">
        <v>76527</v>
      </c>
      <c r="X49" s="90">
        <f t="shared" si="31"/>
        <v>126488</v>
      </c>
      <c r="Y49" s="90">
        <f t="shared" si="32"/>
        <v>190907</v>
      </c>
      <c r="Z49" s="90">
        <f t="shared" si="33"/>
        <v>242747</v>
      </c>
      <c r="AA49" s="90">
        <f t="shared" si="34"/>
        <v>281865</v>
      </c>
    </row>
    <row r="50" spans="2:28" x14ac:dyDescent="0.2">
      <c r="B50" t="s">
        <v>192</v>
      </c>
      <c r="C50" s="11">
        <v>14739</v>
      </c>
      <c r="D50" s="11">
        <v>14751</v>
      </c>
      <c r="E50" s="11">
        <v>14960</v>
      </c>
      <c r="F50" s="11">
        <v>15017</v>
      </c>
      <c r="G50" s="11">
        <v>15220</v>
      </c>
      <c r="H50" s="11">
        <v>15350</v>
      </c>
      <c r="I50" s="11">
        <v>15345</v>
      </c>
      <c r="J50" s="11">
        <v>15371</v>
      </c>
      <c r="K50" s="11">
        <v>20229</v>
      </c>
      <c r="L50" s="11">
        <v>20195</v>
      </c>
      <c r="M50" s="11">
        <v>20168</v>
      </c>
      <c r="N50" s="11">
        <v>20288</v>
      </c>
      <c r="O50" s="11">
        <v>22749</v>
      </c>
      <c r="P50" s="11">
        <v>22785</v>
      </c>
      <c r="Q50" s="11">
        <v>22749</v>
      </c>
      <c r="R50" s="11">
        <v>22789</v>
      </c>
      <c r="S50" s="11">
        <v>22770</v>
      </c>
      <c r="T50" s="11">
        <v>22879</v>
      </c>
      <c r="U50" s="11">
        <v>23081</v>
      </c>
      <c r="V50" s="11">
        <v>23081</v>
      </c>
      <c r="X50" s="90">
        <f t="shared" si="31"/>
        <v>59467</v>
      </c>
      <c r="Y50" s="90">
        <f t="shared" si="32"/>
        <v>61286</v>
      </c>
      <c r="Z50" s="90">
        <f t="shared" si="33"/>
        <v>80880</v>
      </c>
      <c r="AA50" s="90">
        <f t="shared" si="34"/>
        <v>91072</v>
      </c>
    </row>
    <row r="51" spans="2:28" x14ac:dyDescent="0.2">
      <c r="B51" t="s">
        <v>193</v>
      </c>
      <c r="C51" s="11">
        <v>16456</v>
      </c>
      <c r="D51" s="11">
        <v>17601</v>
      </c>
      <c r="E51" s="11">
        <v>20150</v>
      </c>
      <c r="F51" s="11">
        <v>22778</v>
      </c>
      <c r="G51" s="11">
        <v>25660</v>
      </c>
      <c r="H51" s="11">
        <v>27273</v>
      </c>
      <c r="I51" s="11">
        <v>29227</v>
      </c>
      <c r="J51" s="11">
        <v>27235</v>
      </c>
      <c r="K51" s="11">
        <v>32033</v>
      </c>
      <c r="L51" s="11">
        <v>33730</v>
      </c>
      <c r="M51" s="11">
        <v>37503</v>
      </c>
      <c r="N51" s="11">
        <v>42758</v>
      </c>
      <c r="O51" s="11">
        <v>46392</v>
      </c>
      <c r="P51" s="11">
        <v>50224</v>
      </c>
      <c r="Q51" s="11">
        <v>53913</v>
      </c>
      <c r="R51" s="11">
        <v>56024</v>
      </c>
      <c r="S51" s="11">
        <v>60947</v>
      </c>
      <c r="T51" s="11">
        <v>63340</v>
      </c>
      <c r="U51" s="11">
        <v>71309</v>
      </c>
      <c r="V51" s="11">
        <v>71309</v>
      </c>
      <c r="X51" s="90">
        <f t="shared" si="31"/>
        <v>76985</v>
      </c>
      <c r="Y51" s="90">
        <f t="shared" si="32"/>
        <v>109395</v>
      </c>
      <c r="Z51" s="90">
        <f t="shared" si="33"/>
        <v>146024</v>
      </c>
      <c r="AA51" s="90">
        <f t="shared" si="34"/>
        <v>206553</v>
      </c>
    </row>
    <row r="52" spans="2:28" x14ac:dyDescent="0.2">
      <c r="X52" s="51"/>
      <c r="Y52" s="92"/>
      <c r="Z52" s="51"/>
      <c r="AA52" s="51"/>
    </row>
    <row r="53" spans="2:28" ht="17" thickBot="1" x14ac:dyDescent="0.25">
      <c r="B53" s="29" t="s">
        <v>194</v>
      </c>
      <c r="C53" s="99">
        <f t="shared" ref="C53:F53" si="35">SUM(C48:C51)+C46</f>
        <v>221238</v>
      </c>
      <c r="D53" s="99">
        <f t="shared" si="35"/>
        <v>258314</v>
      </c>
      <c r="E53" s="99">
        <f t="shared" si="35"/>
        <v>282179</v>
      </c>
      <c r="F53" s="99">
        <f t="shared" si="35"/>
        <v>321195</v>
      </c>
      <c r="G53" s="99">
        <f t="shared" ref="G53:V53" si="36">SUM(G48:G51)+G46</f>
        <v>323077</v>
      </c>
      <c r="H53" s="99">
        <f t="shared" si="36"/>
        <v>360319</v>
      </c>
      <c r="I53" s="99">
        <f t="shared" si="36"/>
        <v>382406</v>
      </c>
      <c r="J53" s="99">
        <f t="shared" si="36"/>
        <v>420549</v>
      </c>
      <c r="K53" s="99">
        <f t="shared" si="36"/>
        <v>410767</v>
      </c>
      <c r="L53" s="99">
        <f t="shared" si="36"/>
        <v>419728</v>
      </c>
      <c r="M53" s="99">
        <f t="shared" si="36"/>
        <v>428362</v>
      </c>
      <c r="N53" s="99">
        <f t="shared" si="36"/>
        <v>462675</v>
      </c>
      <c r="O53" s="99">
        <f t="shared" si="36"/>
        <v>464378</v>
      </c>
      <c r="P53" s="99">
        <f t="shared" si="36"/>
        <v>477607</v>
      </c>
      <c r="Q53" s="99">
        <f t="shared" si="36"/>
        <v>486883</v>
      </c>
      <c r="R53" s="99">
        <f t="shared" si="36"/>
        <v>527854</v>
      </c>
      <c r="S53" s="99">
        <f t="shared" si="36"/>
        <v>530969</v>
      </c>
      <c r="T53" s="99">
        <f t="shared" si="36"/>
        <v>554818</v>
      </c>
      <c r="U53" s="99">
        <f t="shared" si="36"/>
        <v>584626</v>
      </c>
      <c r="V53" s="99">
        <f t="shared" si="36"/>
        <v>584626</v>
      </c>
      <c r="X53" s="102">
        <f>SUM(X48:X51)+X46</f>
        <v>1082926</v>
      </c>
      <c r="Y53" s="102">
        <f>SUM(Y48:Y51)+Y46</f>
        <v>1486351</v>
      </c>
      <c r="Z53" s="102">
        <f>SUM(Z48:Z51)+Z46</f>
        <v>1721532</v>
      </c>
      <c r="AA53" s="102">
        <f>SUM(AA48:AA51)+AA46</f>
        <v>1956722</v>
      </c>
    </row>
    <row r="54" spans="2:28" ht="17" thickTop="1" x14ac:dyDescent="0.2">
      <c r="B54" s="29"/>
      <c r="X54" s="51"/>
      <c r="Y54" s="92"/>
      <c r="Z54" s="51"/>
      <c r="AA54" s="51"/>
    </row>
    <row r="55" spans="2:28" x14ac:dyDescent="0.2">
      <c r="B55" s="29" t="s">
        <v>119</v>
      </c>
      <c r="X55" s="51"/>
      <c r="Y55" s="92"/>
      <c r="Z55" s="51"/>
      <c r="AA55" s="51"/>
    </row>
    <row r="56" spans="2:28" x14ac:dyDescent="0.2">
      <c r="B56" s="13" t="s">
        <v>120</v>
      </c>
      <c r="C56" s="11">
        <v>40056</v>
      </c>
      <c r="D56" s="11">
        <v>51036</v>
      </c>
      <c r="E56" s="11">
        <v>58334</v>
      </c>
      <c r="F56" s="11">
        <v>72539</v>
      </c>
      <c r="G56" s="11">
        <v>63926</v>
      </c>
      <c r="H56" s="11">
        <v>66090</v>
      </c>
      <c r="I56" s="11">
        <v>71474</v>
      </c>
      <c r="J56" s="11">
        <v>78664</v>
      </c>
      <c r="K56" s="11">
        <v>68547</v>
      </c>
      <c r="L56" s="11">
        <v>71219</v>
      </c>
      <c r="M56" s="11">
        <v>67760</v>
      </c>
      <c r="N56" s="11">
        <v>79600</v>
      </c>
      <c r="O56" s="11">
        <v>66907</v>
      </c>
      <c r="P56" s="11">
        <v>69481</v>
      </c>
      <c r="Q56" s="11">
        <v>72004</v>
      </c>
      <c r="R56" s="11">
        <v>84981</v>
      </c>
      <c r="S56" s="11">
        <v>73068</v>
      </c>
      <c r="T56" s="11">
        <v>81817</v>
      </c>
      <c r="U56" s="11">
        <v>84570</v>
      </c>
      <c r="V56" s="11">
        <v>84570</v>
      </c>
      <c r="X56" s="90">
        <f t="shared" ref="X56:X58" si="37">SUM(C56:F56)</f>
        <v>221965</v>
      </c>
      <c r="Y56" s="90">
        <f t="shared" ref="Y56:Y58" si="38">SUM(G56:J56)</f>
        <v>280154</v>
      </c>
      <c r="Z56" s="90">
        <f t="shared" ref="Z56:Z58" si="39">SUM(K56:N56)</f>
        <v>287126</v>
      </c>
      <c r="AA56" s="90">
        <f t="shared" ref="AA56:AA58" si="40">SUM(O56:R56)</f>
        <v>293373</v>
      </c>
      <c r="AB56" s="118">
        <f>(AA56/X56)^(1/3)-1</f>
        <v>9.7434344848641219E-2</v>
      </c>
    </row>
    <row r="57" spans="2:28" x14ac:dyDescent="0.2">
      <c r="B57" s="13" t="s">
        <v>195</v>
      </c>
      <c r="C57" s="11">
        <v>30791</v>
      </c>
      <c r="D57" s="11">
        <v>33836</v>
      </c>
      <c r="E57" s="11">
        <v>34327</v>
      </c>
      <c r="F57" s="11">
        <v>44138</v>
      </c>
      <c r="G57" s="11">
        <v>40939</v>
      </c>
      <c r="H57" s="11">
        <v>41007</v>
      </c>
      <c r="I57" s="11">
        <v>41546</v>
      </c>
      <c r="J57" s="11">
        <v>51775</v>
      </c>
      <c r="K57" s="11">
        <v>58141</v>
      </c>
      <c r="L57" s="11">
        <v>56254</v>
      </c>
      <c r="M57" s="11">
        <v>59974</v>
      </c>
      <c r="N57" s="11">
        <v>62566</v>
      </c>
      <c r="O57" s="11">
        <v>66382</v>
      </c>
      <c r="P57" s="11">
        <v>64235</v>
      </c>
      <c r="Q57" s="11">
        <v>58812</v>
      </c>
      <c r="R57" s="11">
        <v>64709</v>
      </c>
      <c r="S57" s="11">
        <v>63970</v>
      </c>
      <c r="T57" s="11">
        <v>60351</v>
      </c>
      <c r="U57" s="11">
        <v>60602</v>
      </c>
      <c r="V57" s="11">
        <v>60602</v>
      </c>
      <c r="X57" s="90">
        <f t="shared" si="37"/>
        <v>143092</v>
      </c>
      <c r="Y57" s="90">
        <f t="shared" si="38"/>
        <v>175267</v>
      </c>
      <c r="Z57" s="90">
        <f t="shared" si="39"/>
        <v>236935</v>
      </c>
      <c r="AA57" s="90">
        <f t="shared" si="40"/>
        <v>254138</v>
      </c>
      <c r="AB57" s="118">
        <f>(AA57/X57)^(1/3)-1</f>
        <v>0.211020285556758</v>
      </c>
    </row>
    <row r="58" spans="2:28" x14ac:dyDescent="0.2">
      <c r="B58" s="96" t="s">
        <v>196</v>
      </c>
      <c r="C58" s="11">
        <v>8864</v>
      </c>
      <c r="D58" s="11">
        <v>8997</v>
      </c>
      <c r="E58" s="11">
        <v>9251</v>
      </c>
      <c r="F58" s="11">
        <v>9708</v>
      </c>
      <c r="G58" s="11">
        <v>10539</v>
      </c>
      <c r="H58" s="11">
        <v>10695</v>
      </c>
      <c r="I58" s="11">
        <v>10974</v>
      </c>
      <c r="J58" s="11">
        <v>11827</v>
      </c>
      <c r="K58" s="11">
        <v>12820</v>
      </c>
      <c r="L58" s="11">
        <v>12818</v>
      </c>
      <c r="M58" s="11">
        <v>12629</v>
      </c>
      <c r="N58" s="11">
        <v>13227</v>
      </c>
      <c r="O58" s="11">
        <v>14281</v>
      </c>
      <c r="P58" s="11">
        <v>14522</v>
      </c>
      <c r="Q58" s="11">
        <v>14398</v>
      </c>
      <c r="R58" s="11">
        <v>15227</v>
      </c>
      <c r="S58" s="11">
        <v>15927</v>
      </c>
      <c r="T58" s="11">
        <v>16004</v>
      </c>
      <c r="U58" s="11">
        <v>16305</v>
      </c>
      <c r="V58" s="11">
        <v>16305</v>
      </c>
      <c r="X58" s="90">
        <f t="shared" si="37"/>
        <v>36820</v>
      </c>
      <c r="Y58" s="90">
        <f t="shared" si="38"/>
        <v>44035</v>
      </c>
      <c r="Z58" s="90">
        <f t="shared" si="39"/>
        <v>51494</v>
      </c>
      <c r="AA58" s="90">
        <f t="shared" si="40"/>
        <v>58428</v>
      </c>
    </row>
    <row r="59" spans="2:28" x14ac:dyDescent="0.2">
      <c r="B59" s="76" t="s">
        <v>197</v>
      </c>
      <c r="C59" s="98">
        <f t="shared" ref="C59:F59" si="41">SUM(C56:C58)</f>
        <v>79711</v>
      </c>
      <c r="D59" s="98">
        <f t="shared" si="41"/>
        <v>93869</v>
      </c>
      <c r="E59" s="98">
        <f t="shared" si="41"/>
        <v>101912</v>
      </c>
      <c r="F59" s="98">
        <f t="shared" si="41"/>
        <v>126385</v>
      </c>
      <c r="G59" s="98">
        <f t="shared" ref="G59:V59" si="42">SUM(G56:G58)</f>
        <v>115404</v>
      </c>
      <c r="H59" s="98">
        <f t="shared" si="42"/>
        <v>117792</v>
      </c>
      <c r="I59" s="98">
        <f t="shared" si="42"/>
        <v>123994</v>
      </c>
      <c r="J59" s="98">
        <f t="shared" si="42"/>
        <v>142266</v>
      </c>
      <c r="K59" s="98">
        <f t="shared" si="42"/>
        <v>139508</v>
      </c>
      <c r="L59" s="98">
        <f t="shared" si="42"/>
        <v>140291</v>
      </c>
      <c r="M59" s="98">
        <f t="shared" si="42"/>
        <v>140363</v>
      </c>
      <c r="N59" s="98">
        <f t="shared" si="42"/>
        <v>155393</v>
      </c>
      <c r="O59" s="98">
        <f t="shared" si="42"/>
        <v>147570</v>
      </c>
      <c r="P59" s="98">
        <f t="shared" si="42"/>
        <v>148238</v>
      </c>
      <c r="Q59" s="98">
        <f t="shared" si="42"/>
        <v>145214</v>
      </c>
      <c r="R59" s="98">
        <f t="shared" si="42"/>
        <v>164917</v>
      </c>
      <c r="S59" s="98">
        <f t="shared" si="42"/>
        <v>152965</v>
      </c>
      <c r="T59" s="98">
        <f t="shared" si="42"/>
        <v>158172</v>
      </c>
      <c r="U59" s="98">
        <f t="shared" si="42"/>
        <v>161477</v>
      </c>
      <c r="V59" s="98">
        <f t="shared" si="42"/>
        <v>161477</v>
      </c>
      <c r="X59" s="100">
        <f>SUM(X56:X58)</f>
        <v>401877</v>
      </c>
      <c r="Y59" s="100">
        <f>SUM(Y56:Y58)</f>
        <v>499456</v>
      </c>
      <c r="Z59" s="100">
        <f>SUM(Z56:Z58)</f>
        <v>575555</v>
      </c>
      <c r="AA59" s="100">
        <f>SUM(AA56:AA58)</f>
        <v>605939</v>
      </c>
      <c r="AB59" s="118">
        <f>(AA59/X59)^(1/3)-1</f>
        <v>0.14668795707545756</v>
      </c>
    </row>
    <row r="60" spans="2:28" x14ac:dyDescent="0.2">
      <c r="X60" s="51"/>
      <c r="Y60" s="103"/>
      <c r="Z60" s="51"/>
      <c r="AA60" s="51"/>
    </row>
    <row r="61" spans="2:28" x14ac:dyDescent="0.2">
      <c r="B61" s="97" t="s">
        <v>198</v>
      </c>
      <c r="C61" s="11">
        <v>40300</v>
      </c>
      <c r="D61" s="11">
        <v>42798</v>
      </c>
      <c r="E61" s="11">
        <v>48589</v>
      </c>
      <c r="F61" s="11">
        <v>52573</v>
      </c>
      <c r="G61" s="11">
        <v>53067</v>
      </c>
      <c r="H61" s="11">
        <v>56297</v>
      </c>
      <c r="I61" s="11">
        <v>63848</v>
      </c>
      <c r="J61" s="11">
        <v>67651</v>
      </c>
      <c r="K61" s="11">
        <v>65731</v>
      </c>
      <c r="L61" s="11">
        <v>66524</v>
      </c>
      <c r="M61" s="11">
        <v>69332</v>
      </c>
      <c r="N61" s="11">
        <v>72968</v>
      </c>
      <c r="O61" s="11">
        <v>74267</v>
      </c>
      <c r="P61" s="11">
        <v>75822</v>
      </c>
      <c r="Q61" s="11">
        <v>75891</v>
      </c>
      <c r="R61" s="11">
        <v>77297</v>
      </c>
      <c r="S61" s="11">
        <v>77052</v>
      </c>
      <c r="T61" s="11">
        <v>78084</v>
      </c>
      <c r="U61" s="11">
        <v>79802</v>
      </c>
      <c r="V61" s="11">
        <v>79802</v>
      </c>
      <c r="X61" s="90">
        <f t="shared" ref="X61:X71" si="43">SUM(C61:F61)</f>
        <v>184260</v>
      </c>
      <c r="Y61" s="90">
        <f t="shared" ref="Y61:Y71" si="44">SUM(G61:J61)</f>
        <v>240863</v>
      </c>
      <c r="Z61" s="90">
        <f t="shared" ref="Z61:Z71" si="45">SUM(K61:N61)</f>
        <v>274555</v>
      </c>
      <c r="AA61" s="90">
        <f t="shared" ref="AA61:AA71" si="46">SUM(O61:R61)</f>
        <v>303277</v>
      </c>
    </row>
    <row r="62" spans="2:28" x14ac:dyDescent="0.2">
      <c r="B62" s="97" t="s">
        <v>199</v>
      </c>
      <c r="C62" s="11">
        <v>23437</v>
      </c>
      <c r="D62" s="11">
        <v>33128</v>
      </c>
      <c r="E62" s="11">
        <v>32929</v>
      </c>
      <c r="F62" s="11">
        <v>31816</v>
      </c>
      <c r="G62" s="11">
        <v>31868</v>
      </c>
      <c r="H62" s="11">
        <v>50279</v>
      </c>
      <c r="I62" s="11">
        <v>50055</v>
      </c>
      <c r="J62" s="11">
        <v>48744</v>
      </c>
      <c r="K62" s="11">
        <v>47556</v>
      </c>
      <c r="L62" s="11">
        <v>58053</v>
      </c>
      <c r="M62" s="11">
        <v>58919</v>
      </c>
      <c r="N62" s="11">
        <v>67150</v>
      </c>
      <c r="O62" s="11">
        <v>67084</v>
      </c>
      <c r="P62" s="11">
        <v>63092</v>
      </c>
      <c r="Q62" s="11">
        <v>61098</v>
      </c>
      <c r="R62" s="11">
        <v>58314</v>
      </c>
      <c r="S62" s="11">
        <v>57634</v>
      </c>
      <c r="T62" s="11">
        <v>54889</v>
      </c>
      <c r="U62" s="11">
        <v>54890</v>
      </c>
      <c r="V62" s="11">
        <v>54890</v>
      </c>
      <c r="X62" s="90">
        <f t="shared" si="43"/>
        <v>121310</v>
      </c>
      <c r="Y62" s="90">
        <f t="shared" si="44"/>
        <v>180946</v>
      </c>
      <c r="Z62" s="90">
        <f t="shared" si="45"/>
        <v>231678</v>
      </c>
      <c r="AA62" s="90">
        <f t="shared" si="46"/>
        <v>249588</v>
      </c>
    </row>
    <row r="63" spans="2:28" x14ac:dyDescent="0.2">
      <c r="B63" s="97" t="s">
        <v>200</v>
      </c>
      <c r="C63" s="11">
        <v>12518</v>
      </c>
      <c r="D63" s="11">
        <v>14764</v>
      </c>
      <c r="E63" s="11">
        <v>15974</v>
      </c>
      <c r="F63" s="11">
        <v>17017</v>
      </c>
      <c r="G63" s="11">
        <v>19418</v>
      </c>
      <c r="H63" s="11">
        <v>21148</v>
      </c>
      <c r="I63" s="11">
        <v>23945</v>
      </c>
      <c r="J63" s="11">
        <v>23643</v>
      </c>
      <c r="K63" s="11">
        <v>23971</v>
      </c>
      <c r="L63" s="11">
        <v>23458</v>
      </c>
      <c r="M63" s="11">
        <v>22259</v>
      </c>
      <c r="N63" s="11">
        <v>21121</v>
      </c>
      <c r="O63" s="11">
        <v>20931</v>
      </c>
      <c r="P63" s="11">
        <v>21853</v>
      </c>
      <c r="Q63" s="11">
        <v>21707</v>
      </c>
      <c r="R63" s="11">
        <v>24451</v>
      </c>
      <c r="S63" s="11">
        <v>26657</v>
      </c>
      <c r="T63" s="11">
        <v>27226</v>
      </c>
      <c r="U63" s="11">
        <v>29306</v>
      </c>
      <c r="V63" s="11">
        <v>29306</v>
      </c>
      <c r="X63" s="90">
        <f t="shared" si="43"/>
        <v>60273</v>
      </c>
      <c r="Y63" s="90">
        <f t="shared" si="44"/>
        <v>88154</v>
      </c>
      <c r="Z63" s="90">
        <f t="shared" si="45"/>
        <v>90809</v>
      </c>
      <c r="AA63" s="90">
        <f t="shared" si="46"/>
        <v>88942</v>
      </c>
    </row>
    <row r="64" spans="2:28" x14ac:dyDescent="0.2">
      <c r="B64" s="96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X64" s="90"/>
      <c r="Y64" s="90"/>
      <c r="Z64" s="90"/>
      <c r="AA64" s="90"/>
    </row>
    <row r="65" spans="2:29" x14ac:dyDescent="0.2">
      <c r="B65" s="76" t="s">
        <v>201</v>
      </c>
      <c r="X65" s="90"/>
      <c r="Y65" s="90"/>
      <c r="Z65" s="90"/>
      <c r="AA65" s="90"/>
    </row>
    <row r="66" spans="2:29" x14ac:dyDescent="0.2">
      <c r="B66" s="96" t="s">
        <v>202</v>
      </c>
      <c r="X66" s="90"/>
      <c r="Y66" s="90"/>
      <c r="Z66" s="90"/>
      <c r="AA66" s="90"/>
    </row>
    <row r="67" spans="2:29" x14ac:dyDescent="0.2">
      <c r="B67" s="13" t="s">
        <v>203</v>
      </c>
      <c r="C67" s="11">
        <v>5</v>
      </c>
      <c r="D67" s="11">
        <v>5</v>
      </c>
      <c r="E67" s="11">
        <v>5</v>
      </c>
      <c r="F67" s="11">
        <v>5</v>
      </c>
      <c r="G67" s="11">
        <v>5</v>
      </c>
      <c r="H67" s="11">
        <v>5</v>
      </c>
      <c r="I67" s="11">
        <v>5</v>
      </c>
      <c r="J67" s="11">
        <v>106</v>
      </c>
      <c r="K67" s="11">
        <v>5</v>
      </c>
      <c r="L67" s="11">
        <v>107</v>
      </c>
      <c r="M67" s="11">
        <v>107</v>
      </c>
      <c r="N67" s="11">
        <v>108</v>
      </c>
      <c r="O67" s="11">
        <v>108</v>
      </c>
      <c r="P67" s="11">
        <v>108</v>
      </c>
      <c r="Q67" s="11">
        <v>108</v>
      </c>
      <c r="R67" s="11">
        <v>109</v>
      </c>
      <c r="S67" s="11">
        <v>109</v>
      </c>
      <c r="T67" s="11">
        <v>110</v>
      </c>
      <c r="U67" s="11">
        <v>110</v>
      </c>
      <c r="V67" s="11">
        <v>110</v>
      </c>
      <c r="X67" s="90">
        <f t="shared" si="43"/>
        <v>20</v>
      </c>
      <c r="Y67" s="90">
        <f t="shared" si="44"/>
        <v>121</v>
      </c>
      <c r="Z67" s="90">
        <f t="shared" si="45"/>
        <v>327</v>
      </c>
      <c r="AA67" s="90">
        <f t="shared" si="46"/>
        <v>433</v>
      </c>
    </row>
    <row r="68" spans="2:29" x14ac:dyDescent="0.2">
      <c r="B68" s="13" t="s">
        <v>204</v>
      </c>
      <c r="C68" s="11">
        <v>-1837</v>
      </c>
      <c r="D68" s="11">
        <v>-1837</v>
      </c>
      <c r="E68" s="11">
        <v>-1837</v>
      </c>
      <c r="F68" s="11">
        <v>-1837</v>
      </c>
      <c r="G68" s="11">
        <v>-1837</v>
      </c>
      <c r="H68" s="11">
        <v>-1837</v>
      </c>
      <c r="I68" s="11">
        <v>-1837</v>
      </c>
      <c r="J68" s="11">
        <v>-1837</v>
      </c>
      <c r="K68" s="11">
        <v>-4503</v>
      </c>
      <c r="L68" s="11">
        <v>-7837</v>
      </c>
      <c r="M68" s="11">
        <v>-7837</v>
      </c>
      <c r="N68" s="11">
        <v>-7837</v>
      </c>
      <c r="O68" s="11">
        <v>-7837</v>
      </c>
      <c r="P68" s="11">
        <v>-7837</v>
      </c>
      <c r="Q68" s="11">
        <v>-7837</v>
      </c>
      <c r="R68" s="11">
        <v>-7837</v>
      </c>
      <c r="S68" s="11">
        <v>-7837</v>
      </c>
      <c r="T68" s="11">
        <v>-7837</v>
      </c>
      <c r="U68" s="11">
        <v>-7837</v>
      </c>
      <c r="V68" s="11">
        <v>-7837</v>
      </c>
      <c r="X68" s="90">
        <f t="shared" si="43"/>
        <v>-7348</v>
      </c>
      <c r="Y68" s="90">
        <f t="shared" si="44"/>
        <v>-7348</v>
      </c>
      <c r="Z68" s="90">
        <f t="shared" si="45"/>
        <v>-28014</v>
      </c>
      <c r="AA68" s="90">
        <f t="shared" si="46"/>
        <v>-31348</v>
      </c>
    </row>
    <row r="69" spans="2:29" x14ac:dyDescent="0.2">
      <c r="B69" s="13" t="s">
        <v>205</v>
      </c>
      <c r="C69" s="11">
        <v>35412</v>
      </c>
      <c r="D69" s="11">
        <v>38017</v>
      </c>
      <c r="E69" s="11">
        <v>40307</v>
      </c>
      <c r="F69" s="11">
        <v>42865</v>
      </c>
      <c r="G69" s="11">
        <v>45160</v>
      </c>
      <c r="H69" s="11">
        <v>48724</v>
      </c>
      <c r="I69" s="11">
        <v>51879</v>
      </c>
      <c r="J69" s="11">
        <v>55437</v>
      </c>
      <c r="K69" s="11">
        <v>58793</v>
      </c>
      <c r="L69" s="11">
        <v>63871</v>
      </c>
      <c r="M69" s="11">
        <v>69419</v>
      </c>
      <c r="N69" s="11">
        <v>75066</v>
      </c>
      <c r="O69" s="11">
        <v>79863</v>
      </c>
      <c r="P69" s="11">
        <v>86896</v>
      </c>
      <c r="Q69" s="11">
        <v>92711</v>
      </c>
      <c r="R69" s="11">
        <v>99025</v>
      </c>
      <c r="S69" s="11">
        <v>103938</v>
      </c>
      <c r="T69" s="11">
        <v>110633</v>
      </c>
      <c r="U69" s="11">
        <v>115934</v>
      </c>
      <c r="V69" s="11">
        <v>115934</v>
      </c>
      <c r="X69" s="90">
        <f t="shared" si="43"/>
        <v>156601</v>
      </c>
      <c r="Y69" s="90">
        <f t="shared" si="44"/>
        <v>201200</v>
      </c>
      <c r="Z69" s="90">
        <f t="shared" si="45"/>
        <v>267149</v>
      </c>
      <c r="AA69" s="90">
        <f t="shared" si="46"/>
        <v>358495</v>
      </c>
    </row>
    <row r="70" spans="2:29" x14ac:dyDescent="0.2">
      <c r="B70" s="13" t="s">
        <v>206</v>
      </c>
      <c r="C70" s="11">
        <v>-2063</v>
      </c>
      <c r="D70" s="11">
        <v>-1455</v>
      </c>
      <c r="E70" s="11">
        <v>-1029</v>
      </c>
      <c r="F70" s="11">
        <v>-180</v>
      </c>
      <c r="G70" s="11">
        <v>-666</v>
      </c>
      <c r="H70" s="11">
        <v>-525</v>
      </c>
      <c r="I70" s="11">
        <v>-1075</v>
      </c>
      <c r="J70" s="11">
        <v>-1376</v>
      </c>
      <c r="K70" s="11">
        <v>-2365</v>
      </c>
      <c r="L70" s="11">
        <v>-4782</v>
      </c>
      <c r="M70" s="11">
        <v>-7115</v>
      </c>
      <c r="N70" s="11">
        <v>-4487</v>
      </c>
      <c r="O70" s="11">
        <v>-3973</v>
      </c>
      <c r="P70" s="11">
        <v>-3680</v>
      </c>
      <c r="Q70" s="11">
        <v>-5003</v>
      </c>
      <c r="R70" s="11">
        <v>-3040</v>
      </c>
      <c r="S70" s="11">
        <v>-3598</v>
      </c>
      <c r="T70" s="11">
        <v>-3993</v>
      </c>
      <c r="U70" s="11">
        <v>-1918</v>
      </c>
      <c r="V70" s="11">
        <v>-1918</v>
      </c>
      <c r="X70" s="90">
        <f t="shared" si="43"/>
        <v>-4727</v>
      </c>
      <c r="Y70" s="90">
        <f t="shared" si="44"/>
        <v>-3642</v>
      </c>
      <c r="Z70" s="90">
        <f t="shared" si="45"/>
        <v>-18749</v>
      </c>
      <c r="AA70" s="90">
        <f t="shared" si="46"/>
        <v>-15696</v>
      </c>
    </row>
    <row r="71" spans="2:29" x14ac:dyDescent="0.2">
      <c r="B71" s="13" t="s">
        <v>207</v>
      </c>
      <c r="C71" s="11">
        <v>33755</v>
      </c>
      <c r="D71" s="11">
        <v>38998</v>
      </c>
      <c r="E71" s="11">
        <v>45329</v>
      </c>
      <c r="F71" s="11">
        <v>52551</v>
      </c>
      <c r="G71" s="11">
        <v>60658</v>
      </c>
      <c r="H71" s="11">
        <v>68436</v>
      </c>
      <c r="I71" s="11">
        <v>71592</v>
      </c>
      <c r="J71" s="11">
        <v>85915</v>
      </c>
      <c r="K71" s="11">
        <v>82071</v>
      </c>
      <c r="L71" s="11">
        <v>80043</v>
      </c>
      <c r="M71" s="11">
        <v>82915</v>
      </c>
      <c r="N71" s="11">
        <v>83193</v>
      </c>
      <c r="O71" s="11">
        <v>86365</v>
      </c>
      <c r="P71" s="11">
        <v>93115</v>
      </c>
      <c r="Q71" s="11">
        <v>102994</v>
      </c>
      <c r="R71" s="11">
        <v>113618</v>
      </c>
      <c r="S71" s="11">
        <v>124049</v>
      </c>
      <c r="T71" s="11">
        <v>137534</v>
      </c>
      <c r="U71" s="11">
        <v>152862</v>
      </c>
      <c r="V71" s="11">
        <v>152862</v>
      </c>
      <c r="X71" s="90">
        <f t="shared" si="43"/>
        <v>170633</v>
      </c>
      <c r="Y71" s="90">
        <f t="shared" si="44"/>
        <v>286601</v>
      </c>
      <c r="Z71" s="90">
        <f t="shared" si="45"/>
        <v>328222</v>
      </c>
      <c r="AA71" s="90">
        <f t="shared" si="46"/>
        <v>396092</v>
      </c>
    </row>
    <row r="72" spans="2:29" x14ac:dyDescent="0.2">
      <c r="B72" s="29" t="s">
        <v>208</v>
      </c>
      <c r="C72" s="98">
        <f t="shared" ref="C72:F72" si="47">SUM(C67:C71)</f>
        <v>65272</v>
      </c>
      <c r="D72" s="98">
        <f t="shared" si="47"/>
        <v>73728</v>
      </c>
      <c r="E72" s="98">
        <f t="shared" si="47"/>
        <v>82775</v>
      </c>
      <c r="F72" s="98">
        <f t="shared" si="47"/>
        <v>93404</v>
      </c>
      <c r="G72" s="98">
        <f t="shared" ref="G72:V72" si="48">SUM(G67:G71)</f>
        <v>103320</v>
      </c>
      <c r="H72" s="98">
        <f t="shared" si="48"/>
        <v>114803</v>
      </c>
      <c r="I72" s="98">
        <f t="shared" si="48"/>
        <v>120564</v>
      </c>
      <c r="J72" s="98">
        <f t="shared" si="48"/>
        <v>138245</v>
      </c>
      <c r="K72" s="98">
        <f t="shared" si="48"/>
        <v>134001</v>
      </c>
      <c r="L72" s="98">
        <f t="shared" si="48"/>
        <v>131402</v>
      </c>
      <c r="M72" s="98">
        <f t="shared" si="48"/>
        <v>137489</v>
      </c>
      <c r="N72" s="98">
        <f t="shared" si="48"/>
        <v>146043</v>
      </c>
      <c r="O72" s="98">
        <f t="shared" si="48"/>
        <v>154526</v>
      </c>
      <c r="P72" s="98">
        <f t="shared" si="48"/>
        <v>168602</v>
      </c>
      <c r="Q72" s="98">
        <f t="shared" si="48"/>
        <v>182973</v>
      </c>
      <c r="R72" s="98">
        <f t="shared" si="48"/>
        <v>201875</v>
      </c>
      <c r="S72" s="98">
        <f t="shared" si="48"/>
        <v>216661</v>
      </c>
      <c r="T72" s="98">
        <f t="shared" si="48"/>
        <v>236447</v>
      </c>
      <c r="U72" s="98">
        <f t="shared" si="48"/>
        <v>259151</v>
      </c>
      <c r="V72" s="98">
        <f t="shared" si="48"/>
        <v>259151</v>
      </c>
      <c r="X72" s="100">
        <f>SUM(X67:X71)</f>
        <v>315179</v>
      </c>
      <c r="Y72" s="100">
        <f>SUM(Y67:Y71)</f>
        <v>476932</v>
      </c>
      <c r="Z72" s="100">
        <f>SUM(Z67:Z71)</f>
        <v>548935</v>
      </c>
      <c r="AA72" s="100">
        <f>SUM(AA67:AA71)</f>
        <v>707976</v>
      </c>
    </row>
    <row r="73" spans="2:29" x14ac:dyDescent="0.2">
      <c r="X73" s="51"/>
      <c r="Y73" s="51"/>
      <c r="Z73" s="51"/>
      <c r="AA73" s="51"/>
    </row>
    <row r="74" spans="2:29" ht="17" thickBot="1" x14ac:dyDescent="0.25">
      <c r="B74" s="76" t="s">
        <v>209</v>
      </c>
      <c r="C74" s="99">
        <f t="shared" ref="C74:F74" si="49">C72+SUM(C61:C63)+C59</f>
        <v>221238</v>
      </c>
      <c r="D74" s="99">
        <f t="shared" si="49"/>
        <v>258287</v>
      </c>
      <c r="E74" s="99">
        <f t="shared" si="49"/>
        <v>282179</v>
      </c>
      <c r="F74" s="99">
        <f t="shared" si="49"/>
        <v>321195</v>
      </c>
      <c r="G74" s="99">
        <f t="shared" ref="G74:Q74" si="50">G72+SUM(G61:G63)+G59</f>
        <v>323077</v>
      </c>
      <c r="H74" s="99">
        <f t="shared" si="50"/>
        <v>360319</v>
      </c>
      <c r="I74" s="99">
        <f t="shared" si="50"/>
        <v>382406</v>
      </c>
      <c r="J74" s="99">
        <f t="shared" si="50"/>
        <v>420549</v>
      </c>
      <c r="K74" s="99">
        <f t="shared" si="50"/>
        <v>410767</v>
      </c>
      <c r="L74" s="99">
        <f t="shared" si="50"/>
        <v>419728</v>
      </c>
      <c r="M74" s="99">
        <f t="shared" si="50"/>
        <v>428362</v>
      </c>
      <c r="N74" s="99">
        <f t="shared" si="50"/>
        <v>462675</v>
      </c>
      <c r="O74" s="99">
        <f t="shared" si="50"/>
        <v>464378</v>
      </c>
      <c r="P74" s="99">
        <f t="shared" si="50"/>
        <v>477607</v>
      </c>
      <c r="Q74" s="99">
        <f t="shared" si="50"/>
        <v>486883</v>
      </c>
      <c r="R74" s="99">
        <f>R72+SUM(R61:R63)+R59+1000</f>
        <v>527854</v>
      </c>
      <c r="S74" s="99">
        <f>S72+SUM(S61:S63)+S59</f>
        <v>530969</v>
      </c>
      <c r="T74" s="99">
        <f>T72+SUM(T61:T63)+T59</f>
        <v>554818</v>
      </c>
      <c r="U74" s="99">
        <f>U72+SUM(U61:U63)+U59</f>
        <v>584626</v>
      </c>
      <c r="V74" s="99">
        <f>V72+SUM(V61:V63)+V59</f>
        <v>584626</v>
      </c>
      <c r="X74" s="102">
        <f>X72+SUM(X61:X63)+X59</f>
        <v>1082899</v>
      </c>
      <c r="Y74" s="102">
        <f>Y72+SUM(Y61:Y63)+Y59</f>
        <v>1486351</v>
      </c>
      <c r="Z74" s="102">
        <f>Z72+SUM(Z61:Z63)+Z59</f>
        <v>1721532</v>
      </c>
      <c r="AA74" s="102">
        <f>AA72+SUM(AA61:AA63)+AA59</f>
        <v>1955722</v>
      </c>
    </row>
    <row r="75" spans="2:29" ht="17" thickTop="1" x14ac:dyDescent="0.2"/>
    <row r="76" spans="2:29" x14ac:dyDescent="0.2">
      <c r="B76" s="26" t="s">
        <v>210</v>
      </c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</row>
    <row r="77" spans="2:29" x14ac:dyDescent="0.2">
      <c r="B77" s="29" t="s">
        <v>219</v>
      </c>
    </row>
    <row r="78" spans="2:29" x14ac:dyDescent="0.2">
      <c r="B78" s="13" t="s">
        <v>211</v>
      </c>
      <c r="X78" s="11">
        <v>197346</v>
      </c>
      <c r="Y78" s="11">
        <v>222075</v>
      </c>
      <c r="Z78" s="11">
        <v>220004</v>
      </c>
      <c r="AA78" s="11">
        <v>231872</v>
      </c>
    </row>
    <row r="79" spans="2:29" x14ac:dyDescent="0.2">
      <c r="B79" s="104" t="s">
        <v>220</v>
      </c>
      <c r="X79" s="15">
        <f>X78/$X$9</f>
        <v>0.51117431306726346</v>
      </c>
      <c r="Y79" s="15">
        <f>Y78/$Y$9</f>
        <v>0.47267901460553147</v>
      </c>
      <c r="Z79" s="15">
        <f>Z78/$Z$9</f>
        <v>0.42803750318590306</v>
      </c>
      <c r="AA79" s="15">
        <f>AA78/$AA$9</f>
        <v>0.40340649112276766</v>
      </c>
    </row>
    <row r="80" spans="2:29" x14ac:dyDescent="0.2">
      <c r="B80" s="13" t="s">
        <v>212</v>
      </c>
      <c r="X80" s="11">
        <v>16227</v>
      </c>
      <c r="Y80" s="11">
        <v>17075</v>
      </c>
      <c r="Z80" s="11">
        <v>18963</v>
      </c>
      <c r="AA80" s="11">
        <v>20030</v>
      </c>
    </row>
    <row r="81" spans="2:27" x14ac:dyDescent="0.2">
      <c r="B81" s="104" t="s">
        <v>220</v>
      </c>
      <c r="X81" s="15">
        <f>X80/$X$9</f>
        <v>4.2031891085415891E-2</v>
      </c>
      <c r="Y81" s="15">
        <f>Y80/$Y$9</f>
        <v>3.6343551387546774E-2</v>
      </c>
      <c r="Z81" s="15">
        <f>Z80/$Z$9</f>
        <v>3.68942163456768E-2</v>
      </c>
      <c r="AA81" s="15">
        <f>AA80/$AA$9</f>
        <v>3.4847812660386057E-2</v>
      </c>
    </row>
    <row r="82" spans="2:27" x14ac:dyDescent="0.2">
      <c r="B82" s="13" t="s">
        <v>213</v>
      </c>
      <c r="X82" s="11">
        <v>80461</v>
      </c>
      <c r="Y82" s="11">
        <v>103366</v>
      </c>
      <c r="Z82" s="11">
        <v>117716</v>
      </c>
      <c r="AA82" s="11">
        <v>140053</v>
      </c>
    </row>
    <row r="83" spans="2:27" x14ac:dyDescent="0.2">
      <c r="B83" s="104" t="s">
        <v>220</v>
      </c>
      <c r="X83" s="15">
        <f>X82/$X$9</f>
        <v>0.20841363090057607</v>
      </c>
      <c r="Y83" s="15">
        <f>Y82/$Y$9</f>
        <v>0.22001098288287904</v>
      </c>
      <c r="Z83" s="15">
        <f>Z82/$Z$9</f>
        <v>0.22902703007687025</v>
      </c>
      <c r="AA83" s="15">
        <f>AA82/$AA$9</f>
        <v>0.24366154301173482</v>
      </c>
    </row>
    <row r="84" spans="2:27" x14ac:dyDescent="0.2">
      <c r="B84" s="13" t="s">
        <v>214</v>
      </c>
      <c r="X84" s="11">
        <v>25207</v>
      </c>
      <c r="Y84" s="11">
        <v>31160</v>
      </c>
      <c r="Z84" s="11">
        <v>37739</v>
      </c>
      <c r="AA84" s="11">
        <v>46906</v>
      </c>
    </row>
    <row r="85" spans="2:27" x14ac:dyDescent="0.2">
      <c r="B85" s="104" t="s">
        <v>220</v>
      </c>
      <c r="X85" s="15">
        <f>X84/$X$9</f>
        <v>6.5292283144763569E-2</v>
      </c>
      <c r="Y85" s="15">
        <f>Y84/$Y$9</f>
        <v>6.632299040913367E-2</v>
      </c>
      <c r="Z85" s="15">
        <f>Z84/$Z$9</f>
        <v>7.3424607428650368E-2</v>
      </c>
      <c r="AA85" s="15">
        <f>AA84/$AA$9</f>
        <v>8.1606165783727827E-2</v>
      </c>
    </row>
    <row r="86" spans="2:27" x14ac:dyDescent="0.2">
      <c r="B86" s="13" t="s">
        <v>215</v>
      </c>
      <c r="X86" s="11">
        <v>19773</v>
      </c>
      <c r="Y86" s="11">
        <v>31768</v>
      </c>
      <c r="Z86" s="11">
        <v>35218</v>
      </c>
      <c r="AA86" s="11">
        <v>40209</v>
      </c>
    </row>
    <row r="87" spans="2:27" x14ac:dyDescent="0.2">
      <c r="B87" s="104" t="s">
        <v>220</v>
      </c>
      <c r="X87" s="15">
        <f>X86/$X$9</f>
        <v>5.1216896680343155E-2</v>
      </c>
      <c r="Y87" s="15">
        <f>Y86/$Y$9</f>
        <v>6.7617097539067986E-2</v>
      </c>
      <c r="Z87" s="15">
        <f>Z86/$Z$9</f>
        <v>6.8519775945897046E-2</v>
      </c>
      <c r="AA87" s="15">
        <f>AA86/$AA$9</f>
        <v>6.9954852684047081E-2</v>
      </c>
    </row>
    <row r="88" spans="2:27" x14ac:dyDescent="0.2">
      <c r="B88" s="13" t="s">
        <v>216</v>
      </c>
      <c r="X88" s="11">
        <v>45370</v>
      </c>
      <c r="Y88" s="11">
        <v>62202</v>
      </c>
      <c r="Z88" s="11">
        <v>80096</v>
      </c>
      <c r="AA88" s="11">
        <v>90757</v>
      </c>
    </row>
    <row r="89" spans="2:27" x14ac:dyDescent="0.2">
      <c r="B89" s="104" t="s">
        <v>220</v>
      </c>
      <c r="X89" s="15">
        <f>X88/$X$9</f>
        <v>0.11751937502590244</v>
      </c>
      <c r="Y89" s="15">
        <f>Y88/$Y$9</f>
        <v>0.13239482186870771</v>
      </c>
      <c r="Z89" s="15">
        <f>Z88/$Z$9</f>
        <v>0.15583394781539467</v>
      </c>
      <c r="AA89" s="15">
        <f>AA88/$AA$9</f>
        <v>0.15789730072983812</v>
      </c>
    </row>
    <row r="90" spans="2:27" x14ac:dyDescent="0.2">
      <c r="B90" s="13" t="s">
        <v>217</v>
      </c>
      <c r="X90" s="11">
        <v>1680</v>
      </c>
      <c r="Y90" s="11">
        <v>2176</v>
      </c>
      <c r="Z90" s="11">
        <v>4247</v>
      </c>
      <c r="AA90" s="11">
        <v>4958</v>
      </c>
    </row>
    <row r="91" spans="2:27" x14ac:dyDescent="0.2">
      <c r="B91" s="13"/>
      <c r="X91" s="16">
        <f>X90/$X$9</f>
        <v>4.3516100957354219E-3</v>
      </c>
      <c r="Y91" s="16">
        <f>Y90/$Y$9</f>
        <v>4.6315413071333399E-3</v>
      </c>
      <c r="Z91" s="15">
        <f>Z90/$Z$9</f>
        <v>8.2629192016078351E-3</v>
      </c>
      <c r="AA91" s="15">
        <f>AA90/$AA$9</f>
        <v>8.6258340074984556E-3</v>
      </c>
    </row>
    <row r="92" spans="2:27" ht="17" thickBot="1" x14ac:dyDescent="0.25">
      <c r="B92" s="29" t="s">
        <v>218</v>
      </c>
      <c r="X92" s="95">
        <f>SUM(X78:X90)</f>
        <v>386064.99564838992</v>
      </c>
      <c r="Y92" s="95">
        <f>SUM(Y78:Y90)</f>
        <v>469822.99536845868</v>
      </c>
      <c r="Z92" s="95">
        <f>SUM(Z78:Z90)</f>
        <v>513983.9917370808</v>
      </c>
      <c r="AA92" s="95">
        <f>SUM(AA78:AA90)</f>
        <v>574785.99137416598</v>
      </c>
    </row>
    <row r="93" spans="2:27" ht="17" thickTop="1" x14ac:dyDescent="0.2"/>
    <row r="97" spans="23:23" x14ac:dyDescent="0.2">
      <c r="W97" s="1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5261-D599-304B-9766-CA93824E36F1}">
  <dimension ref="B3:N38"/>
  <sheetViews>
    <sheetView showGridLines="0" topLeftCell="A3" workbookViewId="0">
      <selection activeCell="G27" sqref="G27"/>
    </sheetView>
  </sheetViews>
  <sheetFormatPr baseColWidth="10" defaultRowHeight="16" x14ac:dyDescent="0.2"/>
  <cols>
    <col min="8" max="8" width="2.6640625" customWidth="1"/>
    <col min="10" max="10" width="11.1640625" bestFit="1" customWidth="1"/>
  </cols>
  <sheetData>
    <row r="3" spans="2:14" ht="47" x14ac:dyDescent="0.55000000000000004">
      <c r="B3" s="25" t="s">
        <v>229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2:14" ht="37" x14ac:dyDescent="0.45">
      <c r="B4" s="57" t="s">
        <v>124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2:14" ht="24" x14ac:dyDescent="0.3">
      <c r="B5" s="28" t="s">
        <v>61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7" spans="2:14" x14ac:dyDescent="0.2">
      <c r="E7" s="143" t="s">
        <v>65</v>
      </c>
      <c r="F7" s="143"/>
      <c r="G7" s="143"/>
      <c r="I7" s="59"/>
      <c r="J7" s="143" t="s">
        <v>83</v>
      </c>
      <c r="K7" s="143"/>
      <c r="L7" s="143"/>
      <c r="M7" s="143"/>
      <c r="N7" s="143"/>
    </row>
    <row r="8" spans="2:14" x14ac:dyDescent="0.2">
      <c r="E8" s="30">
        <v>2020</v>
      </c>
      <c r="F8" s="30">
        <v>2021</v>
      </c>
      <c r="G8" s="30">
        <v>2022</v>
      </c>
      <c r="H8" s="31"/>
      <c r="I8" s="60">
        <v>2023</v>
      </c>
      <c r="J8" s="30">
        <v>2024</v>
      </c>
      <c r="K8" s="30">
        <v>2025</v>
      </c>
      <c r="L8" s="30">
        <v>2026</v>
      </c>
      <c r="M8" s="30">
        <v>2027</v>
      </c>
      <c r="N8" s="30">
        <v>2028</v>
      </c>
    </row>
    <row r="9" spans="2:14" x14ac:dyDescent="0.2">
      <c r="B9" t="s">
        <v>66</v>
      </c>
      <c r="E9" s="22">
        <v>386064</v>
      </c>
      <c r="F9" s="90">
        <v>469822</v>
      </c>
      <c r="G9" s="90">
        <v>513983</v>
      </c>
      <c r="H9" s="90"/>
      <c r="I9" s="91">
        <v>574785</v>
      </c>
      <c r="J9" s="90">
        <f>I9*1.06</f>
        <v>609272.1</v>
      </c>
      <c r="K9" s="90">
        <f t="shared" ref="K9:N9" si="0">J9*1.06</f>
        <v>645828.42599999998</v>
      </c>
      <c r="L9" s="90">
        <f t="shared" si="0"/>
        <v>684578.13156000001</v>
      </c>
      <c r="M9" s="90">
        <f t="shared" si="0"/>
        <v>725652.8194536001</v>
      </c>
      <c r="N9" s="90">
        <f t="shared" si="0"/>
        <v>769191.98862081615</v>
      </c>
    </row>
    <row r="10" spans="2:14" x14ac:dyDescent="0.2">
      <c r="B10" t="s">
        <v>125</v>
      </c>
      <c r="E10" s="90">
        <v>233307</v>
      </c>
      <c r="F10" s="90">
        <v>272344</v>
      </c>
      <c r="G10" s="90">
        <v>288831</v>
      </c>
      <c r="H10" s="51"/>
      <c r="I10" s="91">
        <v>304739</v>
      </c>
      <c r="J10" s="90">
        <f>J9*0.57</f>
        <v>347285.09699999995</v>
      </c>
      <c r="K10" s="90">
        <f t="shared" ref="K10:N10" si="1">K9*0.57</f>
        <v>368122.20281999995</v>
      </c>
      <c r="L10" s="90">
        <f t="shared" si="1"/>
        <v>390209.53498919995</v>
      </c>
      <c r="M10" s="90">
        <f t="shared" si="1"/>
        <v>413622.10708855203</v>
      </c>
      <c r="N10" s="90">
        <f t="shared" si="1"/>
        <v>438439.43351386517</v>
      </c>
    </row>
    <row r="11" spans="2:14" x14ac:dyDescent="0.2">
      <c r="E11" s="51"/>
      <c r="F11" s="51"/>
      <c r="G11" s="51"/>
      <c r="H11" s="51"/>
      <c r="I11" s="68"/>
      <c r="J11" s="51"/>
      <c r="K11" s="51"/>
      <c r="L11" s="51"/>
      <c r="M11" s="51"/>
      <c r="N11" s="51"/>
    </row>
    <row r="12" spans="2:14" x14ac:dyDescent="0.2">
      <c r="B12" s="58" t="s">
        <v>116</v>
      </c>
      <c r="C12" s="31"/>
      <c r="D12" s="31"/>
      <c r="E12" s="52"/>
      <c r="F12" s="52"/>
      <c r="G12" s="52"/>
      <c r="H12" s="52"/>
      <c r="I12" s="69"/>
      <c r="J12" s="52"/>
      <c r="K12" s="52"/>
      <c r="L12" s="52"/>
      <c r="M12" s="52"/>
      <c r="N12" s="52"/>
    </row>
    <row r="13" spans="2:14" x14ac:dyDescent="0.2">
      <c r="B13" t="s">
        <v>117</v>
      </c>
      <c r="E13" s="90">
        <v>83128</v>
      </c>
      <c r="F13" s="90">
        <v>112625</v>
      </c>
      <c r="G13" s="90">
        <v>145822</v>
      </c>
      <c r="H13" s="51"/>
      <c r="I13" s="91">
        <v>173244</v>
      </c>
      <c r="J13" s="51"/>
      <c r="K13" s="51"/>
      <c r="L13" s="51"/>
      <c r="M13" s="51"/>
      <c r="N13" s="51"/>
    </row>
    <row r="14" spans="2:14" x14ac:dyDescent="0.2">
      <c r="B14" t="s">
        <v>126</v>
      </c>
      <c r="E14" s="90">
        <v>85986</v>
      </c>
      <c r="F14" s="90">
        <v>111541</v>
      </c>
      <c r="G14" s="90">
        <v>144192</v>
      </c>
      <c r="H14" s="51"/>
      <c r="I14" s="91">
        <v>139481</v>
      </c>
      <c r="J14" s="51"/>
      <c r="K14" s="51"/>
      <c r="L14" s="51"/>
      <c r="M14" s="51"/>
      <c r="N14" s="51"/>
    </row>
    <row r="15" spans="2:14" x14ac:dyDescent="0.2">
      <c r="B15" t="s">
        <v>127</v>
      </c>
      <c r="E15" s="52"/>
      <c r="F15" s="52"/>
      <c r="G15" s="52"/>
      <c r="H15" s="52"/>
      <c r="I15" s="69"/>
      <c r="J15" s="52"/>
      <c r="K15" s="52"/>
      <c r="L15" s="52"/>
      <c r="M15" s="52"/>
      <c r="N15" s="52"/>
    </row>
    <row r="16" spans="2:14" x14ac:dyDescent="0.2">
      <c r="B16" s="32" t="s">
        <v>128</v>
      </c>
      <c r="E16" s="93">
        <v>132733</v>
      </c>
      <c r="F16" s="93">
        <v>161580</v>
      </c>
      <c r="G16" s="93">
        <v>146791</v>
      </c>
      <c r="H16" s="105"/>
      <c r="I16" s="106">
        <v>172351</v>
      </c>
      <c r="J16" s="93">
        <f>I16*1.1</f>
        <v>189586.1</v>
      </c>
      <c r="K16" s="93">
        <f t="shared" ref="K16:N16" si="2">J16*1.1</f>
        <v>208544.71000000002</v>
      </c>
      <c r="L16" s="93">
        <f t="shared" si="2"/>
        <v>229399.18100000004</v>
      </c>
      <c r="M16" s="93">
        <f t="shared" si="2"/>
        <v>252339.09910000008</v>
      </c>
      <c r="N16" s="93">
        <f t="shared" si="2"/>
        <v>277573.0090100001</v>
      </c>
    </row>
    <row r="17" spans="2:14" x14ac:dyDescent="0.2">
      <c r="E17" s="51"/>
      <c r="F17" s="51"/>
      <c r="G17" s="51"/>
      <c r="H17" s="51"/>
      <c r="I17" s="68"/>
      <c r="J17" s="51"/>
      <c r="K17" s="51"/>
      <c r="L17" s="51"/>
      <c r="M17" s="51"/>
      <c r="N17" s="51"/>
    </row>
    <row r="18" spans="2:14" x14ac:dyDescent="0.2">
      <c r="B18" s="58" t="s">
        <v>129</v>
      </c>
      <c r="C18" s="31"/>
      <c r="D18" s="31"/>
      <c r="E18" s="52"/>
      <c r="F18" s="52"/>
      <c r="G18" s="52"/>
      <c r="H18" s="52"/>
      <c r="I18" s="69"/>
      <c r="J18" s="52"/>
      <c r="K18" s="52"/>
      <c r="L18" s="52"/>
      <c r="M18" s="52"/>
      <c r="N18" s="52"/>
    </row>
    <row r="19" spans="2:14" x14ac:dyDescent="0.2">
      <c r="B19" t="s">
        <v>130</v>
      </c>
      <c r="E19" s="90">
        <v>221965</v>
      </c>
      <c r="F19" s="90">
        <v>280154</v>
      </c>
      <c r="G19" s="90">
        <v>287126</v>
      </c>
      <c r="H19" s="51"/>
      <c r="I19" s="91">
        <v>293373</v>
      </c>
      <c r="J19" s="51"/>
      <c r="K19" s="51"/>
      <c r="L19" s="51"/>
      <c r="M19" s="51"/>
      <c r="N19" s="51"/>
    </row>
    <row r="20" spans="2:14" x14ac:dyDescent="0.2">
      <c r="B20" t="s">
        <v>131</v>
      </c>
      <c r="E20" s="90">
        <v>143092</v>
      </c>
      <c r="F20" s="90">
        <v>175267</v>
      </c>
      <c r="G20" s="90">
        <v>236935</v>
      </c>
      <c r="H20" s="51"/>
      <c r="I20" s="91">
        <v>254138</v>
      </c>
      <c r="J20" s="51"/>
      <c r="K20" s="51"/>
      <c r="L20" s="51"/>
      <c r="M20" s="51"/>
      <c r="N20" s="51"/>
    </row>
    <row r="21" spans="2:14" x14ac:dyDescent="0.2">
      <c r="B21" t="s">
        <v>121</v>
      </c>
      <c r="E21" s="107">
        <v>36820</v>
      </c>
      <c r="F21" s="107">
        <v>44035</v>
      </c>
      <c r="G21" s="107">
        <v>51494</v>
      </c>
      <c r="H21" s="52"/>
      <c r="I21" s="69"/>
      <c r="J21" s="52"/>
      <c r="K21" s="52"/>
      <c r="L21" s="52"/>
      <c r="M21" s="52"/>
      <c r="N21" s="52"/>
    </row>
    <row r="22" spans="2:14" x14ac:dyDescent="0.2">
      <c r="B22" s="32" t="s">
        <v>132</v>
      </c>
      <c r="E22" s="93">
        <v>126385</v>
      </c>
      <c r="F22" s="93">
        <v>142266</v>
      </c>
      <c r="G22" s="93">
        <v>155393</v>
      </c>
      <c r="H22" s="105"/>
      <c r="I22" s="106">
        <v>164917</v>
      </c>
      <c r="J22" s="93">
        <f>I22*1.15</f>
        <v>189654.55</v>
      </c>
      <c r="K22" s="93">
        <f t="shared" ref="K22:N22" si="3">J22*1.15</f>
        <v>218102.73249999998</v>
      </c>
      <c r="L22" s="93">
        <f t="shared" si="3"/>
        <v>250818.14237499997</v>
      </c>
      <c r="M22" s="93">
        <f t="shared" si="3"/>
        <v>288440.86373124993</v>
      </c>
      <c r="N22" s="93">
        <f t="shared" si="3"/>
        <v>331706.99329093739</v>
      </c>
    </row>
    <row r="23" spans="2:14" x14ac:dyDescent="0.2">
      <c r="E23" s="52"/>
      <c r="F23" s="52"/>
      <c r="G23" s="52"/>
      <c r="H23" s="52"/>
      <c r="I23" s="69"/>
      <c r="J23" s="52"/>
      <c r="K23" s="52"/>
      <c r="L23" s="52"/>
      <c r="M23" s="52"/>
      <c r="N23" s="52"/>
    </row>
    <row r="24" spans="2:14" x14ac:dyDescent="0.2">
      <c r="B24" s="13" t="s">
        <v>133</v>
      </c>
      <c r="E24" s="90">
        <f>E16-E22</f>
        <v>6348</v>
      </c>
      <c r="F24" s="90">
        <f t="shared" ref="F24:N24" si="4">F16-F22</f>
        <v>19314</v>
      </c>
      <c r="G24" s="90">
        <f t="shared" si="4"/>
        <v>-8602</v>
      </c>
      <c r="H24" s="90"/>
      <c r="I24" s="116">
        <f t="shared" si="4"/>
        <v>7434</v>
      </c>
      <c r="J24" s="90">
        <f t="shared" si="4"/>
        <v>-68.449999999982538</v>
      </c>
      <c r="K24" s="90">
        <f t="shared" si="4"/>
        <v>-9558.0224999999627</v>
      </c>
      <c r="L24" s="90">
        <f t="shared" si="4"/>
        <v>-21418.961374999926</v>
      </c>
      <c r="M24" s="90">
        <f t="shared" si="4"/>
        <v>-36101.764631249855</v>
      </c>
      <c r="N24" s="90">
        <f t="shared" si="4"/>
        <v>-54133.984280937293</v>
      </c>
    </row>
    <row r="25" spans="2:14" x14ac:dyDescent="0.2">
      <c r="B25" s="13" t="s">
        <v>118</v>
      </c>
      <c r="E25" s="92">
        <f>E24/E9</f>
        <v>1.6442869576028845E-2</v>
      </c>
      <c r="F25" s="92">
        <f t="shared" ref="F25:I25" si="5">F24/F9</f>
        <v>4.1109186032156859E-2</v>
      </c>
      <c r="G25" s="92">
        <f t="shared" si="5"/>
        <v>-1.6735962084349094E-2</v>
      </c>
      <c r="H25" s="92"/>
      <c r="I25" s="117">
        <f t="shared" si="5"/>
        <v>1.2933531668362953E-2</v>
      </c>
      <c r="J25" s="92">
        <f t="shared" ref="J25" si="6">J24/J9</f>
        <v>-1.1234717624519905E-4</v>
      </c>
      <c r="K25" s="92">
        <f t="shared" ref="K25" si="7">K24/K9</f>
        <v>-1.4799631163958651E-2</v>
      </c>
      <c r="L25" s="92">
        <f t="shared" ref="L25" si="8">L24/L9</f>
        <v>-3.1287825870497672E-2</v>
      </c>
      <c r="M25" s="92">
        <f t="shared" ref="M25" si="9">M24/M9</f>
        <v>-4.975073983510965E-2</v>
      </c>
      <c r="N25" s="92">
        <f t="shared" ref="N25" si="10">N24/N9</f>
        <v>-7.0377727643785165E-2</v>
      </c>
    </row>
    <row r="26" spans="2:14" x14ac:dyDescent="0.2">
      <c r="E26" s="51"/>
      <c r="F26" s="51"/>
      <c r="G26" s="51"/>
      <c r="H26" s="51"/>
      <c r="I26" s="68"/>
      <c r="J26" s="51"/>
      <c r="K26" s="51"/>
      <c r="L26" s="51"/>
      <c r="M26" s="51"/>
      <c r="N26" s="51"/>
    </row>
    <row r="27" spans="2:14" x14ac:dyDescent="0.2">
      <c r="B27" s="36" t="s">
        <v>134</v>
      </c>
      <c r="C27" s="37"/>
      <c r="D27" s="37"/>
      <c r="E27" s="113" t="s">
        <v>223</v>
      </c>
      <c r="F27" s="110">
        <f>F24-E24</f>
        <v>12966</v>
      </c>
      <c r="G27" s="111">
        <f>G24-F24</f>
        <v>-27916</v>
      </c>
      <c r="H27" s="53"/>
      <c r="I27" s="110">
        <f>I24-G24</f>
        <v>16036</v>
      </c>
      <c r="J27" s="111">
        <f t="shared" ref="J27:N27" si="11">J24-I24</f>
        <v>-7502.4499999999825</v>
      </c>
      <c r="K27" s="111">
        <f t="shared" si="11"/>
        <v>-9489.5724999999802</v>
      </c>
      <c r="L27" s="111">
        <f t="shared" si="11"/>
        <v>-11860.938874999963</v>
      </c>
      <c r="M27" s="111">
        <f t="shared" si="11"/>
        <v>-14682.803256249928</v>
      </c>
      <c r="N27" s="111">
        <f t="shared" si="11"/>
        <v>-18032.219649687439</v>
      </c>
    </row>
    <row r="28" spans="2:14" x14ac:dyDescent="0.2"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 spans="2:14" x14ac:dyDescent="0.2">
      <c r="B29" s="67" t="s">
        <v>38</v>
      </c>
      <c r="E29" s="51"/>
      <c r="F29" s="51"/>
      <c r="G29" s="51"/>
      <c r="H29" s="51"/>
      <c r="I29" s="51"/>
      <c r="J29" s="51"/>
      <c r="K29" s="51"/>
      <c r="L29" s="51"/>
      <c r="M29" s="51"/>
      <c r="N29" s="51"/>
    </row>
    <row r="30" spans="2:14" x14ac:dyDescent="0.2">
      <c r="B30" s="66" t="s">
        <v>116</v>
      </c>
      <c r="C30" s="63"/>
      <c r="D30" s="63"/>
      <c r="E30" s="70"/>
      <c r="F30" s="70"/>
      <c r="G30" s="70"/>
      <c r="H30" s="70"/>
      <c r="I30" s="70"/>
      <c r="J30" s="70"/>
      <c r="K30" s="70"/>
      <c r="L30" s="70"/>
      <c r="M30" s="70"/>
      <c r="N30" s="71"/>
    </row>
    <row r="31" spans="2:14" x14ac:dyDescent="0.2">
      <c r="B31" s="61" t="s">
        <v>135</v>
      </c>
      <c r="C31" s="37"/>
      <c r="D31" s="37"/>
      <c r="E31" s="112">
        <f>E13/E9*365</f>
        <v>78.592461353557965</v>
      </c>
      <c r="F31" s="112">
        <f t="shared" ref="F31:G31" si="12">F13/F9*365</f>
        <v>87.497232994623488</v>
      </c>
      <c r="G31" s="112">
        <f t="shared" si="12"/>
        <v>103.55406696330422</v>
      </c>
      <c r="H31" s="53"/>
      <c r="I31" s="112">
        <f t="shared" ref="I31" si="13">I13/I9*365</f>
        <v>110.01341371121377</v>
      </c>
      <c r="J31" s="53"/>
      <c r="K31" s="53"/>
      <c r="L31" s="53"/>
      <c r="M31" s="53"/>
      <c r="N31" s="72"/>
    </row>
    <row r="32" spans="2:14" x14ac:dyDescent="0.2">
      <c r="B32" s="61" t="s">
        <v>136</v>
      </c>
      <c r="C32" s="37"/>
      <c r="D32" s="37"/>
      <c r="E32" s="112">
        <f>E10/E14</f>
        <v>2.7133137952689972</v>
      </c>
      <c r="F32" s="112">
        <f t="shared" ref="F32:G32" si="14">F10/F14</f>
        <v>2.4416492590168639</v>
      </c>
      <c r="G32" s="112">
        <f t="shared" si="14"/>
        <v>2.0031000332889479</v>
      </c>
      <c r="H32" s="53"/>
      <c r="I32" s="112">
        <f t="shared" ref="I32" si="15">I10/I14</f>
        <v>2.1848065327894122</v>
      </c>
      <c r="J32" s="53"/>
      <c r="K32" s="53"/>
      <c r="L32" s="53"/>
      <c r="M32" s="53"/>
      <c r="N32" s="72"/>
    </row>
    <row r="33" spans="2:14" x14ac:dyDescent="0.2">
      <c r="B33" s="61" t="s">
        <v>137</v>
      </c>
      <c r="C33" s="37"/>
      <c r="D33" s="37"/>
      <c r="E33" s="53"/>
      <c r="F33" s="53"/>
      <c r="G33" s="53"/>
      <c r="H33" s="53"/>
      <c r="I33" s="53"/>
      <c r="J33" s="53"/>
      <c r="K33" s="53"/>
      <c r="L33" s="53"/>
      <c r="M33" s="53"/>
      <c r="N33" s="72"/>
    </row>
    <row r="34" spans="2:14" x14ac:dyDescent="0.2">
      <c r="B34" s="61"/>
      <c r="C34" s="37"/>
      <c r="D34" s="37"/>
      <c r="E34" s="53"/>
      <c r="F34" s="53"/>
      <c r="G34" s="53"/>
      <c r="H34" s="53"/>
      <c r="I34" s="53"/>
      <c r="J34" s="53"/>
      <c r="K34" s="53"/>
      <c r="L34" s="53"/>
      <c r="M34" s="53"/>
      <c r="N34" s="72"/>
    </row>
    <row r="35" spans="2:14" x14ac:dyDescent="0.2">
      <c r="B35" s="64" t="s">
        <v>119</v>
      </c>
      <c r="C35" s="65"/>
      <c r="D35" s="65"/>
      <c r="E35" s="53"/>
      <c r="F35" s="53"/>
      <c r="G35" s="53"/>
      <c r="H35" s="53"/>
      <c r="I35" s="53"/>
      <c r="J35" s="53"/>
      <c r="K35" s="53"/>
      <c r="L35" s="53"/>
      <c r="M35" s="53"/>
      <c r="N35" s="72"/>
    </row>
    <row r="36" spans="2:14" x14ac:dyDescent="0.2">
      <c r="B36" s="61" t="s">
        <v>138</v>
      </c>
      <c r="C36" s="37"/>
      <c r="D36" s="37"/>
      <c r="E36" s="112">
        <f>E19/E10 * 365</f>
        <v>347.25586887663036</v>
      </c>
      <c r="F36" s="112">
        <f t="shared" ref="F36:G36" si="16">F19/F10 * 365</f>
        <v>375.46709308815321</v>
      </c>
      <c r="G36" s="112">
        <f t="shared" si="16"/>
        <v>362.84536632148212</v>
      </c>
      <c r="H36" s="53"/>
      <c r="I36" s="112">
        <f t="shared" ref="I36" si="17">I19/I10 * 365</f>
        <v>351.3864159165712</v>
      </c>
      <c r="J36" s="53"/>
      <c r="K36" s="53"/>
      <c r="L36" s="53"/>
      <c r="M36" s="53"/>
      <c r="N36" s="72"/>
    </row>
    <row r="37" spans="2:14" x14ac:dyDescent="0.2">
      <c r="B37" s="61" t="s">
        <v>139</v>
      </c>
      <c r="C37" s="37"/>
      <c r="D37" s="37"/>
      <c r="E37" s="114">
        <f>E20/E9</f>
        <v>0.37064320941605539</v>
      </c>
      <c r="F37" s="114">
        <f t="shared" ref="F37:G37" si="18">F20/F9</f>
        <v>0.37304979332598304</v>
      </c>
      <c r="G37" s="114">
        <f t="shared" si="18"/>
        <v>0.4609782813828473</v>
      </c>
      <c r="H37" s="53"/>
      <c r="I37" s="114">
        <f t="shared" ref="I37" si="19">I20/I9</f>
        <v>0.44214445401323971</v>
      </c>
      <c r="J37" s="53"/>
      <c r="K37" s="53"/>
      <c r="L37" s="53"/>
      <c r="M37" s="53"/>
      <c r="N37" s="72"/>
    </row>
    <row r="38" spans="2:14" x14ac:dyDescent="0.2">
      <c r="B38" s="62" t="s">
        <v>140</v>
      </c>
      <c r="C38" s="39"/>
      <c r="D38" s="39"/>
      <c r="E38" s="115">
        <f>E21/E9</f>
        <v>9.5372787931534669E-2</v>
      </c>
      <c r="F38" s="115">
        <f t="shared" ref="F38:G38" si="20">F21/F9</f>
        <v>9.3726985964897341E-2</v>
      </c>
      <c r="G38" s="115">
        <f t="shared" si="20"/>
        <v>0.10018619292855989</v>
      </c>
      <c r="H38" s="73"/>
      <c r="I38" s="115">
        <f t="shared" ref="I38" si="21">I21/I9</f>
        <v>0</v>
      </c>
      <c r="J38" s="73"/>
      <c r="K38" s="73"/>
      <c r="L38" s="73"/>
      <c r="M38" s="73"/>
      <c r="N38" s="74"/>
    </row>
  </sheetData>
  <mergeCells count="2">
    <mergeCell ref="E7:G7"/>
    <mergeCell ref="J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3005-3D6D-D941-A011-BEDE8C068153}">
  <dimension ref="B3:S34"/>
  <sheetViews>
    <sheetView showGridLines="0" topLeftCell="A3" workbookViewId="0">
      <selection activeCell="V31" sqref="V31"/>
    </sheetView>
  </sheetViews>
  <sheetFormatPr baseColWidth="10" defaultRowHeight="16" x14ac:dyDescent="0.2"/>
  <cols>
    <col min="8" max="8" width="15" bestFit="1" customWidth="1"/>
    <col min="9" max="9" width="11.6640625" bestFit="1" customWidth="1"/>
    <col min="10" max="10" width="1.6640625" customWidth="1"/>
    <col min="11" max="11" width="11.83203125" bestFit="1" customWidth="1"/>
    <col min="12" max="12" width="2.33203125" customWidth="1"/>
    <col min="13" max="13" width="12.83203125" bestFit="1" customWidth="1"/>
    <col min="14" max="14" width="1.83203125" customWidth="1"/>
    <col min="16" max="16" width="2" customWidth="1"/>
    <col min="18" max="18" width="1.83203125" customWidth="1"/>
  </cols>
  <sheetData>
    <row r="3" spans="2:19" ht="47" x14ac:dyDescent="0.55000000000000004">
      <c r="B3" s="25" t="s">
        <v>229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46"/>
      <c r="P3" s="46"/>
      <c r="Q3" s="46"/>
      <c r="R3" s="46"/>
      <c r="S3" s="46"/>
    </row>
    <row r="4" spans="2:19" ht="37" x14ac:dyDescent="0.45">
      <c r="B4" s="57" t="s">
        <v>141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46"/>
      <c r="P4" s="46"/>
      <c r="Q4" s="46"/>
      <c r="R4" s="46"/>
      <c r="S4" s="46"/>
    </row>
    <row r="5" spans="2:19" ht="24" x14ac:dyDescent="0.3">
      <c r="B5" s="28" t="s">
        <v>61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46"/>
      <c r="P5" s="46"/>
      <c r="Q5" s="46"/>
      <c r="R5" s="46"/>
      <c r="S5" s="46"/>
    </row>
    <row r="8" spans="2:19" x14ac:dyDescent="0.2">
      <c r="B8" s="26" t="s">
        <v>142</v>
      </c>
      <c r="C8" s="26"/>
      <c r="D8" s="26"/>
      <c r="E8" s="26"/>
      <c r="G8" s="26" t="s">
        <v>150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</row>
    <row r="9" spans="2:19" x14ac:dyDescent="0.2">
      <c r="B9" s="77" t="s">
        <v>143</v>
      </c>
      <c r="C9" s="6"/>
      <c r="D9" s="6"/>
      <c r="E9" s="6"/>
      <c r="F9" s="6"/>
      <c r="G9" s="6"/>
      <c r="H9" s="6"/>
      <c r="I9" s="6" t="s">
        <v>152</v>
      </c>
      <c r="J9" s="6"/>
      <c r="K9" s="6" t="s">
        <v>154</v>
      </c>
      <c r="L9" s="6"/>
      <c r="M9" s="6" t="s">
        <v>156</v>
      </c>
      <c r="N9" s="6"/>
      <c r="O9" s="6" t="s">
        <v>158</v>
      </c>
      <c r="P9" s="6"/>
      <c r="Q9" s="6" t="s">
        <v>160</v>
      </c>
      <c r="R9" s="6"/>
      <c r="S9" s="6" t="s">
        <v>161</v>
      </c>
    </row>
    <row r="10" spans="2:19" x14ac:dyDescent="0.2">
      <c r="B10" s="21" t="s">
        <v>144</v>
      </c>
      <c r="C10" s="6"/>
      <c r="D10" s="6"/>
      <c r="E10" s="123">
        <v>0.43359999999999999</v>
      </c>
      <c r="F10" s="6"/>
      <c r="G10" s="35" t="s">
        <v>151</v>
      </c>
      <c r="H10" s="35"/>
      <c r="I10" s="35" t="s">
        <v>153</v>
      </c>
      <c r="J10" s="35"/>
      <c r="K10" s="35" t="s">
        <v>155</v>
      </c>
      <c r="L10" s="35"/>
      <c r="M10" s="35" t="s">
        <v>157</v>
      </c>
      <c r="N10" s="35"/>
      <c r="O10" s="35" t="s">
        <v>159</v>
      </c>
      <c r="P10" s="35"/>
      <c r="Q10" s="35" t="s">
        <v>148</v>
      </c>
      <c r="R10" s="35"/>
      <c r="S10" s="35" t="s">
        <v>162</v>
      </c>
    </row>
    <row r="11" spans="2:19" x14ac:dyDescent="0.2">
      <c r="B11" s="21" t="s">
        <v>145</v>
      </c>
      <c r="C11" s="6"/>
      <c r="D11" s="6"/>
      <c r="E11" s="16">
        <f>1-E10</f>
        <v>0.56640000000000001</v>
      </c>
      <c r="F11" s="6"/>
      <c r="G11" s="6">
        <v>1</v>
      </c>
      <c r="H11" s="6" t="s">
        <v>224</v>
      </c>
      <c r="I11" s="6">
        <v>0.92</v>
      </c>
      <c r="J11" s="6"/>
      <c r="K11" s="6">
        <v>2400</v>
      </c>
      <c r="L11" s="6"/>
      <c r="M11" s="6">
        <v>2020</v>
      </c>
      <c r="N11" s="6"/>
      <c r="O11" s="15">
        <v>0.11</v>
      </c>
      <c r="P11" s="6"/>
      <c r="Q11" s="15">
        <v>0.25</v>
      </c>
      <c r="R11" s="6"/>
      <c r="S11" s="127">
        <f>I11/(1+O11) * (1-Q11)</f>
        <v>0.6216216216216216</v>
      </c>
    </row>
    <row r="12" spans="2:19" x14ac:dyDescent="0.2">
      <c r="B12" s="21"/>
      <c r="C12" s="6"/>
      <c r="D12" s="6"/>
      <c r="E12" s="6"/>
      <c r="F12" s="6"/>
      <c r="G12" s="6">
        <v>2</v>
      </c>
      <c r="H12" s="6" t="s">
        <v>225</v>
      </c>
      <c r="I12" s="6">
        <v>0.54</v>
      </c>
      <c r="J12" s="6"/>
      <c r="K12" s="6"/>
      <c r="L12" s="6"/>
      <c r="M12" s="6"/>
      <c r="N12" s="6"/>
      <c r="O12" s="15">
        <v>0.25</v>
      </c>
      <c r="P12" s="6"/>
      <c r="Q12" s="15">
        <v>0.25</v>
      </c>
      <c r="R12" s="6"/>
      <c r="S12" s="127">
        <f t="shared" ref="S12:S15" si="0">I12/(1+O12) * (1-Q12)</f>
        <v>0.32400000000000007</v>
      </c>
    </row>
    <row r="13" spans="2:19" x14ac:dyDescent="0.2">
      <c r="B13" s="21"/>
      <c r="C13" s="6"/>
      <c r="D13" s="6"/>
      <c r="E13" s="6"/>
      <c r="F13" s="6"/>
      <c r="G13" s="6">
        <v>3</v>
      </c>
      <c r="H13" s="6" t="s">
        <v>226</v>
      </c>
      <c r="I13" s="6">
        <v>0.54</v>
      </c>
      <c r="J13" s="6"/>
      <c r="K13" s="6"/>
      <c r="L13" s="6"/>
      <c r="M13" s="6"/>
      <c r="N13" s="6"/>
      <c r="O13" s="15">
        <v>0.37</v>
      </c>
      <c r="P13" s="6"/>
      <c r="Q13" s="15">
        <v>0.25</v>
      </c>
      <c r="R13" s="6"/>
      <c r="S13" s="127">
        <f t="shared" si="0"/>
        <v>0.29562043795620441</v>
      </c>
    </row>
    <row r="14" spans="2:19" x14ac:dyDescent="0.2">
      <c r="B14" s="76" t="s">
        <v>146</v>
      </c>
      <c r="C14" s="6"/>
      <c r="D14" s="6"/>
      <c r="E14" s="6"/>
      <c r="F14" s="6"/>
      <c r="G14" s="6">
        <v>4</v>
      </c>
      <c r="H14" s="6" t="s">
        <v>227</v>
      </c>
      <c r="I14" s="6">
        <v>-0.28000000000000003</v>
      </c>
      <c r="J14" s="6"/>
      <c r="K14" s="6"/>
      <c r="L14" s="6"/>
      <c r="M14" s="6"/>
      <c r="N14" s="6"/>
      <c r="O14" s="15">
        <v>1.85</v>
      </c>
      <c r="P14" s="6"/>
      <c r="Q14" s="15">
        <v>0.25</v>
      </c>
      <c r="R14" s="6"/>
      <c r="S14" s="127">
        <f t="shared" si="0"/>
        <v>-7.3684210526315796E-2</v>
      </c>
    </row>
    <row r="15" spans="2:19" x14ac:dyDescent="0.2">
      <c r="B15" s="21" t="s">
        <v>147</v>
      </c>
      <c r="C15" s="6"/>
      <c r="D15" s="6"/>
      <c r="E15" s="123">
        <f>E17/(1-E16)</f>
        <v>5.0746268656716421E-2</v>
      </c>
      <c r="F15" s="6"/>
      <c r="G15" s="6">
        <v>5</v>
      </c>
      <c r="H15" s="6" t="s">
        <v>228</v>
      </c>
      <c r="I15" s="6">
        <v>0.67</v>
      </c>
      <c r="J15" s="6"/>
      <c r="K15" s="6"/>
      <c r="L15" s="6"/>
      <c r="M15" s="6"/>
      <c r="N15" s="6"/>
      <c r="O15" s="15">
        <v>5.0000000000000001E-4</v>
      </c>
      <c r="P15" s="6"/>
      <c r="Q15" s="15">
        <v>0.25</v>
      </c>
      <c r="R15" s="6"/>
      <c r="S15" s="127">
        <f t="shared" si="0"/>
        <v>0.50224887556221898</v>
      </c>
    </row>
    <row r="16" spans="2:19" x14ac:dyDescent="0.2">
      <c r="B16" s="21" t="s">
        <v>148</v>
      </c>
      <c r="C16" s="6"/>
      <c r="D16" s="6"/>
      <c r="E16" s="126">
        <v>0.16250000000000001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2:19" x14ac:dyDescent="0.2">
      <c r="B17" s="32" t="s">
        <v>149</v>
      </c>
      <c r="C17" s="6"/>
      <c r="D17" s="6"/>
      <c r="E17" s="124">
        <v>4.2500000000000003E-2</v>
      </c>
      <c r="F17" s="6"/>
      <c r="G17" s="78" t="s">
        <v>163</v>
      </c>
      <c r="H17" s="79"/>
      <c r="I17" s="79">
        <f>AVERAGE(I11:I15)</f>
        <v>0.47800000000000004</v>
      </c>
      <c r="J17" s="79"/>
      <c r="K17" s="79"/>
      <c r="L17" s="79"/>
      <c r="M17" s="79"/>
      <c r="N17" s="79"/>
      <c r="O17" s="128">
        <f>AVERAGE(O11:O15)</f>
        <v>0.5161</v>
      </c>
      <c r="P17" s="128"/>
      <c r="Q17" s="128"/>
      <c r="R17" s="128"/>
      <c r="S17" s="128">
        <f>AVERAGE(S11:S15)</f>
        <v>0.33396134492274582</v>
      </c>
    </row>
    <row r="18" spans="2:19" x14ac:dyDescent="0.2">
      <c r="G18" s="80" t="s">
        <v>164</v>
      </c>
      <c r="H18" s="65"/>
      <c r="I18" s="122">
        <f>MEDIAN(I11:I15)</f>
        <v>0.54</v>
      </c>
      <c r="J18" s="122"/>
      <c r="K18" s="122"/>
      <c r="L18" s="122"/>
      <c r="M18" s="122"/>
      <c r="N18" s="65"/>
      <c r="O18" s="122">
        <f>MEDIAN(O11:O15)</f>
        <v>0.25</v>
      </c>
      <c r="P18" s="65"/>
      <c r="Q18" s="65"/>
      <c r="R18" s="65"/>
      <c r="S18" s="122">
        <f>MEDIAN(S11:S15)</f>
        <v>0.32400000000000007</v>
      </c>
    </row>
    <row r="20" spans="2:19" x14ac:dyDescent="0.2">
      <c r="B20" s="67" t="s">
        <v>165</v>
      </c>
      <c r="G20" s="75" t="s">
        <v>169</v>
      </c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</row>
    <row r="21" spans="2:19" x14ac:dyDescent="0.2">
      <c r="B21" t="s">
        <v>166</v>
      </c>
      <c r="E21" s="125">
        <f>(4.62-2.7)/100</f>
        <v>1.9199999999999998E-2</v>
      </c>
      <c r="M21" t="s">
        <v>171</v>
      </c>
      <c r="O21" t="s">
        <v>172</v>
      </c>
      <c r="Q21" t="s">
        <v>175</v>
      </c>
    </row>
    <row r="22" spans="2:19" x14ac:dyDescent="0.2">
      <c r="B22" t="s">
        <v>167</v>
      </c>
      <c r="E22" s="125">
        <v>8.5000000000000006E-2</v>
      </c>
      <c r="M22" t="s">
        <v>161</v>
      </c>
      <c r="O22" t="s">
        <v>173</v>
      </c>
      <c r="Q22" t="s">
        <v>160</v>
      </c>
      <c r="S22" t="s">
        <v>176</v>
      </c>
    </row>
    <row r="23" spans="2:19" x14ac:dyDescent="0.2">
      <c r="B23" t="s">
        <v>153</v>
      </c>
      <c r="E23">
        <f>S24</f>
        <v>0.55000000000000004</v>
      </c>
      <c r="M23" s="31" t="s">
        <v>162</v>
      </c>
      <c r="N23" s="31"/>
      <c r="O23" s="31" t="s">
        <v>174</v>
      </c>
      <c r="P23" s="31"/>
      <c r="Q23" s="31" t="s">
        <v>37</v>
      </c>
      <c r="R23" s="31"/>
      <c r="S23" s="31" t="s">
        <v>162</v>
      </c>
    </row>
    <row r="24" spans="2:19" x14ac:dyDescent="0.2">
      <c r="B24" t="s">
        <v>168</v>
      </c>
      <c r="E24" s="132">
        <v>1.0999999999999999E-2</v>
      </c>
      <c r="G24" s="29" t="s">
        <v>170</v>
      </c>
      <c r="M24">
        <v>0.61</v>
      </c>
      <c r="O24" s="24">
        <f>E10/E11</f>
        <v>0.7655367231638418</v>
      </c>
      <c r="P24" s="24"/>
      <c r="Q24" s="24">
        <v>0.16</v>
      </c>
      <c r="S24" s="129">
        <v>0.55000000000000004</v>
      </c>
    </row>
    <row r="25" spans="2:19" x14ac:dyDescent="0.2">
      <c r="B25" s="32" t="s">
        <v>165</v>
      </c>
      <c r="E25" s="130">
        <v>7.5999999999999998E-2</v>
      </c>
      <c r="F25" s="17"/>
    </row>
    <row r="26" spans="2:19" x14ac:dyDescent="0.2">
      <c r="G26" s="75" t="s">
        <v>177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</row>
    <row r="27" spans="2:19" x14ac:dyDescent="0.2">
      <c r="M27" s="146" t="s">
        <v>180</v>
      </c>
      <c r="N27" s="146"/>
      <c r="O27" s="146"/>
      <c r="P27" s="146"/>
      <c r="Q27" s="146"/>
    </row>
    <row r="28" spans="2:19" x14ac:dyDescent="0.2">
      <c r="B28" s="32" t="s">
        <v>76</v>
      </c>
      <c r="E28" s="130">
        <v>7.5999999999999998E-2</v>
      </c>
      <c r="I28" s="37"/>
      <c r="J28" s="82"/>
      <c r="K28" s="152">
        <v>5.5E-2</v>
      </c>
      <c r="L28" s="153"/>
      <c r="M28" s="154">
        <v>0.06</v>
      </c>
      <c r="N28" s="153"/>
      <c r="O28" s="152">
        <v>6.5000000000000002E-2</v>
      </c>
      <c r="P28" s="153"/>
      <c r="Q28" s="154">
        <v>7.0000000000000007E-2</v>
      </c>
      <c r="R28" s="153"/>
      <c r="S28" s="83">
        <v>7.4999999999999997E-2</v>
      </c>
    </row>
    <row r="29" spans="2:19" x14ac:dyDescent="0.2">
      <c r="B29" s="31"/>
      <c r="C29" s="31"/>
      <c r="D29" s="31"/>
      <c r="E29" s="31"/>
      <c r="I29" s="81">
        <v>0.1</v>
      </c>
      <c r="K29" s="149"/>
      <c r="L29" s="149"/>
      <c r="M29" s="149"/>
      <c r="N29" s="149"/>
      <c r="O29" s="149"/>
      <c r="P29" s="149"/>
      <c r="Q29" s="149"/>
      <c r="R29" s="149"/>
      <c r="S29" s="85"/>
    </row>
    <row r="30" spans="2:19" x14ac:dyDescent="0.2">
      <c r="H30" t="s">
        <v>179</v>
      </c>
      <c r="I30" s="81">
        <v>0.2</v>
      </c>
      <c r="K30" s="149"/>
      <c r="L30" s="149"/>
      <c r="M30" s="150"/>
      <c r="N30" s="150"/>
      <c r="O30" s="150"/>
      <c r="P30" s="150"/>
      <c r="Q30" s="150"/>
      <c r="R30" s="150"/>
      <c r="S30" s="85"/>
    </row>
    <row r="31" spans="2:19" x14ac:dyDescent="0.2">
      <c r="H31" t="s">
        <v>178</v>
      </c>
      <c r="I31" s="81">
        <v>0.3</v>
      </c>
      <c r="K31" s="149"/>
      <c r="L31" s="149"/>
      <c r="M31" s="150"/>
      <c r="N31" s="150"/>
      <c r="O31" s="151">
        <v>7.5999999999999998E-2</v>
      </c>
      <c r="P31" s="151"/>
      <c r="Q31" s="150"/>
      <c r="R31" s="150"/>
      <c r="S31" s="85"/>
    </row>
    <row r="32" spans="2:19" x14ac:dyDescent="0.2">
      <c r="I32" s="81">
        <v>0.4</v>
      </c>
      <c r="K32" s="149"/>
      <c r="L32" s="149"/>
      <c r="M32" s="150"/>
      <c r="N32" s="150"/>
      <c r="O32" s="150"/>
      <c r="P32" s="150"/>
      <c r="Q32" s="150"/>
      <c r="R32" s="150"/>
      <c r="S32" s="85"/>
    </row>
    <row r="33" spans="9:19" x14ac:dyDescent="0.2">
      <c r="I33" s="81">
        <v>0.5</v>
      </c>
      <c r="K33" s="149"/>
      <c r="L33" s="149"/>
      <c r="M33" s="149"/>
      <c r="N33" s="149"/>
      <c r="O33" s="149"/>
      <c r="P33" s="149"/>
      <c r="Q33" s="149"/>
      <c r="R33" s="149"/>
      <c r="S33" s="85"/>
    </row>
    <row r="34" spans="9:19" x14ac:dyDescent="0.2">
      <c r="I34" s="51"/>
    </row>
  </sheetData>
  <mergeCells count="25">
    <mergeCell ref="M27:Q27"/>
    <mergeCell ref="K31:L31"/>
    <mergeCell ref="M31:N31"/>
    <mergeCell ref="O31:P31"/>
    <mergeCell ref="Q31:R31"/>
    <mergeCell ref="K30:L30"/>
    <mergeCell ref="M30:N30"/>
    <mergeCell ref="O30:P30"/>
    <mergeCell ref="Q30:R30"/>
    <mergeCell ref="K28:L28"/>
    <mergeCell ref="M28:N28"/>
    <mergeCell ref="O28:P28"/>
    <mergeCell ref="Q28:R28"/>
    <mergeCell ref="K29:L29"/>
    <mergeCell ref="M29:N29"/>
    <mergeCell ref="O29:P29"/>
    <mergeCell ref="Q29:R29"/>
    <mergeCell ref="K33:L33"/>
    <mergeCell ref="M33:N33"/>
    <mergeCell ref="O33:P33"/>
    <mergeCell ref="Q33:R33"/>
    <mergeCell ref="M32:N32"/>
    <mergeCell ref="O32:P32"/>
    <mergeCell ref="Q32:R32"/>
    <mergeCell ref="K32:L3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A6E2-5D9F-2D42-9844-6C824570FCF0}">
  <dimension ref="A3:Q36"/>
  <sheetViews>
    <sheetView showGridLines="0" workbookViewId="0">
      <selection activeCell="B3" sqref="B3"/>
    </sheetView>
  </sheetViews>
  <sheetFormatPr baseColWidth="10" defaultRowHeight="16" x14ac:dyDescent="0.2"/>
  <sheetData>
    <row r="3" spans="1:17" ht="47" x14ac:dyDescent="0.55000000000000004">
      <c r="B3" s="25" t="s">
        <v>229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46"/>
      <c r="P3" s="46"/>
      <c r="Q3" s="46"/>
    </row>
    <row r="4" spans="1:17" ht="37" x14ac:dyDescent="0.45">
      <c r="B4" s="57" t="s">
        <v>181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46"/>
      <c r="P4" s="46"/>
      <c r="Q4" s="46"/>
    </row>
    <row r="5" spans="1:17" ht="24" x14ac:dyDescent="0.3">
      <c r="B5" s="28" t="s">
        <v>61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46"/>
      <c r="P5" s="46"/>
      <c r="Q5" s="46"/>
    </row>
    <row r="8" spans="1:17" x14ac:dyDescent="0.2">
      <c r="B8" s="142" t="s">
        <v>108</v>
      </c>
      <c r="C8" s="142"/>
      <c r="D8" s="142"/>
      <c r="E8" s="142"/>
      <c r="F8" s="142"/>
      <c r="G8" s="142"/>
      <c r="H8" s="142"/>
      <c r="K8" s="142" t="s">
        <v>182</v>
      </c>
      <c r="L8" s="142"/>
      <c r="M8" s="142"/>
      <c r="N8" s="142"/>
      <c r="O8" s="142"/>
      <c r="P8" s="142"/>
      <c r="Q8" s="142"/>
    </row>
    <row r="9" spans="1:17" x14ac:dyDescent="0.2">
      <c r="D9" s="146" t="s">
        <v>186</v>
      </c>
      <c r="E9" s="146"/>
      <c r="F9" s="146"/>
      <c r="M9" s="146" t="s">
        <v>186</v>
      </c>
      <c r="N9" s="146"/>
      <c r="O9" s="146"/>
    </row>
    <row r="10" spans="1:17" x14ac:dyDescent="0.2">
      <c r="B10" s="37"/>
      <c r="C10" s="43" t="s">
        <v>109</v>
      </c>
      <c r="D10" s="43" t="s">
        <v>110</v>
      </c>
      <c r="E10" s="43" t="s">
        <v>111</v>
      </c>
      <c r="F10" s="43" t="s">
        <v>112</v>
      </c>
      <c r="G10" s="147" t="s">
        <v>113</v>
      </c>
      <c r="H10" s="147"/>
      <c r="K10" s="37"/>
      <c r="L10" s="43" t="s">
        <v>109</v>
      </c>
      <c r="M10" s="43" t="s">
        <v>110</v>
      </c>
      <c r="N10" s="43" t="s">
        <v>111</v>
      </c>
      <c r="O10" s="43" t="s">
        <v>112</v>
      </c>
      <c r="P10" s="147" t="s">
        <v>113</v>
      </c>
      <c r="Q10" s="147"/>
    </row>
    <row r="11" spans="1:17" x14ac:dyDescent="0.2">
      <c r="B11" s="44">
        <v>0.1</v>
      </c>
      <c r="C11" s="51"/>
      <c r="D11" s="51"/>
      <c r="E11" s="51"/>
      <c r="F11" s="51"/>
      <c r="G11" s="148"/>
      <c r="H11" s="148"/>
      <c r="K11" s="44">
        <v>0.1</v>
      </c>
      <c r="L11" s="51"/>
      <c r="M11" s="51"/>
      <c r="N11" s="51"/>
      <c r="O11" s="51"/>
      <c r="P11" s="148"/>
      <c r="Q11" s="148"/>
    </row>
    <row r="12" spans="1:17" ht="40" x14ac:dyDescent="0.2">
      <c r="A12" s="47" t="s">
        <v>76</v>
      </c>
      <c r="B12" s="45">
        <v>0.105</v>
      </c>
      <c r="C12" s="51"/>
      <c r="D12" s="54"/>
      <c r="E12" s="54"/>
      <c r="F12" s="54"/>
      <c r="G12" s="145"/>
      <c r="H12" s="145"/>
      <c r="J12" s="47" t="s">
        <v>76</v>
      </c>
      <c r="K12" s="45">
        <v>0.105</v>
      </c>
      <c r="L12" s="51"/>
      <c r="M12" s="54"/>
      <c r="N12" s="54"/>
      <c r="O12" s="54"/>
      <c r="P12" s="145"/>
      <c r="Q12" s="145"/>
    </row>
    <row r="13" spans="1:17" x14ac:dyDescent="0.2">
      <c r="B13" s="48">
        <v>0.11</v>
      </c>
      <c r="C13" s="51"/>
      <c r="D13" s="54"/>
      <c r="E13" s="53"/>
      <c r="F13" s="54"/>
      <c r="G13" s="145"/>
      <c r="H13" s="145"/>
      <c r="K13" s="48">
        <v>0.11</v>
      </c>
      <c r="L13" s="51"/>
      <c r="M13" s="54"/>
      <c r="N13" s="53"/>
      <c r="O13" s="54"/>
      <c r="P13" s="145"/>
      <c r="Q13" s="145"/>
    </row>
    <row r="14" spans="1:17" x14ac:dyDescent="0.2">
      <c r="B14" s="45">
        <v>0.115</v>
      </c>
      <c r="C14" s="51"/>
      <c r="D14" s="54"/>
      <c r="E14" s="54"/>
      <c r="F14" s="54"/>
      <c r="G14" s="145"/>
      <c r="H14" s="145"/>
      <c r="K14" s="45">
        <v>0.115</v>
      </c>
      <c r="L14" s="51"/>
      <c r="M14" s="54"/>
      <c r="N14" s="54"/>
      <c r="O14" s="54"/>
      <c r="P14" s="145"/>
      <c r="Q14" s="145"/>
    </row>
    <row r="15" spans="1:17" x14ac:dyDescent="0.2">
      <c r="B15" s="44">
        <v>0.12</v>
      </c>
      <c r="C15" s="51"/>
      <c r="D15" s="51"/>
      <c r="E15" s="51"/>
      <c r="F15" s="51"/>
      <c r="G15" s="145"/>
      <c r="H15" s="145"/>
      <c r="K15" s="44">
        <v>0.12</v>
      </c>
      <c r="L15" s="51"/>
      <c r="M15" s="51"/>
      <c r="N15" s="51"/>
      <c r="O15" s="51"/>
      <c r="P15" s="145"/>
      <c r="Q15" s="145"/>
    </row>
    <row r="19" spans="1:17" x14ac:dyDescent="0.2">
      <c r="B19" s="142" t="s">
        <v>183</v>
      </c>
      <c r="C19" s="142"/>
      <c r="D19" s="142"/>
      <c r="E19" s="142"/>
      <c r="F19" s="142"/>
      <c r="G19" s="142"/>
      <c r="H19" s="142"/>
      <c r="K19" s="142" t="s">
        <v>184</v>
      </c>
      <c r="L19" s="142"/>
      <c r="M19" s="142"/>
      <c r="N19" s="142"/>
      <c r="O19" s="142"/>
      <c r="P19" s="142"/>
      <c r="Q19" s="142"/>
    </row>
    <row r="20" spans="1:17" x14ac:dyDescent="0.2">
      <c r="D20" s="146" t="s">
        <v>186</v>
      </c>
      <c r="E20" s="146"/>
      <c r="F20" s="146"/>
      <c r="M20" s="146" t="s">
        <v>186</v>
      </c>
      <c r="N20" s="146"/>
      <c r="O20" s="146"/>
    </row>
    <row r="21" spans="1:17" x14ac:dyDescent="0.2">
      <c r="B21" s="37"/>
      <c r="C21" s="43" t="s">
        <v>109</v>
      </c>
      <c r="D21" s="43" t="s">
        <v>110</v>
      </c>
      <c r="E21" s="43" t="s">
        <v>111</v>
      </c>
      <c r="F21" s="43" t="s">
        <v>112</v>
      </c>
      <c r="G21" s="147" t="s">
        <v>113</v>
      </c>
      <c r="H21" s="147"/>
      <c r="K21" s="37"/>
      <c r="L21" s="43" t="s">
        <v>109</v>
      </c>
      <c r="M21" s="43" t="s">
        <v>110</v>
      </c>
      <c r="N21" s="43" t="s">
        <v>111</v>
      </c>
      <c r="O21" s="43" t="s">
        <v>112</v>
      </c>
      <c r="P21" s="147" t="s">
        <v>113</v>
      </c>
      <c r="Q21" s="147"/>
    </row>
    <row r="22" spans="1:17" x14ac:dyDescent="0.2">
      <c r="B22" s="44">
        <v>0.1</v>
      </c>
      <c r="C22" s="51"/>
      <c r="D22" s="51"/>
      <c r="E22" s="51"/>
      <c r="F22" s="51"/>
      <c r="G22" s="148"/>
      <c r="H22" s="148"/>
      <c r="K22" s="44">
        <v>0.1</v>
      </c>
      <c r="L22" s="51"/>
      <c r="M22" s="51"/>
      <c r="N22" s="51"/>
      <c r="O22" s="51"/>
      <c r="P22" s="148"/>
      <c r="Q22" s="148"/>
    </row>
    <row r="23" spans="1:17" ht="40" x14ac:dyDescent="0.2">
      <c r="A23" s="47" t="s">
        <v>76</v>
      </c>
      <c r="B23" s="45">
        <v>0.105</v>
      </c>
      <c r="C23" s="51"/>
      <c r="D23" s="54"/>
      <c r="E23" s="54"/>
      <c r="F23" s="54"/>
      <c r="G23" s="145"/>
      <c r="H23" s="145"/>
      <c r="J23" s="47" t="s">
        <v>76</v>
      </c>
      <c r="K23" s="45">
        <v>0.105</v>
      </c>
      <c r="L23" s="51"/>
      <c r="M23" s="54"/>
      <c r="N23" s="54"/>
      <c r="O23" s="54"/>
      <c r="P23" s="145"/>
      <c r="Q23" s="145"/>
    </row>
    <row r="24" spans="1:17" x14ac:dyDescent="0.2">
      <c r="B24" s="48">
        <v>0.11</v>
      </c>
      <c r="C24" s="51"/>
      <c r="D24" s="54"/>
      <c r="E24" s="53"/>
      <c r="F24" s="54"/>
      <c r="G24" s="145"/>
      <c r="H24" s="145"/>
      <c r="K24" s="48">
        <v>0.11</v>
      </c>
      <c r="L24" s="51"/>
      <c r="M24" s="54"/>
      <c r="N24" s="53"/>
      <c r="O24" s="54"/>
      <c r="P24" s="145"/>
      <c r="Q24" s="145"/>
    </row>
    <row r="25" spans="1:17" x14ac:dyDescent="0.2">
      <c r="B25" s="45">
        <v>0.115</v>
      </c>
      <c r="C25" s="51"/>
      <c r="D25" s="54"/>
      <c r="E25" s="54"/>
      <c r="F25" s="54"/>
      <c r="G25" s="145"/>
      <c r="H25" s="145"/>
      <c r="K25" s="45">
        <v>0.115</v>
      </c>
      <c r="L25" s="51"/>
      <c r="M25" s="54"/>
      <c r="N25" s="54"/>
      <c r="O25" s="54"/>
      <c r="P25" s="145"/>
      <c r="Q25" s="145"/>
    </row>
    <row r="26" spans="1:17" x14ac:dyDescent="0.2">
      <c r="B26" s="44">
        <v>0.12</v>
      </c>
      <c r="C26" s="51"/>
      <c r="D26" s="51"/>
      <c r="E26" s="51"/>
      <c r="F26" s="51"/>
      <c r="G26" s="145"/>
      <c r="H26" s="145"/>
      <c r="K26" s="44">
        <v>0.12</v>
      </c>
      <c r="L26" s="51"/>
      <c r="M26" s="51"/>
      <c r="N26" s="51"/>
      <c r="O26" s="51"/>
      <c r="P26" s="145"/>
      <c r="Q26" s="145"/>
    </row>
    <row r="29" spans="1:17" x14ac:dyDescent="0.2">
      <c r="F29" s="142" t="s">
        <v>185</v>
      </c>
      <c r="G29" s="142"/>
      <c r="H29" s="142"/>
      <c r="I29" s="142"/>
      <c r="J29" s="142"/>
      <c r="K29" s="142"/>
      <c r="L29" s="142"/>
    </row>
    <row r="30" spans="1:17" x14ac:dyDescent="0.2">
      <c r="H30" s="146" t="s">
        <v>186</v>
      </c>
      <c r="I30" s="146"/>
      <c r="J30" s="146"/>
    </row>
    <row r="31" spans="1:17" x14ac:dyDescent="0.2">
      <c r="F31" s="37"/>
      <c r="G31" s="43" t="s">
        <v>109</v>
      </c>
      <c r="H31" s="43" t="s">
        <v>110</v>
      </c>
      <c r="I31" s="43" t="s">
        <v>111</v>
      </c>
      <c r="J31" s="43" t="s">
        <v>112</v>
      </c>
      <c r="K31" s="147" t="s">
        <v>113</v>
      </c>
      <c r="L31" s="147"/>
    </row>
    <row r="32" spans="1:17" x14ac:dyDescent="0.2">
      <c r="F32" s="44">
        <v>0.1</v>
      </c>
      <c r="G32" s="51"/>
      <c r="H32" s="51"/>
      <c r="I32" s="51"/>
      <c r="J32" s="51"/>
      <c r="K32" s="148"/>
      <c r="L32" s="148"/>
    </row>
    <row r="33" spans="5:12" ht="40" x14ac:dyDescent="0.2">
      <c r="E33" s="47" t="s">
        <v>76</v>
      </c>
      <c r="F33" s="45">
        <v>0.105</v>
      </c>
      <c r="G33" s="51"/>
      <c r="H33" s="54"/>
      <c r="I33" s="54"/>
      <c r="J33" s="54"/>
      <c r="K33" s="145"/>
      <c r="L33" s="145"/>
    </row>
    <row r="34" spans="5:12" x14ac:dyDescent="0.2">
      <c r="F34" s="48">
        <v>0.11</v>
      </c>
      <c r="G34" s="51"/>
      <c r="H34" s="54"/>
      <c r="I34" s="53"/>
      <c r="J34" s="54"/>
      <c r="K34" s="145"/>
      <c r="L34" s="145"/>
    </row>
    <row r="35" spans="5:12" x14ac:dyDescent="0.2">
      <c r="F35" s="45">
        <v>0.115</v>
      </c>
      <c r="G35" s="51"/>
      <c r="H35" s="54"/>
      <c r="I35" s="54"/>
      <c r="J35" s="54"/>
      <c r="K35" s="145"/>
      <c r="L35" s="145"/>
    </row>
    <row r="36" spans="5:12" x14ac:dyDescent="0.2">
      <c r="F36" s="44">
        <v>0.12</v>
      </c>
      <c r="G36" s="51"/>
      <c r="H36" s="51"/>
      <c r="I36" s="51"/>
      <c r="J36" s="51"/>
      <c r="K36" s="145"/>
      <c r="L36" s="145"/>
    </row>
  </sheetData>
  <mergeCells count="40">
    <mergeCell ref="F29:L29"/>
    <mergeCell ref="K31:L31"/>
    <mergeCell ref="K32:L32"/>
    <mergeCell ref="K33:L33"/>
    <mergeCell ref="K34:L34"/>
    <mergeCell ref="K35:L35"/>
    <mergeCell ref="K36:L36"/>
    <mergeCell ref="H30:J30"/>
    <mergeCell ref="G26:H26"/>
    <mergeCell ref="K19:Q19"/>
    <mergeCell ref="P21:Q21"/>
    <mergeCell ref="P22:Q22"/>
    <mergeCell ref="P23:Q23"/>
    <mergeCell ref="P24:Q24"/>
    <mergeCell ref="P25:Q25"/>
    <mergeCell ref="P26:Q26"/>
    <mergeCell ref="M20:O20"/>
    <mergeCell ref="B19:H19"/>
    <mergeCell ref="G21:H21"/>
    <mergeCell ref="G22:H22"/>
    <mergeCell ref="G23:H23"/>
    <mergeCell ref="P14:Q14"/>
    <mergeCell ref="P15:Q15"/>
    <mergeCell ref="M9:O9"/>
    <mergeCell ref="B8:H8"/>
    <mergeCell ref="G10:H10"/>
    <mergeCell ref="G11:H11"/>
    <mergeCell ref="G12:H12"/>
    <mergeCell ref="K8:Q8"/>
    <mergeCell ref="P10:Q10"/>
    <mergeCell ref="P11:Q11"/>
    <mergeCell ref="P12:Q12"/>
    <mergeCell ref="P13:Q13"/>
    <mergeCell ref="G13:H13"/>
    <mergeCell ref="G14:H14"/>
    <mergeCell ref="D9:F9"/>
    <mergeCell ref="G24:H24"/>
    <mergeCell ref="G25:H25"/>
    <mergeCell ref="D20:F20"/>
    <mergeCell ref="G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DCF Output Page </vt:lpstr>
      <vt:lpstr>info</vt:lpstr>
      <vt:lpstr>Historical Op. &amp; Work. Cap Data</vt:lpstr>
      <vt:lpstr>Hist &amp; Proj NWC</vt:lpstr>
      <vt:lpstr>WACC Analysis 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Mutlu</dc:creator>
  <cp:lastModifiedBy>Ihsan Mutlu</cp:lastModifiedBy>
  <dcterms:created xsi:type="dcterms:W3CDTF">2024-12-24T09:35:54Z</dcterms:created>
  <dcterms:modified xsi:type="dcterms:W3CDTF">2024-12-29T15:38:05Z</dcterms:modified>
</cp:coreProperties>
</file>