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hsanmutlu/Desktop/Kangal_Capital/"/>
    </mc:Choice>
  </mc:AlternateContent>
  <xr:revisionPtr revIDLastSave="0" documentId="13_ncr:1_{6DF18798-F185-8C40-BAB6-92DEC246ED65}" xr6:coauthVersionLast="47" xr6:coauthVersionMax="47" xr10:uidLastSave="{00000000-0000-0000-0000-000000000000}"/>
  <bookViews>
    <workbookView xWindow="100" yWindow="740" windowWidth="28200" windowHeight="16700" activeTab="1" xr2:uid="{EDD3B5D4-A20A-8A4F-B1E1-7BF2DD6547B2}"/>
  </bookViews>
  <sheets>
    <sheet name="Info" sheetId="1" r:id="rId1"/>
    <sheet name="Ma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13" i="2" l="1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Z43" i="2"/>
  <c r="Z45" i="2" s="1"/>
  <c r="Z46" i="2" s="1"/>
  <c r="AE7" i="2"/>
  <c r="AF7" i="2" s="1"/>
  <c r="AG7" i="2" s="1"/>
  <c r="AH7" i="2" s="1"/>
  <c r="AD7" i="2"/>
  <c r="AD29" i="2"/>
  <c r="AE25" i="2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AD25" i="2"/>
  <c r="T28" i="2"/>
  <c r="AD18" i="2"/>
  <c r="AD19" i="2" s="1"/>
  <c r="AD15" i="2"/>
  <c r="AD27" i="2" s="1"/>
  <c r="E27" i="2"/>
  <c r="Z47" i="2"/>
  <c r="Z38" i="2"/>
  <c r="Z35" i="2"/>
  <c r="Z34" i="2"/>
  <c r="AB29" i="2"/>
  <c r="AA29" i="2"/>
  <c r="AC29" i="2"/>
  <c r="AI7" i="2" l="1"/>
  <c r="AH15" i="2"/>
  <c r="AH27" i="2" s="1"/>
  <c r="AE29" i="2"/>
  <c r="AD20" i="2"/>
  <c r="AD28" i="2"/>
  <c r="AG29" i="2"/>
  <c r="AG15" i="2"/>
  <c r="AG27" i="2" s="1"/>
  <c r="AH18" i="2"/>
  <c r="AI15" i="2"/>
  <c r="AI27" i="2" s="1"/>
  <c r="AF29" i="2"/>
  <c r="AJ7" i="2"/>
  <c r="AE18" i="2"/>
  <c r="AH29" i="2"/>
  <c r="AE15" i="2"/>
  <c r="AE27" i="2" s="1"/>
  <c r="AF18" i="2"/>
  <c r="AF15" i="2"/>
  <c r="AF27" i="2" s="1"/>
  <c r="AG18" i="2"/>
  <c r="AC25" i="2"/>
  <c r="AB25" i="2"/>
  <c r="AB24" i="2" s="1"/>
  <c r="AC28" i="2"/>
  <c r="AB28" i="2"/>
  <c r="AC27" i="2"/>
  <c r="AB27" i="2"/>
  <c r="AC24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A25" i="2"/>
  <c r="AA24" i="2" s="1"/>
  <c r="AA28" i="2"/>
  <c r="AA27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Z25" i="2"/>
  <c r="Z21" i="2"/>
  <c r="Z19" i="2"/>
  <c r="Z17" i="2"/>
  <c r="Z16" i="2"/>
  <c r="Z15" i="2"/>
  <c r="Z18" i="2" s="1"/>
  <c r="Z14" i="2"/>
  <c r="Z13" i="2"/>
  <c r="Z12" i="2"/>
  <c r="Z11" i="2"/>
  <c r="Z10" i="2"/>
  <c r="Z9" i="2"/>
  <c r="AC7" i="2"/>
  <c r="AB7" i="2"/>
  <c r="AA7" i="2"/>
  <c r="Z7" i="2"/>
  <c r="G21" i="2"/>
  <c r="G19" i="2"/>
  <c r="G17" i="2"/>
  <c r="G16" i="2"/>
  <c r="G14" i="2"/>
  <c r="G12" i="2"/>
  <c r="G11" i="2"/>
  <c r="G10" i="2"/>
  <c r="G9" i="2"/>
  <c r="G7" i="2"/>
  <c r="K21" i="2"/>
  <c r="K19" i="2"/>
  <c r="K17" i="2"/>
  <c r="K16" i="2"/>
  <c r="K14" i="2"/>
  <c r="K12" i="2"/>
  <c r="K11" i="2"/>
  <c r="K10" i="2"/>
  <c r="K9" i="2"/>
  <c r="K7" i="2"/>
  <c r="O21" i="2"/>
  <c r="O19" i="2"/>
  <c r="O18" i="2"/>
  <c r="O17" i="2"/>
  <c r="O16" i="2"/>
  <c r="O14" i="2"/>
  <c r="O12" i="2"/>
  <c r="O11" i="2"/>
  <c r="O10" i="2"/>
  <c r="O9" i="2"/>
  <c r="O7" i="2"/>
  <c r="S21" i="2"/>
  <c r="S19" i="2"/>
  <c r="S17" i="2"/>
  <c r="S16" i="2"/>
  <c r="S14" i="2"/>
  <c r="S12" i="2"/>
  <c r="S11" i="2"/>
  <c r="S10" i="2"/>
  <c r="S9" i="2"/>
  <c r="S7" i="2"/>
  <c r="F17" i="2"/>
  <c r="L17" i="2"/>
  <c r="L14" i="2"/>
  <c r="M17" i="2"/>
  <c r="M14" i="2"/>
  <c r="N17" i="2"/>
  <c r="N14" i="2"/>
  <c r="P14" i="2"/>
  <c r="Q14" i="2"/>
  <c r="T29" i="2"/>
  <c r="P29" i="2"/>
  <c r="L29" i="2"/>
  <c r="H29" i="2"/>
  <c r="W13" i="2"/>
  <c r="W15" i="2" s="1"/>
  <c r="W18" i="2" s="1"/>
  <c r="W20" i="2" s="1"/>
  <c r="W22" i="2" s="1"/>
  <c r="W24" i="2" s="1"/>
  <c r="V13" i="2"/>
  <c r="V15" i="2" s="1"/>
  <c r="U13" i="2"/>
  <c r="U15" i="2" s="1"/>
  <c r="U18" i="2" s="1"/>
  <c r="U20" i="2" s="1"/>
  <c r="U22" i="2" s="1"/>
  <c r="U24" i="2" s="1"/>
  <c r="T13" i="2"/>
  <c r="T15" i="2" s="1"/>
  <c r="T18" i="2" s="1"/>
  <c r="T20" i="2" s="1"/>
  <c r="T22" i="2" s="1"/>
  <c r="T24" i="2" s="1"/>
  <c r="R13" i="2"/>
  <c r="R15" i="2" s="1"/>
  <c r="R18" i="2" s="1"/>
  <c r="R20" i="2" s="1"/>
  <c r="R22" i="2" s="1"/>
  <c r="R24" i="2" s="1"/>
  <c r="Q13" i="2"/>
  <c r="P13" i="2"/>
  <c r="N13" i="2"/>
  <c r="N15" i="2" s="1"/>
  <c r="M13" i="2"/>
  <c r="M15" i="2" s="1"/>
  <c r="L13" i="2"/>
  <c r="L15" i="2" s="1"/>
  <c r="J13" i="2"/>
  <c r="J15" i="2" s="1"/>
  <c r="J18" i="2" s="1"/>
  <c r="J20" i="2" s="1"/>
  <c r="J22" i="2" s="1"/>
  <c r="J24" i="2" s="1"/>
  <c r="I13" i="2"/>
  <c r="I15" i="2" s="1"/>
  <c r="I18" i="2" s="1"/>
  <c r="I20" i="2" s="1"/>
  <c r="I22" i="2" s="1"/>
  <c r="I24" i="2" s="1"/>
  <c r="H13" i="2"/>
  <c r="H15" i="2" s="1"/>
  <c r="H18" i="2" s="1"/>
  <c r="H20" i="2" s="1"/>
  <c r="H22" i="2" s="1"/>
  <c r="H24" i="2" s="1"/>
  <c r="F13" i="2"/>
  <c r="F15" i="2" s="1"/>
  <c r="E13" i="2"/>
  <c r="E15" i="2" s="1"/>
  <c r="E18" i="2" s="1"/>
  <c r="E20" i="2" s="1"/>
  <c r="E22" i="2" s="1"/>
  <c r="E24" i="2" s="1"/>
  <c r="D13" i="2"/>
  <c r="D15" i="2" s="1"/>
  <c r="D18" i="2" s="1"/>
  <c r="D20" i="2" s="1"/>
  <c r="D22" i="2" s="1"/>
  <c r="D24" i="2" s="1"/>
  <c r="C10" i="1"/>
  <c r="C8" i="1"/>
  <c r="C11" i="1" s="1"/>
  <c r="AI29" i="2" l="1"/>
  <c r="AI18" i="2"/>
  <c r="AI19" i="2" s="1"/>
  <c r="AI28" i="2" s="1"/>
  <c r="AG19" i="2"/>
  <c r="AG28" i="2" s="1"/>
  <c r="AG20" i="2"/>
  <c r="AH19" i="2"/>
  <c r="AH28" i="2" s="1"/>
  <c r="AF19" i="2"/>
  <c r="AF28" i="2" s="1"/>
  <c r="AF20" i="2"/>
  <c r="AE19" i="2"/>
  <c r="AE28" i="2" s="1"/>
  <c r="AD21" i="2"/>
  <c r="AD22" i="2" s="1"/>
  <c r="AJ18" i="2"/>
  <c r="AJ29" i="2"/>
  <c r="AJ15" i="2"/>
  <c r="AJ27" i="2" s="1"/>
  <c r="AK7" i="2"/>
  <c r="AI20" i="2"/>
  <c r="Z20" i="2"/>
  <c r="Z22" i="2" s="1"/>
  <c r="Z24" i="2" s="1"/>
  <c r="Z28" i="2"/>
  <c r="Z27" i="2"/>
  <c r="G13" i="2"/>
  <c r="G15" i="2"/>
  <c r="G27" i="2" s="1"/>
  <c r="K13" i="2"/>
  <c r="K15" i="2" s="1"/>
  <c r="O13" i="2"/>
  <c r="O15" i="2"/>
  <c r="O20" i="2" s="1"/>
  <c r="O22" i="2" s="1"/>
  <c r="O24" i="2" s="1"/>
  <c r="S13" i="2"/>
  <c r="S15" i="2"/>
  <c r="S18" i="2" s="1"/>
  <c r="S20" i="2" s="1"/>
  <c r="S22" i="2" s="1"/>
  <c r="S24" i="2" s="1"/>
  <c r="H28" i="2"/>
  <c r="M18" i="2"/>
  <c r="M20" i="2" s="1"/>
  <c r="M22" i="2" s="1"/>
  <c r="M24" i="2" s="1"/>
  <c r="P15" i="2"/>
  <c r="P18" i="2" s="1"/>
  <c r="P20" i="2" s="1"/>
  <c r="P22" i="2" s="1"/>
  <c r="P24" i="2" s="1"/>
  <c r="Q15" i="2"/>
  <c r="Q18" i="2" s="1"/>
  <c r="Q20" i="2" s="1"/>
  <c r="Q22" i="2" s="1"/>
  <c r="Q24" i="2" s="1"/>
  <c r="N18" i="2"/>
  <c r="N27" i="2"/>
  <c r="F18" i="2"/>
  <c r="F27" i="2"/>
  <c r="V18" i="2"/>
  <c r="V27" i="2"/>
  <c r="L18" i="2"/>
  <c r="L27" i="2"/>
  <c r="H27" i="2"/>
  <c r="P27" i="2"/>
  <c r="D28" i="2"/>
  <c r="I27" i="2"/>
  <c r="Q27" i="2"/>
  <c r="E28" i="2"/>
  <c r="M28" i="2"/>
  <c r="U28" i="2"/>
  <c r="J27" i="2"/>
  <c r="R27" i="2"/>
  <c r="W28" i="2"/>
  <c r="M27" i="2"/>
  <c r="U27" i="2"/>
  <c r="I28" i="2"/>
  <c r="D27" i="2"/>
  <c r="T27" i="2"/>
  <c r="J28" i="2"/>
  <c r="R28" i="2"/>
  <c r="W27" i="2"/>
  <c r="AD24" i="2" l="1"/>
  <c r="AL7" i="2"/>
  <c r="AK29" i="2"/>
  <c r="AK15" i="2"/>
  <c r="AK27" i="2" s="1"/>
  <c r="AK18" i="2"/>
  <c r="AI21" i="2"/>
  <c r="AI22" i="2"/>
  <c r="AI24" i="2" s="1"/>
  <c r="AF21" i="2"/>
  <c r="AF22" i="2" s="1"/>
  <c r="AF24" i="2" s="1"/>
  <c r="AJ19" i="2"/>
  <c r="AJ28" i="2" s="1"/>
  <c r="AJ20" i="2"/>
  <c r="AG21" i="2"/>
  <c r="AG22" i="2" s="1"/>
  <c r="AG24" i="2" s="1"/>
  <c r="AE20" i="2"/>
  <c r="AH20" i="2"/>
  <c r="G18" i="2"/>
  <c r="G20" i="2" s="1"/>
  <c r="G22" i="2" s="1"/>
  <c r="G24" i="2" s="1"/>
  <c r="G28" i="2"/>
  <c r="K18" i="2"/>
  <c r="K27" i="2"/>
  <c r="O28" i="2"/>
  <c r="O27" i="2"/>
  <c r="S28" i="2"/>
  <c r="S27" i="2"/>
  <c r="P28" i="2"/>
  <c r="Q28" i="2"/>
  <c r="V20" i="2"/>
  <c r="V22" i="2" s="1"/>
  <c r="V24" i="2" s="1"/>
  <c r="V28" i="2"/>
  <c r="F20" i="2"/>
  <c r="F22" i="2" s="1"/>
  <c r="F24" i="2" s="1"/>
  <c r="F28" i="2"/>
  <c r="L20" i="2"/>
  <c r="L22" i="2" s="1"/>
  <c r="L24" i="2" s="1"/>
  <c r="L28" i="2"/>
  <c r="N20" i="2"/>
  <c r="N22" i="2" s="1"/>
  <c r="N24" i="2" s="1"/>
  <c r="N28" i="2"/>
  <c r="AH21" i="2" l="1"/>
  <c r="AH22" i="2"/>
  <c r="AH24" i="2" s="1"/>
  <c r="AE21" i="2"/>
  <c r="AE22" i="2"/>
  <c r="AM7" i="2"/>
  <c r="AL18" i="2"/>
  <c r="AL15" i="2"/>
  <c r="AL27" i="2" s="1"/>
  <c r="AL29" i="2"/>
  <c r="AK19" i="2"/>
  <c r="AK28" i="2" s="1"/>
  <c r="AK20" i="2"/>
  <c r="AJ21" i="2"/>
  <c r="AJ22" i="2" s="1"/>
  <c r="AJ24" i="2" s="1"/>
  <c r="K20" i="2"/>
  <c r="K22" i="2" s="1"/>
  <c r="K24" i="2" s="1"/>
  <c r="K28" i="2"/>
  <c r="AN7" i="2" l="1"/>
  <c r="AM15" i="2"/>
  <c r="AM27" i="2" s="1"/>
  <c r="AM18" i="2"/>
  <c r="AM29" i="2"/>
  <c r="AL19" i="2"/>
  <c r="AL28" i="2" s="1"/>
  <c r="AL20" i="2"/>
  <c r="AE24" i="2"/>
  <c r="AK21" i="2"/>
  <c r="AK22" i="2" s="1"/>
  <c r="AK24" i="2" s="1"/>
  <c r="AL21" i="2" l="1"/>
  <c r="AL22" i="2"/>
  <c r="AM19" i="2"/>
  <c r="AM28" i="2" s="1"/>
  <c r="AO7" i="2"/>
  <c r="AN15" i="2"/>
  <c r="AN27" i="2" s="1"/>
  <c r="AN18" i="2"/>
  <c r="AN29" i="2"/>
  <c r="AN19" i="2" l="1"/>
  <c r="AN28" i="2" s="1"/>
  <c r="AN20" i="2"/>
  <c r="AP7" i="2"/>
  <c r="AO18" i="2"/>
  <c r="AO29" i="2"/>
  <c r="AO15" i="2"/>
  <c r="AO27" i="2" s="1"/>
  <c r="AM20" i="2"/>
  <c r="AL24" i="2"/>
  <c r="AM21" i="2" l="1"/>
  <c r="AM22" i="2" s="1"/>
  <c r="AO19" i="2"/>
  <c r="AO28" i="2" s="1"/>
  <c r="AO20" i="2"/>
  <c r="AP29" i="2"/>
  <c r="AQ7" i="2"/>
  <c r="AP18" i="2"/>
  <c r="AP15" i="2"/>
  <c r="AP27" i="2" s="1"/>
  <c r="AN21" i="2"/>
  <c r="AN22" i="2" s="1"/>
  <c r="AN24" i="2" s="1"/>
  <c r="AM24" i="2" l="1"/>
  <c r="AP19" i="2"/>
  <c r="AP28" i="2" s="1"/>
  <c r="AR7" i="2"/>
  <c r="AQ15" i="2"/>
  <c r="AQ27" i="2" s="1"/>
  <c r="AQ29" i="2"/>
  <c r="AQ18" i="2"/>
  <c r="AO21" i="2"/>
  <c r="AO22" i="2"/>
  <c r="AO24" i="2" s="1"/>
  <c r="AQ19" i="2" l="1"/>
  <c r="AQ28" i="2" s="1"/>
  <c r="AS7" i="2"/>
  <c r="AR15" i="2"/>
  <c r="AR27" i="2" s="1"/>
  <c r="AR29" i="2"/>
  <c r="AR18" i="2"/>
  <c r="AP20" i="2"/>
  <c r="AP21" i="2" l="1"/>
  <c r="AP22" i="2"/>
  <c r="AR19" i="2"/>
  <c r="AR28" i="2" s="1"/>
  <c r="AR20" i="2"/>
  <c r="AT7" i="2"/>
  <c r="AS29" i="2"/>
  <c r="AS15" i="2"/>
  <c r="AS27" i="2" s="1"/>
  <c r="AS18" i="2"/>
  <c r="AQ20" i="2"/>
  <c r="AS19" i="2" l="1"/>
  <c r="AS28" i="2" s="1"/>
  <c r="AU7" i="2"/>
  <c r="AT18" i="2"/>
  <c r="AT15" i="2"/>
  <c r="AT27" i="2" s="1"/>
  <c r="AT29" i="2"/>
  <c r="AR21" i="2"/>
  <c r="AR22" i="2" s="1"/>
  <c r="AR24" i="2" s="1"/>
  <c r="AP24" i="2"/>
  <c r="AQ21" i="2"/>
  <c r="AQ22" i="2" s="1"/>
  <c r="AQ24" i="2" s="1"/>
  <c r="AT19" i="2" l="1"/>
  <c r="AT28" i="2" s="1"/>
  <c r="AT20" i="2"/>
  <c r="AV7" i="2"/>
  <c r="AU15" i="2"/>
  <c r="AU27" i="2" s="1"/>
  <c r="AU18" i="2"/>
  <c r="AU29" i="2"/>
  <c r="AS20" i="2"/>
  <c r="AS21" i="2" l="1"/>
  <c r="AS22" i="2" s="1"/>
  <c r="AS24" i="2" s="1"/>
  <c r="AU19" i="2"/>
  <c r="AU28" i="2" s="1"/>
  <c r="AV15" i="2"/>
  <c r="AV27" i="2" s="1"/>
  <c r="AV18" i="2"/>
  <c r="AV29" i="2"/>
  <c r="AW7" i="2"/>
  <c r="AT21" i="2"/>
  <c r="AT22" i="2" s="1"/>
  <c r="AT24" i="2" s="1"/>
  <c r="AW18" i="2" l="1"/>
  <c r="AW29" i="2"/>
  <c r="AW15" i="2"/>
  <c r="AW27" i="2" s="1"/>
  <c r="AX7" i="2"/>
  <c r="AV19" i="2"/>
  <c r="AV28" i="2" s="1"/>
  <c r="AV20" i="2"/>
  <c r="AU20" i="2"/>
  <c r="AU21" i="2" l="1"/>
  <c r="AU22" i="2"/>
  <c r="AU24" i="2" s="1"/>
  <c r="AV21" i="2"/>
  <c r="AV22" i="2"/>
  <c r="AV24" i="2" s="1"/>
  <c r="AY7" i="2"/>
  <c r="AX29" i="2"/>
  <c r="AX18" i="2"/>
  <c r="AX15" i="2"/>
  <c r="AX27" i="2" s="1"/>
  <c r="AW19" i="2"/>
  <c r="AW28" i="2" s="1"/>
  <c r="AW20" i="2"/>
  <c r="AX19" i="2" l="1"/>
  <c r="AX28" i="2" s="1"/>
  <c r="AZ7" i="2"/>
  <c r="AY29" i="2"/>
  <c r="AY15" i="2"/>
  <c r="AY27" i="2" s="1"/>
  <c r="AY18" i="2"/>
  <c r="AW21" i="2"/>
  <c r="AW22" i="2" s="1"/>
  <c r="AW24" i="2" s="1"/>
  <c r="AY19" i="2" l="1"/>
  <c r="AY28" i="2" s="1"/>
  <c r="BA7" i="2"/>
  <c r="AZ29" i="2"/>
  <c r="AZ15" i="2"/>
  <c r="AZ27" i="2" s="1"/>
  <c r="AZ18" i="2"/>
  <c r="AX20" i="2"/>
  <c r="AX21" i="2" l="1"/>
  <c r="AX22" i="2"/>
  <c r="AX24" i="2" s="1"/>
  <c r="AZ19" i="2"/>
  <c r="AZ28" i="2" s="1"/>
  <c r="AZ20" i="2"/>
  <c r="BB7" i="2"/>
  <c r="BA29" i="2"/>
  <c r="BA15" i="2"/>
  <c r="BA27" i="2" s="1"/>
  <c r="BA18" i="2"/>
  <c r="AY20" i="2"/>
  <c r="BA19" i="2" l="1"/>
  <c r="BA28" i="2" s="1"/>
  <c r="BC7" i="2"/>
  <c r="BB15" i="2"/>
  <c r="BB27" i="2" s="1"/>
  <c r="BB18" i="2"/>
  <c r="BB29" i="2"/>
  <c r="AZ21" i="2"/>
  <c r="AZ22" i="2" s="1"/>
  <c r="AZ24" i="2" s="1"/>
  <c r="AY21" i="2"/>
  <c r="AY22" i="2"/>
  <c r="AY24" i="2" s="1"/>
  <c r="BB19" i="2" l="1"/>
  <c r="BB28" i="2" s="1"/>
  <c r="BC29" i="2"/>
  <c r="BC15" i="2"/>
  <c r="BC27" i="2" s="1"/>
  <c r="BC18" i="2"/>
  <c r="BD7" i="2"/>
  <c r="BA20" i="2"/>
  <c r="BA21" i="2" l="1"/>
  <c r="BA22" i="2"/>
  <c r="BA24" i="2" s="1"/>
  <c r="BD15" i="2"/>
  <c r="BD27" i="2" s="1"/>
  <c r="BD29" i="2"/>
  <c r="BD18" i="2"/>
  <c r="BE7" i="2"/>
  <c r="BC19" i="2"/>
  <c r="BC28" i="2" s="1"/>
  <c r="BB20" i="2"/>
  <c r="BC20" i="2" l="1"/>
  <c r="BF7" i="2"/>
  <c r="BE18" i="2"/>
  <c r="BE29" i="2"/>
  <c r="BE15" i="2"/>
  <c r="BE27" i="2" s="1"/>
  <c r="BD19" i="2"/>
  <c r="BD28" i="2" s="1"/>
  <c r="BD20" i="2"/>
  <c r="BB21" i="2"/>
  <c r="BB22" i="2" s="1"/>
  <c r="BB24" i="2" s="1"/>
  <c r="BD21" i="2" l="1"/>
  <c r="BD22" i="2"/>
  <c r="BD24" i="2" s="1"/>
  <c r="BE19" i="2"/>
  <c r="BE28" i="2" s="1"/>
  <c r="BE20" i="2"/>
  <c r="BG7" i="2"/>
  <c r="BF29" i="2"/>
  <c r="BF18" i="2"/>
  <c r="BF15" i="2"/>
  <c r="BF27" i="2" s="1"/>
  <c r="BC21" i="2"/>
  <c r="BC22" i="2"/>
  <c r="BC24" i="2" s="1"/>
  <c r="BF19" i="2" l="1"/>
  <c r="BF28" i="2" s="1"/>
  <c r="BH7" i="2"/>
  <c r="BG29" i="2"/>
  <c r="BG15" i="2"/>
  <c r="BG27" i="2" s="1"/>
  <c r="BG18" i="2"/>
  <c r="BE21" i="2"/>
  <c r="BE22" i="2" s="1"/>
  <c r="BE24" i="2" s="1"/>
  <c r="BG19" i="2" l="1"/>
  <c r="BG28" i="2" s="1"/>
  <c r="BH18" i="2"/>
  <c r="BH29" i="2"/>
  <c r="BH15" i="2"/>
  <c r="BH27" i="2" s="1"/>
  <c r="BF20" i="2"/>
  <c r="BF21" i="2" l="1"/>
  <c r="BF22" i="2"/>
  <c r="BF24" i="2" s="1"/>
  <c r="BH19" i="2"/>
  <c r="BH28" i="2" s="1"/>
  <c r="BG20" i="2"/>
  <c r="BG21" i="2" l="1"/>
  <c r="BG22" i="2"/>
  <c r="BG24" i="2" s="1"/>
  <c r="BH20" i="2"/>
  <c r="BH21" i="2" l="1"/>
  <c r="BH22" i="2" s="1"/>
  <c r="BH24" i="2" l="1"/>
</calcChain>
</file>

<file path=xl/sharedStrings.xml><?xml version="1.0" encoding="utf-8"?>
<sst xmlns="http://schemas.openxmlformats.org/spreadsheetml/2006/main" count="87" uniqueCount="68">
  <si>
    <t xml:space="preserve">Ticker </t>
  </si>
  <si>
    <t xml:space="preserve">Share Price </t>
  </si>
  <si>
    <t xml:space="preserve">Shares Outstanding </t>
  </si>
  <si>
    <t xml:space="preserve">Market Cap </t>
  </si>
  <si>
    <t xml:space="preserve">Cash </t>
  </si>
  <si>
    <t xml:space="preserve">Debt </t>
  </si>
  <si>
    <t xml:space="preserve">EV </t>
  </si>
  <si>
    <t xml:space="preserve">SPGI </t>
  </si>
  <si>
    <t xml:space="preserve">Revenue </t>
  </si>
  <si>
    <t xml:space="preserve">Expenses: </t>
  </si>
  <si>
    <t xml:space="preserve">Operation </t>
  </si>
  <si>
    <t>SG&amp;A</t>
  </si>
  <si>
    <t>Dep</t>
  </si>
  <si>
    <t xml:space="preserve">Amortisation </t>
  </si>
  <si>
    <t>Total Expenses</t>
  </si>
  <si>
    <t>Equity in income on unconsolidated subsidiaries</t>
  </si>
  <si>
    <t xml:space="preserve">Operating Profit </t>
  </si>
  <si>
    <t>Other income (expense)</t>
  </si>
  <si>
    <t>Interest expense</t>
  </si>
  <si>
    <t xml:space="preserve">Income before taxes </t>
  </si>
  <si>
    <t>Taxes</t>
  </si>
  <si>
    <t xml:space="preserve">Net Income </t>
  </si>
  <si>
    <t xml:space="preserve">Less: Attrib to NCI </t>
  </si>
  <si>
    <t>Net Income to SPGI</t>
  </si>
  <si>
    <t xml:space="preserve">EPS </t>
  </si>
  <si>
    <t xml:space="preserve">Shares 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</si>
  <si>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</si>
  <si>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</si>
  <si>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</si>
  <si>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</si>
  <si>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</si>
  <si>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</si>
  <si>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</si>
  <si>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</si>
  <si>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</si>
  <si>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</si>
  <si>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</si>
  <si>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</si>
  <si>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</si>
  <si>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</si>
  <si>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</si>
  <si>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</si>
  <si>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</si>
  <si>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</si>
  <si>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</si>
  <si>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</si>
  <si>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March</t>
  </si>
  <si>
    <t xml:space="preserve">June </t>
  </si>
  <si>
    <t>Sep</t>
  </si>
  <si>
    <t xml:space="preserve">Dec </t>
  </si>
  <si>
    <t>Gross Margin</t>
  </si>
  <si>
    <t>Revenue Y/Y</t>
  </si>
  <si>
    <t xml:space="preserve">Net Interest Margin </t>
  </si>
  <si>
    <t xml:space="preserve">Loan to Asset Ratio </t>
  </si>
  <si>
    <t xml:space="preserve">Return on Assets </t>
  </si>
  <si>
    <t>Assumptions</t>
  </si>
  <si>
    <t>Data</t>
  </si>
  <si>
    <t>Revenue YoY</t>
  </si>
  <si>
    <t>Margin</t>
  </si>
  <si>
    <t>Operating Expenses</t>
  </si>
  <si>
    <t>What the Market Thinks</t>
  </si>
  <si>
    <t>NPV</t>
  </si>
  <si>
    <t>Net NPV</t>
  </si>
  <si>
    <t>Share Price</t>
  </si>
  <si>
    <t xml:space="preserve">Tax Rate </t>
  </si>
  <si>
    <t xml:space="preserve">Maturity </t>
  </si>
  <si>
    <t xml:space="preserve">Discount Rate </t>
  </si>
  <si>
    <t xml:space="preserve">Current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</si>
</sst>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£&quot;#,##0.00_);[Red]\(&quot;£&quot;#,##0.00\)"/>
    <numFmt numFmtId="164" formatCode="[$$-409]#,##0"/>
    <numFmt numFmtId="168" formatCode="0.0%"/>
    <numFmt numFmtId="169" formatCode="[$$-409]#,##0.00_);[Red]\([$$-409]#,##0.00\)"/>
    <numFmt numFmtId="170" formatCode="[$$-409]#,##0.00"/>
  </numFmts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3" borderId="0" xfId="0" applyFill="1"/>
    <xf numFmtId="0" fontId="3" fillId="0" borderId="0" xfId="0" applyFont="1"/>
    <xf numFmtId="0" fontId="3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4" borderId="0" xfId="0" applyFill="1"/>
    <xf numFmtId="8" fontId="0" fillId="4" borderId="0" xfId="0" applyNumberFormat="1" applyFill="1" applyAlignment="1">
      <alignment horizontal="center"/>
    </xf>
    <xf numFmtId="169" fontId="0" fillId="4" borderId="0" xfId="0" applyNumberFormat="1" applyFill="1" applyAlignment="1">
      <alignment horizontal="center"/>
    </xf>
    <xf numFmtId="170" fontId="0" fillId="4" borderId="0" xfId="0" applyNumberFormat="1" applyFill="1" applyAlignment="1">
      <alignment horizontal="center"/>
    </xf>
    <xf numFmtId="168" fontId="0" fillId="0" borderId="0" xfId="0" applyNumberFormat="1"/>
    <xf numFmtId="164" fontId="0" fillId="3" borderId="0" xfId="0" applyNumberForma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170" fontId="0" fillId="3" borderId="0" xfId="0" applyNumberFormat="1" applyFill="1" applyAlignment="1">
      <alignment horizontal="center"/>
    </xf>
    <xf numFmtId="9" fontId="0" fillId="3" borderId="0" xfId="0" applyNumberFormat="1" applyFill="1" applyAlignment="1">
      <alignment horizontal="center"/>
    </xf>
    <xf numFmtId="9" fontId="0" fillId="0" borderId="0" xfId="0" applyNumberFormat="1" applyFill="1" applyAlignment="1">
      <alignment horizontal="center"/>
    </xf>
    <xf numFmtId="168" fontId="0" fillId="3" borderId="0" xfId="0" applyNumberFormat="1" applyFill="1" applyAlignment="1">
      <alignment horizontal="center"/>
    </xf>
  </cellXfs>
  <cellStyles count="1">
    <cellStyle name="Normal" xfId="0" builtinId="0"/>
  </cellStyles>
  <dxfs count="1">
    <dxf>
      <numFmt numFmtId="164" formatCode="[$$-409]#,##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8118B9-F5A1-3146-B72B-74AB027A988C}" name="Table1" displayName="Table1" ref="Y40:Z49" totalsRowShown="0">
  <autoFilter ref="Y40:Z49" xr:uid="{358118B9-F5A1-3146-B72B-74AB027A988C}"/>
  <tableColumns count="2">
    <tableColumn id="1" xr3:uid="{A1E51887-ECFD-0F4F-A295-B8554B2CA1A3}" name="What the Market Thinks"/>
    <tableColumn id="2" xr3:uid="{A1216A7F-EEF0-C24A-ACA3-97B147825349}" name="Dat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F1BBBE-29E1-324D-AD63-27E4DCDE449B}" name="Table2" displayName="Table2" ref="Y33:Z38" totalsRowShown="0">
  <autoFilter ref="Y33:Z38" xr:uid="{61F1BBBE-29E1-324D-AD63-27E4DCDE449B}"/>
  <tableColumns count="2">
    <tableColumn id="1" xr3:uid="{3694C899-2EAD-7744-A9F9-F87DC29F0799}" name="Assumptions"/>
    <tableColumn id="2" xr3:uid="{D30CC273-13D4-4F4B-BD78-9AB4E39E36B1}" name="Data" dataDxfId="0">
      <calculatedColumnFormula>AVERAGE(D27:S27)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5490C-145A-1A47-A6CD-ACFF912B89B7}">
  <dimension ref="B5:C11"/>
  <sheetViews>
    <sheetView workbookViewId="0">
      <selection activeCell="E17" sqref="E17"/>
    </sheetView>
  </sheetViews>
  <sheetFormatPr baseColWidth="10" defaultRowHeight="16" x14ac:dyDescent="0.2"/>
  <cols>
    <col min="2" max="2" width="17.33203125" bestFit="1" customWidth="1"/>
  </cols>
  <sheetData>
    <row r="5" spans="2:3" x14ac:dyDescent="0.2">
      <c r="B5" t="s">
        <v>0</v>
      </c>
      <c r="C5" t="s">
        <v>7</v>
      </c>
    </row>
    <row r="6" spans="2:3" x14ac:dyDescent="0.2">
      <c r="B6" t="s">
        <v>1</v>
      </c>
      <c r="C6" s="1">
        <v>479.84</v>
      </c>
    </row>
    <row r="7" spans="2:3" x14ac:dyDescent="0.2">
      <c r="B7" t="s">
        <v>2</v>
      </c>
      <c r="C7" s="1">
        <v>312.89999999999998</v>
      </c>
    </row>
    <row r="8" spans="2:3" x14ac:dyDescent="0.2">
      <c r="B8" t="s">
        <v>3</v>
      </c>
      <c r="C8" s="1">
        <f>C7*C6</f>
        <v>150141.93599999999</v>
      </c>
    </row>
    <row r="9" spans="2:3" x14ac:dyDescent="0.2">
      <c r="B9" t="s">
        <v>4</v>
      </c>
      <c r="C9" s="1">
        <v>1290</v>
      </c>
    </row>
    <row r="10" spans="2:3" x14ac:dyDescent="0.2">
      <c r="B10" t="s">
        <v>5</v>
      </c>
      <c r="C10" s="1">
        <f>47+11412</f>
        <v>11459</v>
      </c>
    </row>
    <row r="11" spans="2:3" x14ac:dyDescent="0.2">
      <c r="B11" t="s">
        <v>6</v>
      </c>
      <c r="C11" s="1">
        <f>C8-C10+C9</f>
        <v>139972.93599999999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995D4-B5F7-7544-9C2B-8BCFB91D00DA}">
  <dimension ref="C5:BH50"/>
  <sheetViews>
    <sheetView tabSelected="1" workbookViewId="0">
      <pane xSplit="3" ySplit="6" topLeftCell="V26" activePane="bottomRight" state="frozen"/>
      <selection pane="topRight" activeCell="D1" sqref="D1"/>
      <selection pane="bottomLeft" activeCell="A7" sqref="A7"/>
      <selection pane="bottomRight" activeCell="AB38" sqref="AB38"/>
    </sheetView>
  </sheetViews>
  <sheetFormatPr baseColWidth="10" defaultRowHeight="16" x14ac:dyDescent="0.2"/>
  <cols>
    <col min="3" max="3" width="40.33203125" bestFit="1" customWidth="1"/>
    <col min="25" max="25" width="20" bestFit="1" customWidth="1"/>
    <col min="26" max="26" width="17.1640625" bestFit="1" customWidth="1"/>
    <col min="43" max="43" width="11.1640625" bestFit="1" customWidth="1"/>
    <col min="49" max="49" width="11.1640625" bestFit="1" customWidth="1"/>
    <col min="56" max="56" width="11.1640625" bestFit="1" customWidth="1"/>
  </cols>
  <sheetData>
    <row r="5" spans="3:60" x14ac:dyDescent="0.2">
      <c r="D5" s="4" t="s">
        <v>46</v>
      </c>
      <c r="E5" s="4" t="s">
        <v>47</v>
      </c>
      <c r="F5" s="4" t="s">
        <v>48</v>
      </c>
      <c r="G5" s="4" t="s">
        <v>49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46</v>
      </c>
      <c r="M5" s="4" t="s">
        <v>47</v>
      </c>
      <c r="N5" s="4" t="s">
        <v>48</v>
      </c>
      <c r="O5" s="4" t="s">
        <v>49</v>
      </c>
      <c r="P5" s="4" t="s">
        <v>46</v>
      </c>
      <c r="Q5" s="4" t="s">
        <v>47</v>
      </c>
      <c r="R5" s="4" t="s">
        <v>48</v>
      </c>
      <c r="S5" s="4" t="s">
        <v>49</v>
      </c>
      <c r="T5" s="4" t="s">
        <v>46</v>
      </c>
      <c r="U5" s="4" t="s">
        <v>47</v>
      </c>
      <c r="V5" s="4" t="s">
        <v>48</v>
      </c>
      <c r="W5" s="4" t="s">
        <v>49</v>
      </c>
    </row>
    <row r="6" spans="3:60" x14ac:dyDescent="0.2">
      <c r="D6" s="5" t="s">
        <v>26</v>
      </c>
      <c r="E6" s="5" t="s">
        <v>27</v>
      </c>
      <c r="F6" s="5" t="s">
        <v>28</v>
      </c>
      <c r="G6" s="5" t="s">
        <v>29</v>
      </c>
      <c r="H6" s="5" t="s">
        <v>30</v>
      </c>
      <c r="I6" s="5" t="s">
        <v>31</v>
      </c>
      <c r="J6" s="5" t="s">
        <v>32</v>
      </c>
      <c r="K6" s="5" t="s">
        <v>33</v>
      </c>
      <c r="L6" s="5" t="s">
        <v>34</v>
      </c>
      <c r="M6" s="5" t="s">
        <v>35</v>
      </c>
      <c r="N6" s="5" t="s">
        <v>36</v>
      </c>
      <c r="O6" s="5" t="s">
        <v>37</v>
      </c>
      <c r="P6" s="5" t="s">
        <v>38</v>
      </c>
      <c r="Q6" s="5" t="s">
        <v>39</v>
      </c>
      <c r="R6" s="5" t="s">
        <v>40</v>
      </c>
      <c r="S6" s="5" t="s">
        <v>41</v>
      </c>
      <c r="T6" s="5" t="s">
        <v>42</v>
      </c>
      <c r="U6" s="5" t="s">
        <v>43</v>
      </c>
      <c r="V6" s="5" t="s">
        <v>44</v>
      </c>
      <c r="W6" s="5" t="s">
        <v>45</v>
      </c>
      <c r="Z6" s="5">
        <v>2020</v>
      </c>
      <c r="AA6" s="5">
        <v>2021</v>
      </c>
      <c r="AB6" s="5">
        <v>2022</v>
      </c>
      <c r="AC6" s="5">
        <v>2023</v>
      </c>
      <c r="AD6" s="5">
        <v>2024</v>
      </c>
      <c r="AE6" s="5">
        <v>2025</v>
      </c>
      <c r="AF6" s="5">
        <v>2026</v>
      </c>
      <c r="AG6" s="5">
        <v>2027</v>
      </c>
      <c r="AH6" s="5">
        <v>2028</v>
      </c>
      <c r="AI6" s="5">
        <v>2029</v>
      </c>
      <c r="AJ6" s="5">
        <v>2030</v>
      </c>
      <c r="AK6" s="5">
        <v>2031</v>
      </c>
      <c r="AL6" s="5">
        <v>2032</v>
      </c>
      <c r="AM6" s="5">
        <v>2033</v>
      </c>
      <c r="AN6" s="5">
        <v>2034</v>
      </c>
      <c r="AO6" s="5">
        <v>2035</v>
      </c>
      <c r="AP6" s="5">
        <v>2036</v>
      </c>
      <c r="AQ6" s="5">
        <v>2037</v>
      </c>
      <c r="AR6" s="5">
        <v>2038</v>
      </c>
      <c r="AS6" s="5">
        <v>2039</v>
      </c>
      <c r="AT6" s="5">
        <v>2040</v>
      </c>
      <c r="AU6" s="5">
        <v>2041</v>
      </c>
      <c r="AV6" s="5">
        <v>2042</v>
      </c>
      <c r="AW6" s="5">
        <v>2043</v>
      </c>
      <c r="AX6" s="5">
        <v>2044</v>
      </c>
      <c r="AY6" s="5">
        <v>2045</v>
      </c>
      <c r="AZ6" s="5">
        <v>2046</v>
      </c>
      <c r="BA6" s="5">
        <v>2047</v>
      </c>
      <c r="BB6" s="5">
        <v>2048</v>
      </c>
      <c r="BC6" s="5">
        <v>2049</v>
      </c>
      <c r="BD6" s="5">
        <v>2050</v>
      </c>
      <c r="BE6" s="5">
        <v>2051</v>
      </c>
      <c r="BF6" s="5">
        <v>2052</v>
      </c>
      <c r="BG6" s="5">
        <v>2053</v>
      </c>
      <c r="BH6" s="5">
        <v>2054</v>
      </c>
    </row>
    <row r="7" spans="3:60" x14ac:dyDescent="0.2">
      <c r="C7" s="8" t="s">
        <v>8</v>
      </c>
      <c r="D7" s="10">
        <v>1786</v>
      </c>
      <c r="E7" s="10">
        <v>1943</v>
      </c>
      <c r="F7" s="10">
        <v>1846</v>
      </c>
      <c r="G7" s="10">
        <f>7442-SUM(D7:F7)</f>
        <v>1867</v>
      </c>
      <c r="H7" s="10">
        <v>2016</v>
      </c>
      <c r="I7" s="10">
        <v>2106</v>
      </c>
      <c r="J7" s="10">
        <v>2087</v>
      </c>
      <c r="K7" s="10">
        <f>8297-SUM(H7:J7)</f>
        <v>2088</v>
      </c>
      <c r="L7" s="10">
        <v>2389</v>
      </c>
      <c r="M7" s="10">
        <v>2993</v>
      </c>
      <c r="N7" s="10">
        <v>2861</v>
      </c>
      <c r="O7" s="10">
        <f>11181-SUM(L7:N7)</f>
        <v>2938</v>
      </c>
      <c r="P7" s="10">
        <v>3160</v>
      </c>
      <c r="Q7" s="10">
        <v>3101</v>
      </c>
      <c r="R7" s="10">
        <v>3084</v>
      </c>
      <c r="S7" s="10">
        <f>12947-SUM(P7:R7)</f>
        <v>3602</v>
      </c>
      <c r="T7" s="10">
        <v>3491</v>
      </c>
      <c r="U7" s="10">
        <v>3549</v>
      </c>
      <c r="V7" s="10"/>
      <c r="W7" s="10"/>
      <c r="Z7" s="10">
        <f>SUM(D7:G7)</f>
        <v>7442</v>
      </c>
      <c r="AA7" s="10">
        <f>SUM(H7:K7)</f>
        <v>8297</v>
      </c>
      <c r="AB7" s="10">
        <f>SUM(L7:O7)</f>
        <v>11181</v>
      </c>
      <c r="AC7" s="10">
        <f>SUM(P7:S7)</f>
        <v>12947</v>
      </c>
      <c r="AD7" s="25">
        <f>AC7*1.15</f>
        <v>14889.05</v>
      </c>
      <c r="AE7" s="25">
        <f t="shared" ref="AE7:AI7" si="0">AD7*1.15</f>
        <v>17122.407499999998</v>
      </c>
      <c r="AF7" s="25">
        <f t="shared" si="0"/>
        <v>19690.768624999997</v>
      </c>
      <c r="AG7" s="25">
        <f t="shared" si="0"/>
        <v>22644.383918749994</v>
      </c>
      <c r="AH7" s="25">
        <f t="shared" si="0"/>
        <v>26041.041506562491</v>
      </c>
      <c r="AI7" s="25">
        <f t="shared" si="0"/>
        <v>29947.197732546862</v>
      </c>
      <c r="AJ7" s="25">
        <f>AI7*1.13</f>
        <v>33840.333437777954</v>
      </c>
      <c r="AK7" s="25">
        <f t="shared" ref="AK7:AP7" si="1">AJ7*1.13</f>
        <v>38239.576784689081</v>
      </c>
      <c r="AL7" s="25">
        <f t="shared" si="1"/>
        <v>43210.721766698654</v>
      </c>
      <c r="AM7" s="25">
        <f t="shared" si="1"/>
        <v>48828.115596369476</v>
      </c>
      <c r="AN7" s="25">
        <f t="shared" si="1"/>
        <v>55175.770623897501</v>
      </c>
      <c r="AO7" s="25">
        <f t="shared" si="1"/>
        <v>62348.620805004168</v>
      </c>
      <c r="AP7" s="25">
        <f t="shared" si="1"/>
        <v>70453.941509654702</v>
      </c>
      <c r="AQ7" s="25">
        <f>AP7*1.1</f>
        <v>77499.335660620185</v>
      </c>
      <c r="AR7" s="25">
        <f t="shared" ref="AR7:AV7" si="2">AQ7*1.1</f>
        <v>85249.269226682212</v>
      </c>
      <c r="AS7" s="25">
        <f t="shared" si="2"/>
        <v>93774.196149350435</v>
      </c>
      <c r="AT7" s="25">
        <f t="shared" si="2"/>
        <v>103151.61576428548</v>
      </c>
      <c r="AU7" s="25">
        <f t="shared" si="2"/>
        <v>113466.77734071403</v>
      </c>
      <c r="AV7" s="25">
        <f t="shared" si="2"/>
        <v>124813.45507478545</v>
      </c>
      <c r="AW7" s="25">
        <f>AV7*1.05</f>
        <v>131054.12782852472</v>
      </c>
      <c r="AX7" s="25">
        <f t="shared" ref="AX7:BC7" si="3">AW7*1.05</f>
        <v>137606.83421995098</v>
      </c>
      <c r="AY7" s="25">
        <f t="shared" si="3"/>
        <v>144487.17593094852</v>
      </c>
      <c r="AZ7" s="25">
        <f t="shared" si="3"/>
        <v>151711.53472749595</v>
      </c>
      <c r="BA7" s="25">
        <f t="shared" si="3"/>
        <v>159297.11146387077</v>
      </c>
      <c r="BB7" s="25">
        <f t="shared" si="3"/>
        <v>167261.96703706431</v>
      </c>
      <c r="BC7" s="25">
        <f t="shared" si="3"/>
        <v>175625.06538891754</v>
      </c>
      <c r="BD7" s="25">
        <f>BC7*1.02</f>
        <v>179137.5666966959</v>
      </c>
      <c r="BE7" s="25">
        <f t="shared" ref="BE7:BH7" si="4">BD7*1.02</f>
        <v>182720.31803062983</v>
      </c>
      <c r="BF7" s="25">
        <f t="shared" si="4"/>
        <v>186374.72439124243</v>
      </c>
      <c r="BG7" s="25">
        <f t="shared" si="4"/>
        <v>190102.21887906728</v>
      </c>
      <c r="BH7" s="25">
        <f t="shared" si="4"/>
        <v>193904.26325664864</v>
      </c>
    </row>
    <row r="8" spans="3:60" x14ac:dyDescent="0.2">
      <c r="C8" t="s">
        <v>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Z8" s="4"/>
      <c r="AA8" s="4"/>
      <c r="AB8" s="4"/>
      <c r="AC8" s="4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</row>
    <row r="9" spans="3:60" x14ac:dyDescent="0.2">
      <c r="C9" s="2" t="s">
        <v>10</v>
      </c>
      <c r="D9" s="6">
        <v>518</v>
      </c>
      <c r="E9" s="6">
        <v>493</v>
      </c>
      <c r="F9" s="6">
        <v>517</v>
      </c>
      <c r="G9" s="6">
        <f>2094-SUM(D9:F9)</f>
        <v>566</v>
      </c>
      <c r="H9" s="6">
        <v>527</v>
      </c>
      <c r="I9" s="6">
        <v>533</v>
      </c>
      <c r="J9" s="6">
        <v>543</v>
      </c>
      <c r="K9" s="6">
        <f>2180-SUM(H9:J9)</f>
        <v>577</v>
      </c>
      <c r="L9" s="6">
        <v>749</v>
      </c>
      <c r="M9" s="6">
        <v>1011</v>
      </c>
      <c r="N9" s="6">
        <v>989</v>
      </c>
      <c r="O9" s="6">
        <f>3753-SUM(L9:N9)</f>
        <v>1004</v>
      </c>
      <c r="P9" s="6">
        <v>1088</v>
      </c>
      <c r="Q9" s="6">
        <v>1026</v>
      </c>
      <c r="R9" s="6">
        <v>995</v>
      </c>
      <c r="S9" s="6">
        <f>4141-SUM(P9:R9)</f>
        <v>1032</v>
      </c>
      <c r="T9" s="6">
        <v>1120</v>
      </c>
      <c r="U9" s="6">
        <v>1085</v>
      </c>
      <c r="V9" s="6"/>
      <c r="W9" s="6"/>
      <c r="Z9" s="6">
        <f>SUM(D9:G9)</f>
        <v>2094</v>
      </c>
      <c r="AA9" s="6">
        <f t="shared" ref="AA9:AA21" si="5">SUM(H9:K9)</f>
        <v>2180</v>
      </c>
      <c r="AB9" s="6">
        <f t="shared" ref="AB9:AB21" si="6">SUM(L9:O9)</f>
        <v>3753</v>
      </c>
      <c r="AC9" s="6">
        <f t="shared" ref="AC9:AC21" si="7">SUM(P9:S9)</f>
        <v>4141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</row>
    <row r="10" spans="3:60" x14ac:dyDescent="0.2">
      <c r="C10" s="2" t="s">
        <v>11</v>
      </c>
      <c r="D10" s="6">
        <v>314</v>
      </c>
      <c r="E10" s="6">
        <v>295</v>
      </c>
      <c r="F10" s="6">
        <v>341</v>
      </c>
      <c r="G10" s="6">
        <f>1541-SUM(D10:F10)</f>
        <v>591</v>
      </c>
      <c r="H10" s="6">
        <v>360</v>
      </c>
      <c r="I10" s="6">
        <v>374</v>
      </c>
      <c r="J10" s="6">
        <v>423</v>
      </c>
      <c r="K10" s="6">
        <f>1729-SUM(H10:J10)</f>
        <v>572</v>
      </c>
      <c r="L10" s="6">
        <v>958</v>
      </c>
      <c r="M10" s="6">
        <v>764</v>
      </c>
      <c r="N10" s="6">
        <v>725</v>
      </c>
      <c r="O10" s="6">
        <f>3396-SUM(L10:N10)</f>
        <v>949</v>
      </c>
      <c r="P10" s="6">
        <v>705</v>
      </c>
      <c r="Q10" s="6">
        <v>771</v>
      </c>
      <c r="R10" s="6">
        <v>741</v>
      </c>
      <c r="S10" s="6">
        <f>3159-SUM(P10:R10)</f>
        <v>942</v>
      </c>
      <c r="T10" s="6">
        <v>705</v>
      </c>
      <c r="U10" s="6">
        <v>734</v>
      </c>
      <c r="V10" s="6"/>
      <c r="W10" s="6"/>
      <c r="Z10" s="6">
        <f>SUM(D10:G10)</f>
        <v>1541</v>
      </c>
      <c r="AA10" s="6">
        <f t="shared" si="5"/>
        <v>1729</v>
      </c>
      <c r="AB10" s="6">
        <f t="shared" si="6"/>
        <v>3396</v>
      </c>
      <c r="AC10" s="6">
        <f t="shared" si="7"/>
        <v>3159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</row>
    <row r="11" spans="3:60" x14ac:dyDescent="0.2">
      <c r="C11" s="2" t="s">
        <v>12</v>
      </c>
      <c r="D11" s="6">
        <v>20</v>
      </c>
      <c r="E11" s="6">
        <v>19</v>
      </c>
      <c r="F11" s="6">
        <v>20</v>
      </c>
      <c r="G11" s="6">
        <f>83-SUM(D11:F11)</f>
        <v>24</v>
      </c>
      <c r="H11" s="6">
        <v>19</v>
      </c>
      <c r="I11" s="6">
        <v>23</v>
      </c>
      <c r="J11" s="6">
        <v>20</v>
      </c>
      <c r="K11" s="6">
        <f>82-SUM(H11:J11)</f>
        <v>20</v>
      </c>
      <c r="L11" s="6">
        <v>26</v>
      </c>
      <c r="M11" s="6">
        <v>36</v>
      </c>
      <c r="N11" s="6">
        <v>31</v>
      </c>
      <c r="O11" s="6">
        <f>108-SUM(L11:N11)</f>
        <v>15</v>
      </c>
      <c r="P11" s="6">
        <v>25</v>
      </c>
      <c r="Q11" s="6">
        <v>24</v>
      </c>
      <c r="R11" s="6">
        <v>22</v>
      </c>
      <c r="S11" s="6">
        <f>101-SUM(P11:R11)</f>
        <v>30</v>
      </c>
      <c r="T11" s="6">
        <v>23</v>
      </c>
      <c r="U11" s="6">
        <v>25</v>
      </c>
      <c r="V11" s="6"/>
      <c r="W11" s="6"/>
      <c r="Z11" s="6">
        <f>SUM(D11:G11)</f>
        <v>83</v>
      </c>
      <c r="AA11" s="6">
        <f t="shared" si="5"/>
        <v>82</v>
      </c>
      <c r="AB11" s="6">
        <f t="shared" si="6"/>
        <v>108</v>
      </c>
      <c r="AC11" s="6">
        <f t="shared" si="7"/>
        <v>101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</row>
    <row r="12" spans="3:60" x14ac:dyDescent="0.2">
      <c r="C12" s="2" t="s">
        <v>13</v>
      </c>
      <c r="D12" s="6">
        <v>29</v>
      </c>
      <c r="E12" s="6">
        <v>32</v>
      </c>
      <c r="F12" s="6">
        <v>32</v>
      </c>
      <c r="G12" s="6">
        <f>123-SUM(D12:F12)</f>
        <v>30</v>
      </c>
      <c r="H12" s="6">
        <v>31</v>
      </c>
      <c r="I12" s="6">
        <v>22</v>
      </c>
      <c r="J12" s="6">
        <v>21</v>
      </c>
      <c r="K12" s="6">
        <f>96-SUM(H12:J12)</f>
        <v>22</v>
      </c>
      <c r="L12" s="6">
        <v>11</v>
      </c>
      <c r="M12" s="6">
        <v>267</v>
      </c>
      <c r="N12" s="6">
        <v>267</v>
      </c>
      <c r="O12" s="6">
        <f>905-SUM(L12:N12)</f>
        <v>360</v>
      </c>
      <c r="P12" s="6">
        <v>262</v>
      </c>
      <c r="Q12" s="6">
        <v>261</v>
      </c>
      <c r="R12" s="6">
        <v>260</v>
      </c>
      <c r="S12" s="6">
        <f>1042-SUM(P12:R12)</f>
        <v>259</v>
      </c>
      <c r="T12" s="6">
        <v>264</v>
      </c>
      <c r="U12" s="6">
        <v>266</v>
      </c>
      <c r="V12" s="6"/>
      <c r="W12" s="6"/>
      <c r="Z12" s="6">
        <f>SUM(D12:G12)</f>
        <v>123</v>
      </c>
      <c r="AA12" s="6">
        <f t="shared" si="5"/>
        <v>96</v>
      </c>
      <c r="AB12" s="6">
        <f t="shared" si="6"/>
        <v>905</v>
      </c>
      <c r="AC12" s="6">
        <f t="shared" si="7"/>
        <v>1042</v>
      </c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</row>
    <row r="13" spans="3:60" x14ac:dyDescent="0.2">
      <c r="C13" s="8" t="s">
        <v>14</v>
      </c>
      <c r="D13" s="10">
        <f>SUM(D9:D12)</f>
        <v>881</v>
      </c>
      <c r="E13" s="10">
        <f t="shared" ref="E13:W13" si="8">SUM(E9:E12)</f>
        <v>839</v>
      </c>
      <c r="F13" s="10">
        <f t="shared" si="8"/>
        <v>910</v>
      </c>
      <c r="G13" s="10">
        <f t="shared" ref="G13" si="9">SUM(G9:G12)</f>
        <v>1211</v>
      </c>
      <c r="H13" s="10">
        <f t="shared" si="8"/>
        <v>937</v>
      </c>
      <c r="I13" s="10">
        <f t="shared" si="8"/>
        <v>952</v>
      </c>
      <c r="J13" s="10">
        <f t="shared" si="8"/>
        <v>1007</v>
      </c>
      <c r="K13" s="10">
        <f t="shared" si="8"/>
        <v>1191</v>
      </c>
      <c r="L13" s="10">
        <f t="shared" si="8"/>
        <v>1744</v>
      </c>
      <c r="M13" s="10">
        <f t="shared" si="8"/>
        <v>2078</v>
      </c>
      <c r="N13" s="10">
        <f t="shared" si="8"/>
        <v>2012</v>
      </c>
      <c r="O13" s="10">
        <f t="shared" ref="O13" si="10">SUM(O9:O12)</f>
        <v>2328</v>
      </c>
      <c r="P13" s="10">
        <f t="shared" si="8"/>
        <v>2080</v>
      </c>
      <c r="Q13" s="10">
        <f t="shared" si="8"/>
        <v>2082</v>
      </c>
      <c r="R13" s="10">
        <f t="shared" si="8"/>
        <v>2018</v>
      </c>
      <c r="S13" s="10">
        <f t="shared" si="8"/>
        <v>2263</v>
      </c>
      <c r="T13" s="10">
        <f t="shared" si="8"/>
        <v>2112</v>
      </c>
      <c r="U13" s="10">
        <f t="shared" si="8"/>
        <v>2110</v>
      </c>
      <c r="V13" s="10">
        <f t="shared" si="8"/>
        <v>0</v>
      </c>
      <c r="W13" s="10">
        <f t="shared" si="8"/>
        <v>0</v>
      </c>
      <c r="Z13" s="10">
        <f t="shared" ref="Z13:AC13" si="11">SUM(Z9:Z12)</f>
        <v>3841</v>
      </c>
      <c r="AA13" s="10">
        <f t="shared" si="11"/>
        <v>4087</v>
      </c>
      <c r="AB13" s="10">
        <f t="shared" si="11"/>
        <v>8162</v>
      </c>
      <c r="AC13" s="10">
        <f t="shared" si="11"/>
        <v>8443</v>
      </c>
      <c r="AD13" s="25">
        <f>AD7*0.56</f>
        <v>8337.8680000000004</v>
      </c>
      <c r="AE13" s="25">
        <f t="shared" ref="AE13:BH13" si="12">AE7*0.56</f>
        <v>9588.5481999999993</v>
      </c>
      <c r="AF13" s="25">
        <f t="shared" si="12"/>
        <v>11026.83043</v>
      </c>
      <c r="AG13" s="25">
        <f t="shared" si="12"/>
        <v>12680.854994499998</v>
      </c>
      <c r="AH13" s="25">
        <f t="shared" si="12"/>
        <v>14582.983243674997</v>
      </c>
      <c r="AI13" s="25">
        <f t="shared" si="12"/>
        <v>16770.430730226242</v>
      </c>
      <c r="AJ13" s="25">
        <f t="shared" si="12"/>
        <v>18950.586725155656</v>
      </c>
      <c r="AK13" s="25">
        <f t="shared" si="12"/>
        <v>21414.162999425887</v>
      </c>
      <c r="AL13" s="25">
        <f t="shared" si="12"/>
        <v>24198.00418935125</v>
      </c>
      <c r="AM13" s="25">
        <f t="shared" si="12"/>
        <v>27343.744733966909</v>
      </c>
      <c r="AN13" s="25">
        <f t="shared" si="12"/>
        <v>30898.431549382603</v>
      </c>
      <c r="AO13" s="25">
        <f t="shared" si="12"/>
        <v>34915.227650802335</v>
      </c>
      <c r="AP13" s="25">
        <f t="shared" si="12"/>
        <v>39454.207245406637</v>
      </c>
      <c r="AQ13" s="25">
        <f t="shared" si="12"/>
        <v>43399.627969947309</v>
      </c>
      <c r="AR13" s="25">
        <f t="shared" si="12"/>
        <v>47739.590766942041</v>
      </c>
      <c r="AS13" s="25">
        <f t="shared" si="12"/>
        <v>52513.549843636247</v>
      </c>
      <c r="AT13" s="25">
        <f t="shared" si="12"/>
        <v>57764.904827999875</v>
      </c>
      <c r="AU13" s="25">
        <f t="shared" si="12"/>
        <v>63541.395310799868</v>
      </c>
      <c r="AV13" s="25">
        <f t="shared" si="12"/>
        <v>69895.534841879853</v>
      </c>
      <c r="AW13" s="25">
        <f t="shared" si="12"/>
        <v>73390.311583973846</v>
      </c>
      <c r="AX13" s="25">
        <f t="shared" si="12"/>
        <v>77059.827163172551</v>
      </c>
      <c r="AY13" s="25">
        <f t="shared" si="12"/>
        <v>80912.818521331181</v>
      </c>
      <c r="AZ13" s="25">
        <f t="shared" si="12"/>
        <v>84958.459447397734</v>
      </c>
      <c r="BA13" s="25">
        <f t="shared" si="12"/>
        <v>89206.382419767644</v>
      </c>
      <c r="BB13" s="25">
        <f t="shared" si="12"/>
        <v>93666.701540756025</v>
      </c>
      <c r="BC13" s="25">
        <f t="shared" si="12"/>
        <v>98350.036617793841</v>
      </c>
      <c r="BD13" s="25">
        <f t="shared" si="12"/>
        <v>100317.03735014971</v>
      </c>
      <c r="BE13" s="25">
        <f t="shared" si="12"/>
        <v>102323.37809715272</v>
      </c>
      <c r="BF13" s="25">
        <f t="shared" si="12"/>
        <v>104369.84565909576</v>
      </c>
      <c r="BG13" s="25">
        <f t="shared" si="12"/>
        <v>106457.24257227768</v>
      </c>
      <c r="BH13" s="25">
        <f t="shared" si="12"/>
        <v>108586.38742372325</v>
      </c>
    </row>
    <row r="14" spans="3:60" x14ac:dyDescent="0.2">
      <c r="C14" s="3" t="s">
        <v>15</v>
      </c>
      <c r="D14" s="6">
        <v>-7</v>
      </c>
      <c r="E14" s="6">
        <v>-1</v>
      </c>
      <c r="F14" s="6">
        <v>-8</v>
      </c>
      <c r="G14" s="6">
        <f>-16-SUM(D14:F14)</f>
        <v>0</v>
      </c>
      <c r="H14" s="6">
        <v>-2</v>
      </c>
      <c r="I14" s="6"/>
      <c r="J14" s="6">
        <v>-3</v>
      </c>
      <c r="K14" s="6">
        <f>-11-SUM(H14:J14)</f>
        <v>-6</v>
      </c>
      <c r="L14" s="6">
        <f>-1244+-3</f>
        <v>-1247</v>
      </c>
      <c r="M14" s="6">
        <f>-556+-11</f>
        <v>-567</v>
      </c>
      <c r="N14" s="6">
        <f>2-(6)</f>
        <v>-4</v>
      </c>
      <c r="O14" s="6">
        <f>-1898-27-SUM(L14:N14)</f>
        <v>-107</v>
      </c>
      <c r="P14" s="6">
        <f>-50+-14</f>
        <v>-64</v>
      </c>
      <c r="Q14" s="6">
        <f>119-11</f>
        <v>108</v>
      </c>
      <c r="R14" s="6">
        <v>-8</v>
      </c>
      <c r="S14" s="6">
        <f>70-36-SUM(P14:R14)</f>
        <v>-2</v>
      </c>
      <c r="T14" s="6">
        <v>-6</v>
      </c>
      <c r="U14" s="6">
        <v>-13</v>
      </c>
      <c r="V14" s="6"/>
      <c r="W14" s="6"/>
      <c r="Z14" s="6">
        <f>SUM(D14:G14)</f>
        <v>-16</v>
      </c>
      <c r="AA14" s="6">
        <f t="shared" si="5"/>
        <v>-11</v>
      </c>
      <c r="AB14" s="6">
        <f t="shared" si="6"/>
        <v>-1925</v>
      </c>
      <c r="AC14" s="6">
        <f t="shared" si="7"/>
        <v>34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3:60" x14ac:dyDescent="0.2">
      <c r="C15" s="9" t="s">
        <v>16</v>
      </c>
      <c r="D15" s="10">
        <f>D7-D13-D14</f>
        <v>912</v>
      </c>
      <c r="E15" s="10">
        <f t="shared" ref="E15:W15" si="13">E7-E13-E14</f>
        <v>1105</v>
      </c>
      <c r="F15" s="10">
        <f t="shared" si="13"/>
        <v>944</v>
      </c>
      <c r="G15" s="10">
        <f t="shared" ref="G15" si="14">G7-G13-G14</f>
        <v>656</v>
      </c>
      <c r="H15" s="10">
        <f t="shared" si="13"/>
        <v>1081</v>
      </c>
      <c r="I15" s="10">
        <f t="shared" si="13"/>
        <v>1154</v>
      </c>
      <c r="J15" s="10">
        <f t="shared" si="13"/>
        <v>1083</v>
      </c>
      <c r="K15" s="10">
        <f t="shared" si="13"/>
        <v>903</v>
      </c>
      <c r="L15" s="10">
        <f t="shared" si="13"/>
        <v>1892</v>
      </c>
      <c r="M15" s="10">
        <f t="shared" si="13"/>
        <v>1482</v>
      </c>
      <c r="N15" s="10">
        <f t="shared" si="13"/>
        <v>853</v>
      </c>
      <c r="O15" s="10">
        <f t="shared" ref="O15" si="15">O7-O13-O14</f>
        <v>717</v>
      </c>
      <c r="P15" s="10">
        <f t="shared" si="13"/>
        <v>1144</v>
      </c>
      <c r="Q15" s="10">
        <f t="shared" si="13"/>
        <v>911</v>
      </c>
      <c r="R15" s="10">
        <f t="shared" si="13"/>
        <v>1074</v>
      </c>
      <c r="S15" s="10">
        <f t="shared" si="13"/>
        <v>1341</v>
      </c>
      <c r="T15" s="10">
        <f t="shared" si="13"/>
        <v>1385</v>
      </c>
      <c r="U15" s="10">
        <f t="shared" si="13"/>
        <v>1452</v>
      </c>
      <c r="V15" s="10">
        <f t="shared" si="13"/>
        <v>0</v>
      </c>
      <c r="W15" s="10">
        <f t="shared" si="13"/>
        <v>0</v>
      </c>
      <c r="Z15" s="10">
        <f t="shared" ref="Z15:AC15" si="16">Z7-Z13-Z14</f>
        <v>3617</v>
      </c>
      <c r="AA15" s="10">
        <f t="shared" si="16"/>
        <v>4221</v>
      </c>
      <c r="AB15" s="10">
        <f t="shared" si="16"/>
        <v>4944</v>
      </c>
      <c r="AC15" s="10">
        <f t="shared" si="16"/>
        <v>4470</v>
      </c>
      <c r="AD15" s="25">
        <f>AD7*0.44</f>
        <v>6551.1819999999998</v>
      </c>
      <c r="AE15" s="25">
        <f t="shared" ref="AE15:BH15" si="17">AE7*0.44</f>
        <v>7533.8592999999992</v>
      </c>
      <c r="AF15" s="25">
        <f t="shared" si="17"/>
        <v>8663.9381949999988</v>
      </c>
      <c r="AG15" s="25">
        <f t="shared" si="17"/>
        <v>9963.5289242499985</v>
      </c>
      <c r="AH15" s="25">
        <f t="shared" si="17"/>
        <v>11458.058262887496</v>
      </c>
      <c r="AI15" s="25">
        <f t="shared" si="17"/>
        <v>13176.767002320619</v>
      </c>
      <c r="AJ15" s="25">
        <f t="shared" si="17"/>
        <v>14889.7467126223</v>
      </c>
      <c r="AK15" s="25">
        <f t="shared" si="17"/>
        <v>16825.413785263197</v>
      </c>
      <c r="AL15" s="25">
        <f t="shared" si="17"/>
        <v>19012.717577347408</v>
      </c>
      <c r="AM15" s="25">
        <f t="shared" si="17"/>
        <v>21484.370862402571</v>
      </c>
      <c r="AN15" s="25">
        <f t="shared" si="17"/>
        <v>24277.339074514901</v>
      </c>
      <c r="AO15" s="25">
        <f t="shared" si="17"/>
        <v>27433.393154201833</v>
      </c>
      <c r="AP15" s="25">
        <f t="shared" si="17"/>
        <v>30999.734264248069</v>
      </c>
      <c r="AQ15" s="25">
        <f t="shared" si="17"/>
        <v>34099.707690672883</v>
      </c>
      <c r="AR15" s="25">
        <f t="shared" si="17"/>
        <v>37509.678459740171</v>
      </c>
      <c r="AS15" s="25">
        <f t="shared" si="17"/>
        <v>41260.646305714188</v>
      </c>
      <c r="AT15" s="25">
        <f t="shared" si="17"/>
        <v>45386.710936285614</v>
      </c>
      <c r="AU15" s="25">
        <f t="shared" si="17"/>
        <v>49925.382029914173</v>
      </c>
      <c r="AV15" s="25">
        <f t="shared" si="17"/>
        <v>54917.920232905599</v>
      </c>
      <c r="AW15" s="25">
        <f t="shared" si="17"/>
        <v>57663.816244550879</v>
      </c>
      <c r="AX15" s="25">
        <f t="shared" si="17"/>
        <v>60547.007056778428</v>
      </c>
      <c r="AY15" s="25">
        <f t="shared" si="17"/>
        <v>63574.357409617347</v>
      </c>
      <c r="AZ15" s="25">
        <f t="shared" si="17"/>
        <v>66753.075280098215</v>
      </c>
      <c r="BA15" s="25">
        <f t="shared" si="17"/>
        <v>70090.729044103136</v>
      </c>
      <c r="BB15" s="25">
        <f t="shared" si="17"/>
        <v>73595.265496308304</v>
      </c>
      <c r="BC15" s="25">
        <f t="shared" si="17"/>
        <v>77275.028771123718</v>
      </c>
      <c r="BD15" s="25">
        <f t="shared" si="17"/>
        <v>78820.529346546202</v>
      </c>
      <c r="BE15" s="25">
        <f t="shared" si="17"/>
        <v>80396.93993347713</v>
      </c>
      <c r="BF15" s="25">
        <f t="shared" si="17"/>
        <v>82004.878732146666</v>
      </c>
      <c r="BG15" s="25">
        <f t="shared" si="17"/>
        <v>83644.976306789598</v>
      </c>
      <c r="BH15" s="25">
        <f t="shared" si="17"/>
        <v>85317.875832925405</v>
      </c>
    </row>
    <row r="16" spans="3:60" x14ac:dyDescent="0.2">
      <c r="C16" s="3" t="s">
        <v>17</v>
      </c>
      <c r="D16" s="6">
        <v>1</v>
      </c>
      <c r="E16" s="6">
        <v>-10</v>
      </c>
      <c r="F16" s="6">
        <v>-6</v>
      </c>
      <c r="G16" s="6">
        <f>-31-SUM(D16:F16)</f>
        <v>-16</v>
      </c>
      <c r="H16" s="6">
        <v>-7</v>
      </c>
      <c r="I16" s="6">
        <v>-22</v>
      </c>
      <c r="J16" s="6">
        <v>-22</v>
      </c>
      <c r="K16" s="6">
        <f>-62-SUM(H16:J16)</f>
        <v>-11</v>
      </c>
      <c r="L16" s="6">
        <v>-49</v>
      </c>
      <c r="M16" s="6">
        <v>-1</v>
      </c>
      <c r="N16" s="6">
        <v>-37</v>
      </c>
      <c r="O16" s="6">
        <f>-70-SUM(L16:N16)</f>
        <v>17</v>
      </c>
      <c r="P16" s="6">
        <v>11</v>
      </c>
      <c r="Q16" s="6">
        <v>-11</v>
      </c>
      <c r="R16" s="6">
        <v>-5</v>
      </c>
      <c r="S16" s="6">
        <f>15-SUM(P16:R16)</f>
        <v>20</v>
      </c>
      <c r="T16" s="6">
        <v>-9</v>
      </c>
      <c r="U16" s="6">
        <v>-3</v>
      </c>
      <c r="V16" s="6"/>
      <c r="W16" s="6"/>
      <c r="Z16" s="6">
        <f>SUM(D16:G16)</f>
        <v>-31</v>
      </c>
      <c r="AA16" s="6">
        <f t="shared" si="5"/>
        <v>-62</v>
      </c>
      <c r="AB16" s="6">
        <f t="shared" si="6"/>
        <v>-70</v>
      </c>
      <c r="AC16" s="6">
        <f t="shared" si="7"/>
        <v>15</v>
      </c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3:60" x14ac:dyDescent="0.2">
      <c r="C17" s="3" t="s">
        <v>18</v>
      </c>
      <c r="D17" s="6">
        <v>34</v>
      </c>
      <c r="E17" s="6">
        <v>40</v>
      </c>
      <c r="F17" s="6">
        <f>35+279</f>
        <v>314</v>
      </c>
      <c r="G17" s="6">
        <f>141+279-SUM(D17:F17)</f>
        <v>32</v>
      </c>
      <c r="H17" s="6">
        <v>32</v>
      </c>
      <c r="I17" s="6">
        <v>32</v>
      </c>
      <c r="J17" s="6">
        <v>31</v>
      </c>
      <c r="K17" s="6">
        <f>119-SUM(H17:J17)</f>
        <v>24</v>
      </c>
      <c r="L17" s="6">
        <f>57+17</f>
        <v>74</v>
      </c>
      <c r="M17" s="6">
        <f>90+2</f>
        <v>92</v>
      </c>
      <c r="N17" s="6">
        <f>71-4</f>
        <v>67</v>
      </c>
      <c r="O17" s="6">
        <f>304+9-SUM(L17:N17)</f>
        <v>80</v>
      </c>
      <c r="P17" s="6">
        <v>85</v>
      </c>
      <c r="Q17" s="6">
        <v>88</v>
      </c>
      <c r="R17" s="6">
        <v>84</v>
      </c>
      <c r="S17" s="6">
        <f>334-SUM(P17:R17)</f>
        <v>77</v>
      </c>
      <c r="T17" s="6">
        <v>78</v>
      </c>
      <c r="U17" s="6">
        <v>77</v>
      </c>
      <c r="V17" s="6"/>
      <c r="W17" s="6"/>
      <c r="Z17" s="6">
        <f>SUM(D17:G17)</f>
        <v>420</v>
      </c>
      <c r="AA17" s="6">
        <f t="shared" si="5"/>
        <v>119</v>
      </c>
      <c r="AB17" s="6">
        <f t="shared" si="6"/>
        <v>313</v>
      </c>
      <c r="AC17" s="6">
        <f t="shared" si="7"/>
        <v>334</v>
      </c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3:60" x14ac:dyDescent="0.2">
      <c r="C18" s="3" t="s">
        <v>19</v>
      </c>
      <c r="D18" s="6">
        <f>D15-SUM(D16:D17)</f>
        <v>877</v>
      </c>
      <c r="E18" s="6">
        <f t="shared" ref="E18:W18" si="18">E15-SUM(E16:E17)</f>
        <v>1075</v>
      </c>
      <c r="F18" s="6">
        <f t="shared" si="18"/>
        <v>636</v>
      </c>
      <c r="G18" s="6">
        <f>G15-SUM(G16:G17)</f>
        <v>640</v>
      </c>
      <c r="H18" s="6">
        <f t="shared" si="18"/>
        <v>1056</v>
      </c>
      <c r="I18" s="6">
        <f t="shared" si="18"/>
        <v>1144</v>
      </c>
      <c r="J18" s="6">
        <f t="shared" si="18"/>
        <v>1074</v>
      </c>
      <c r="K18" s="6">
        <f>K15-SUM(K16:K17)</f>
        <v>890</v>
      </c>
      <c r="L18" s="6">
        <f t="shared" si="18"/>
        <v>1867</v>
      </c>
      <c r="M18" s="6">
        <f t="shared" si="18"/>
        <v>1391</v>
      </c>
      <c r="N18" s="6">
        <f t="shared" si="18"/>
        <v>823</v>
      </c>
      <c r="O18" s="6">
        <f>O15-SUM(O16:O17)</f>
        <v>620</v>
      </c>
      <c r="P18" s="6">
        <f t="shared" si="18"/>
        <v>1048</v>
      </c>
      <c r="Q18" s="6">
        <f t="shared" si="18"/>
        <v>834</v>
      </c>
      <c r="R18" s="6">
        <f t="shared" si="18"/>
        <v>995</v>
      </c>
      <c r="S18" s="6">
        <f t="shared" si="18"/>
        <v>1244</v>
      </c>
      <c r="T18" s="6">
        <f t="shared" si="18"/>
        <v>1316</v>
      </c>
      <c r="U18" s="6">
        <f t="shared" si="18"/>
        <v>1378</v>
      </c>
      <c r="V18" s="6">
        <f t="shared" si="18"/>
        <v>0</v>
      </c>
      <c r="W18" s="6">
        <f t="shared" si="18"/>
        <v>0</v>
      </c>
      <c r="Z18" s="10">
        <f t="shared" ref="Z18:AC18" si="19">Z15-SUM(Z16:Z17)</f>
        <v>3228</v>
      </c>
      <c r="AA18" s="10">
        <f t="shared" si="19"/>
        <v>4164</v>
      </c>
      <c r="AB18" s="10">
        <f t="shared" si="19"/>
        <v>4701</v>
      </c>
      <c r="AC18" s="10">
        <f t="shared" si="19"/>
        <v>4121</v>
      </c>
      <c r="AD18" s="24">
        <f>AD7*0.419</f>
        <v>6238.5119499999992</v>
      </c>
      <c r="AE18" s="24">
        <f t="shared" ref="AE18:BH18" si="20">AE7*0.419</f>
        <v>7174.288742499999</v>
      </c>
      <c r="AF18" s="24">
        <f t="shared" si="20"/>
        <v>8250.432053874998</v>
      </c>
      <c r="AG18" s="24">
        <f t="shared" si="20"/>
        <v>9487.9968619562478</v>
      </c>
      <c r="AH18" s="24">
        <f t="shared" si="20"/>
        <v>10911.196391249683</v>
      </c>
      <c r="AI18" s="24">
        <f t="shared" si="20"/>
        <v>12547.875849937134</v>
      </c>
      <c r="AJ18" s="24">
        <f t="shared" si="20"/>
        <v>14179.099710428962</v>
      </c>
      <c r="AK18" s="24">
        <f t="shared" si="20"/>
        <v>16022.382672784724</v>
      </c>
      <c r="AL18" s="24">
        <f t="shared" si="20"/>
        <v>18105.292420246737</v>
      </c>
      <c r="AM18" s="24">
        <f t="shared" si="20"/>
        <v>20458.980434878809</v>
      </c>
      <c r="AN18" s="24">
        <f t="shared" si="20"/>
        <v>23118.647891413053</v>
      </c>
      <c r="AO18" s="24">
        <f t="shared" si="20"/>
        <v>26124.072117296746</v>
      </c>
      <c r="AP18" s="24">
        <f t="shared" si="20"/>
        <v>29520.201492545319</v>
      </c>
      <c r="AQ18" s="24">
        <f t="shared" si="20"/>
        <v>32472.221641799857</v>
      </c>
      <c r="AR18" s="24">
        <f t="shared" si="20"/>
        <v>35719.443805979849</v>
      </c>
      <c r="AS18" s="24">
        <f t="shared" si="20"/>
        <v>39291.388186577831</v>
      </c>
      <c r="AT18" s="24">
        <f t="shared" si="20"/>
        <v>43220.527005235614</v>
      </c>
      <c r="AU18" s="24">
        <f t="shared" si="20"/>
        <v>47542.579705759177</v>
      </c>
      <c r="AV18" s="24">
        <f t="shared" si="20"/>
        <v>52296.837676335104</v>
      </c>
      <c r="AW18" s="24">
        <f t="shared" si="20"/>
        <v>54911.679560151861</v>
      </c>
      <c r="AX18" s="24">
        <f t="shared" si="20"/>
        <v>57657.263538159459</v>
      </c>
      <c r="AY18" s="24">
        <f t="shared" si="20"/>
        <v>60540.126715067425</v>
      </c>
      <c r="AZ18" s="24">
        <f t="shared" si="20"/>
        <v>63567.133050820798</v>
      </c>
      <c r="BA18" s="24">
        <f t="shared" si="20"/>
        <v>66745.489703361847</v>
      </c>
      <c r="BB18" s="24">
        <f t="shared" si="20"/>
        <v>70082.764188529938</v>
      </c>
      <c r="BC18" s="24">
        <f t="shared" si="20"/>
        <v>73586.902397956452</v>
      </c>
      <c r="BD18" s="24">
        <f t="shared" si="20"/>
        <v>75058.640445915575</v>
      </c>
      <c r="BE18" s="24">
        <f t="shared" si="20"/>
        <v>76559.813254833891</v>
      </c>
      <c r="BF18" s="24">
        <f t="shared" si="20"/>
        <v>78091.00951993058</v>
      </c>
      <c r="BG18" s="24">
        <f t="shared" si="20"/>
        <v>79652.829710329184</v>
      </c>
      <c r="BH18" s="24">
        <f t="shared" si="20"/>
        <v>81245.886304535772</v>
      </c>
    </row>
    <row r="19" spans="3:60" x14ac:dyDescent="0.2">
      <c r="C19" s="3" t="s">
        <v>20</v>
      </c>
      <c r="D19" s="6">
        <v>188</v>
      </c>
      <c r="E19" s="6">
        <v>233</v>
      </c>
      <c r="F19" s="6">
        <v>138</v>
      </c>
      <c r="G19" s="6">
        <f>694-SUM(D19:F19)</f>
        <v>135</v>
      </c>
      <c r="H19" s="6">
        <v>248</v>
      </c>
      <c r="I19" s="6">
        <v>287</v>
      </c>
      <c r="J19" s="6">
        <v>213</v>
      </c>
      <c r="K19" s="6">
        <f>901-SUM(H19:J19)</f>
        <v>153</v>
      </c>
      <c r="L19" s="6">
        <v>568</v>
      </c>
      <c r="M19" s="6">
        <v>340</v>
      </c>
      <c r="N19" s="6">
        <v>145</v>
      </c>
      <c r="O19" s="6">
        <f>1180-SUM(L19:N19)</f>
        <v>127</v>
      </c>
      <c r="P19" s="6">
        <v>188</v>
      </c>
      <c r="Q19" s="6">
        <v>259</v>
      </c>
      <c r="R19" s="6">
        <v>181</v>
      </c>
      <c r="S19" s="6">
        <f>778-SUM(P19:R19)</f>
        <v>150</v>
      </c>
      <c r="T19" s="6">
        <v>248</v>
      </c>
      <c r="U19" s="6">
        <v>293</v>
      </c>
      <c r="V19" s="6"/>
      <c r="W19" s="6"/>
      <c r="Z19" s="6">
        <f>SUM(D19:G19)</f>
        <v>694</v>
      </c>
      <c r="AA19" s="6">
        <f t="shared" si="5"/>
        <v>901</v>
      </c>
      <c r="AB19" s="6">
        <f t="shared" si="6"/>
        <v>1180</v>
      </c>
      <c r="AC19" s="6">
        <f t="shared" si="7"/>
        <v>778</v>
      </c>
      <c r="AD19" s="24">
        <f>AD18*0.21</f>
        <v>1310.0875094999997</v>
      </c>
      <c r="AE19" s="24">
        <f t="shared" ref="AE19:BH19" si="21">AE18*0.21</f>
        <v>1506.6006359249998</v>
      </c>
      <c r="AF19" s="24">
        <f t="shared" si="21"/>
        <v>1732.5907313137495</v>
      </c>
      <c r="AG19" s="24">
        <f t="shared" si="21"/>
        <v>1992.479341010812</v>
      </c>
      <c r="AH19" s="24">
        <f t="shared" si="21"/>
        <v>2291.3512421624332</v>
      </c>
      <c r="AI19" s="24">
        <f t="shared" si="21"/>
        <v>2635.0539284867982</v>
      </c>
      <c r="AJ19" s="24">
        <f t="shared" si="21"/>
        <v>2977.6109391900818</v>
      </c>
      <c r="AK19" s="24">
        <f t="shared" si="21"/>
        <v>3364.7003612847921</v>
      </c>
      <c r="AL19" s="24">
        <f t="shared" si="21"/>
        <v>3802.1114082518147</v>
      </c>
      <c r="AM19" s="24">
        <f t="shared" si="21"/>
        <v>4296.3858913245494</v>
      </c>
      <c r="AN19" s="24">
        <f t="shared" si="21"/>
        <v>4854.9160571967413</v>
      </c>
      <c r="AO19" s="24">
        <f t="shared" si="21"/>
        <v>5486.0551446323161</v>
      </c>
      <c r="AP19" s="24">
        <f t="shared" si="21"/>
        <v>6199.2423134345163</v>
      </c>
      <c r="AQ19" s="24">
        <f t="shared" si="21"/>
        <v>6819.1665447779696</v>
      </c>
      <c r="AR19" s="24">
        <f t="shared" si="21"/>
        <v>7501.0831992557678</v>
      </c>
      <c r="AS19" s="24">
        <f t="shared" si="21"/>
        <v>8251.1915191813441</v>
      </c>
      <c r="AT19" s="24">
        <f t="shared" si="21"/>
        <v>9076.310671099478</v>
      </c>
      <c r="AU19" s="24">
        <f t="shared" si="21"/>
        <v>9983.9417382094271</v>
      </c>
      <c r="AV19" s="24">
        <f t="shared" si="21"/>
        <v>10982.335912030372</v>
      </c>
      <c r="AW19" s="24">
        <f t="shared" si="21"/>
        <v>11531.45270763189</v>
      </c>
      <c r="AX19" s="24">
        <f t="shared" si="21"/>
        <v>12108.025343013485</v>
      </c>
      <c r="AY19" s="24">
        <f t="shared" si="21"/>
        <v>12713.426610164159</v>
      </c>
      <c r="AZ19" s="24">
        <f t="shared" si="21"/>
        <v>13349.097940672367</v>
      </c>
      <c r="BA19" s="24">
        <f t="shared" si="21"/>
        <v>14016.552837705987</v>
      </c>
      <c r="BB19" s="24">
        <f t="shared" si="21"/>
        <v>14717.380479591286</v>
      </c>
      <c r="BC19" s="24">
        <f t="shared" si="21"/>
        <v>15453.249503570854</v>
      </c>
      <c r="BD19" s="24">
        <f t="shared" si="21"/>
        <v>15762.31449364227</v>
      </c>
      <c r="BE19" s="24">
        <f t="shared" si="21"/>
        <v>16077.560783515117</v>
      </c>
      <c r="BF19" s="24">
        <f t="shared" si="21"/>
        <v>16399.111999185421</v>
      </c>
      <c r="BG19" s="24">
        <f t="shared" si="21"/>
        <v>16727.094239169128</v>
      </c>
      <c r="BH19" s="24">
        <f t="shared" si="21"/>
        <v>17061.63612395251</v>
      </c>
    </row>
    <row r="20" spans="3:60" x14ac:dyDescent="0.2">
      <c r="C20" s="9" t="s">
        <v>21</v>
      </c>
      <c r="D20" s="6">
        <f>D18-D19</f>
        <v>689</v>
      </c>
      <c r="E20" s="6">
        <f t="shared" ref="E20:W20" si="22">E18-E19</f>
        <v>842</v>
      </c>
      <c r="F20" s="6">
        <f t="shared" si="22"/>
        <v>498</v>
      </c>
      <c r="G20" s="6">
        <f t="shared" ref="G20" si="23">G18-G19</f>
        <v>505</v>
      </c>
      <c r="H20" s="6">
        <f t="shared" si="22"/>
        <v>808</v>
      </c>
      <c r="I20" s="6">
        <f t="shared" si="22"/>
        <v>857</v>
      </c>
      <c r="J20" s="6">
        <f t="shared" si="22"/>
        <v>861</v>
      </c>
      <c r="K20" s="6">
        <f t="shared" si="22"/>
        <v>737</v>
      </c>
      <c r="L20" s="6">
        <f t="shared" si="22"/>
        <v>1299</v>
      </c>
      <c r="M20" s="6">
        <f t="shared" si="22"/>
        <v>1051</v>
      </c>
      <c r="N20" s="6">
        <f t="shared" si="22"/>
        <v>678</v>
      </c>
      <c r="O20" s="6">
        <f t="shared" ref="O20" si="24">O18-O19</f>
        <v>493</v>
      </c>
      <c r="P20" s="6">
        <f t="shared" si="22"/>
        <v>860</v>
      </c>
      <c r="Q20" s="6">
        <f t="shared" si="22"/>
        <v>575</v>
      </c>
      <c r="R20" s="6">
        <f t="shared" si="22"/>
        <v>814</v>
      </c>
      <c r="S20" s="6">
        <f t="shared" si="22"/>
        <v>1094</v>
      </c>
      <c r="T20" s="6">
        <f t="shared" si="22"/>
        <v>1068</v>
      </c>
      <c r="U20" s="6">
        <f t="shared" si="22"/>
        <v>1085</v>
      </c>
      <c r="V20" s="6">
        <f t="shared" si="22"/>
        <v>0</v>
      </c>
      <c r="W20" s="6">
        <f t="shared" si="22"/>
        <v>0</v>
      </c>
      <c r="Z20" s="10">
        <f t="shared" ref="Z20:AD20" si="25">Z18-Z19</f>
        <v>2534</v>
      </c>
      <c r="AA20" s="10">
        <f t="shared" si="25"/>
        <v>3263</v>
      </c>
      <c r="AB20" s="10">
        <f t="shared" si="25"/>
        <v>3521</v>
      </c>
      <c r="AC20" s="10">
        <f t="shared" si="25"/>
        <v>3343</v>
      </c>
      <c r="AD20" s="25">
        <f>AD18-AD19</f>
        <v>4928.424440499999</v>
      </c>
      <c r="AE20" s="25">
        <f t="shared" ref="AE20:BH20" si="26">AE18-AE19</f>
        <v>5667.6881065749994</v>
      </c>
      <c r="AF20" s="25">
        <f t="shared" si="26"/>
        <v>6517.8413225612485</v>
      </c>
      <c r="AG20" s="25">
        <f t="shared" si="26"/>
        <v>7495.5175209454355</v>
      </c>
      <c r="AH20" s="25">
        <f t="shared" si="26"/>
        <v>8619.8451490872503</v>
      </c>
      <c r="AI20" s="25">
        <f t="shared" si="26"/>
        <v>9912.821921450337</v>
      </c>
      <c r="AJ20" s="25">
        <f t="shared" si="26"/>
        <v>11201.488771238881</v>
      </c>
      <c r="AK20" s="25">
        <f t="shared" si="26"/>
        <v>12657.682311499932</v>
      </c>
      <c r="AL20" s="25">
        <f t="shared" si="26"/>
        <v>14303.181011994922</v>
      </c>
      <c r="AM20" s="25">
        <f t="shared" si="26"/>
        <v>16162.59454355426</v>
      </c>
      <c r="AN20" s="25">
        <f t="shared" si="26"/>
        <v>18263.731834216313</v>
      </c>
      <c r="AO20" s="25">
        <f t="shared" si="26"/>
        <v>20638.016972664431</v>
      </c>
      <c r="AP20" s="25">
        <f t="shared" si="26"/>
        <v>23320.959179110803</v>
      </c>
      <c r="AQ20" s="25">
        <f t="shared" si="26"/>
        <v>25653.055097021886</v>
      </c>
      <c r="AR20" s="25">
        <f t="shared" si="26"/>
        <v>28218.36060672408</v>
      </c>
      <c r="AS20" s="25">
        <f t="shared" si="26"/>
        <v>31040.196667396485</v>
      </c>
      <c r="AT20" s="25">
        <f t="shared" si="26"/>
        <v>34144.216334136137</v>
      </c>
      <c r="AU20" s="25">
        <f t="shared" si="26"/>
        <v>37558.637967549752</v>
      </c>
      <c r="AV20" s="25">
        <f t="shared" si="26"/>
        <v>41314.501764304732</v>
      </c>
      <c r="AW20" s="25">
        <f t="shared" si="26"/>
        <v>43380.226852519969</v>
      </c>
      <c r="AX20" s="25">
        <f t="shared" si="26"/>
        <v>45549.238195145976</v>
      </c>
      <c r="AY20" s="25">
        <f t="shared" si="26"/>
        <v>47826.70010490327</v>
      </c>
      <c r="AZ20" s="25">
        <f t="shared" si="26"/>
        <v>50218.035110148427</v>
      </c>
      <c r="BA20" s="25">
        <f t="shared" si="26"/>
        <v>52728.936865655858</v>
      </c>
      <c r="BB20" s="25">
        <f t="shared" si="26"/>
        <v>55365.383708938651</v>
      </c>
      <c r="BC20" s="25">
        <f t="shared" si="26"/>
        <v>58133.652894385596</v>
      </c>
      <c r="BD20" s="25">
        <f t="shared" si="26"/>
        <v>59296.325952273306</v>
      </c>
      <c r="BE20" s="25">
        <f t="shared" si="26"/>
        <v>60482.252471318774</v>
      </c>
      <c r="BF20" s="25">
        <f t="shared" si="26"/>
        <v>61691.897520745159</v>
      </c>
      <c r="BG20" s="25">
        <f t="shared" si="26"/>
        <v>62925.735471160056</v>
      </c>
      <c r="BH20" s="25">
        <f t="shared" si="26"/>
        <v>64184.250180583258</v>
      </c>
    </row>
    <row r="21" spans="3:60" x14ac:dyDescent="0.2">
      <c r="C21" s="3" t="s">
        <v>22</v>
      </c>
      <c r="D21" s="6">
        <v>50</v>
      </c>
      <c r="E21" s="6">
        <v>50</v>
      </c>
      <c r="F21" s="6">
        <v>43</v>
      </c>
      <c r="G21" s="6">
        <f>195-SUM(D21:F21)</f>
        <v>52</v>
      </c>
      <c r="H21" s="6">
        <v>53</v>
      </c>
      <c r="I21" s="6">
        <v>-59</v>
      </c>
      <c r="J21" s="6">
        <v>64</v>
      </c>
      <c r="K21" s="6">
        <f>239-SUM(H21:J21)</f>
        <v>181</v>
      </c>
      <c r="L21" s="6">
        <v>64</v>
      </c>
      <c r="M21" s="6">
        <v>79</v>
      </c>
      <c r="N21" s="6">
        <v>70</v>
      </c>
      <c r="O21" s="6">
        <f>274-SUM(L21:N21)</f>
        <v>61</v>
      </c>
      <c r="P21" s="6">
        <v>65</v>
      </c>
      <c r="Q21" s="6">
        <v>64</v>
      </c>
      <c r="R21" s="6">
        <v>72</v>
      </c>
      <c r="S21" s="6">
        <f>267-SUM(P21:R21)</f>
        <v>66</v>
      </c>
      <c r="T21" s="6">
        <v>77</v>
      </c>
      <c r="U21" s="6">
        <v>74</v>
      </c>
      <c r="V21" s="6"/>
      <c r="W21" s="6"/>
      <c r="Z21" s="6">
        <f>SUM(D21:G21)</f>
        <v>195</v>
      </c>
      <c r="AA21" s="6">
        <f t="shared" si="5"/>
        <v>239</v>
      </c>
      <c r="AB21" s="6">
        <f t="shared" si="6"/>
        <v>274</v>
      </c>
      <c r="AC21" s="6">
        <f t="shared" si="7"/>
        <v>267</v>
      </c>
      <c r="AD21" s="24">
        <f>AD20*0.077</f>
        <v>379.48868191849994</v>
      </c>
      <c r="AE21" s="24">
        <f t="shared" ref="AE21:BH21" si="27">AE20*0.077</f>
        <v>436.41198420627495</v>
      </c>
      <c r="AF21" s="24">
        <f t="shared" si="27"/>
        <v>501.87378183721614</v>
      </c>
      <c r="AG21" s="24">
        <f t="shared" si="27"/>
        <v>577.1548491127985</v>
      </c>
      <c r="AH21" s="24">
        <f t="shared" si="27"/>
        <v>663.72807647971831</v>
      </c>
      <c r="AI21" s="24">
        <f t="shared" si="27"/>
        <v>763.28728795167592</v>
      </c>
      <c r="AJ21" s="24">
        <f t="shared" si="27"/>
        <v>862.51463538539383</v>
      </c>
      <c r="AK21" s="24">
        <f t="shared" si="27"/>
        <v>974.64153798549467</v>
      </c>
      <c r="AL21" s="24">
        <f t="shared" si="27"/>
        <v>1101.344937923609</v>
      </c>
      <c r="AM21" s="24">
        <f t="shared" si="27"/>
        <v>1244.5197798536781</v>
      </c>
      <c r="AN21" s="24">
        <f t="shared" si="27"/>
        <v>1406.3073512346562</v>
      </c>
      <c r="AO21" s="24">
        <f t="shared" si="27"/>
        <v>1589.1273068951612</v>
      </c>
      <c r="AP21" s="24">
        <f t="shared" si="27"/>
        <v>1795.7138567915317</v>
      </c>
      <c r="AQ21" s="24">
        <f t="shared" si="27"/>
        <v>1975.2852424706853</v>
      </c>
      <c r="AR21" s="24">
        <f t="shared" si="27"/>
        <v>2172.8137667177543</v>
      </c>
      <c r="AS21" s="24">
        <f t="shared" si="27"/>
        <v>2390.0951433895293</v>
      </c>
      <c r="AT21" s="24">
        <f t="shared" si="27"/>
        <v>2629.1046577284824</v>
      </c>
      <c r="AU21" s="24">
        <f t="shared" si="27"/>
        <v>2892.0151235013309</v>
      </c>
      <c r="AV21" s="24">
        <f t="shared" si="27"/>
        <v>3181.2166358514642</v>
      </c>
      <c r="AW21" s="24">
        <f t="shared" si="27"/>
        <v>3340.2774676440376</v>
      </c>
      <c r="AX21" s="24">
        <f t="shared" si="27"/>
        <v>3507.2913410262399</v>
      </c>
      <c r="AY21" s="24">
        <f t="shared" si="27"/>
        <v>3682.6559080775519</v>
      </c>
      <c r="AZ21" s="24">
        <f t="shared" si="27"/>
        <v>3866.7887034814289</v>
      </c>
      <c r="BA21" s="24">
        <f t="shared" si="27"/>
        <v>4060.1281386555011</v>
      </c>
      <c r="BB21" s="24">
        <f t="shared" si="27"/>
        <v>4263.1345455882756</v>
      </c>
      <c r="BC21" s="24">
        <f t="shared" si="27"/>
        <v>4476.2912728676911</v>
      </c>
      <c r="BD21" s="24">
        <f t="shared" si="27"/>
        <v>4565.8170983250448</v>
      </c>
      <c r="BE21" s="24">
        <f t="shared" si="27"/>
        <v>4657.1334402915454</v>
      </c>
      <c r="BF21" s="24">
        <f t="shared" si="27"/>
        <v>4750.2761090973772</v>
      </c>
      <c r="BG21" s="24">
        <f t="shared" si="27"/>
        <v>4845.2816312793238</v>
      </c>
      <c r="BH21" s="24">
        <f t="shared" si="27"/>
        <v>4942.1872639049107</v>
      </c>
    </row>
    <row r="22" spans="3:60" x14ac:dyDescent="0.2">
      <c r="C22" s="9" t="s">
        <v>23</v>
      </c>
      <c r="D22" s="10">
        <f>D20-D21</f>
        <v>639</v>
      </c>
      <c r="E22" s="10">
        <f t="shared" ref="E22:W22" si="28">E20-E21</f>
        <v>792</v>
      </c>
      <c r="F22" s="10">
        <f t="shared" si="28"/>
        <v>455</v>
      </c>
      <c r="G22" s="10">
        <f t="shared" ref="G22" si="29">G20-G21</f>
        <v>453</v>
      </c>
      <c r="H22" s="10">
        <f t="shared" si="28"/>
        <v>755</v>
      </c>
      <c r="I22" s="10">
        <f t="shared" si="28"/>
        <v>916</v>
      </c>
      <c r="J22" s="10">
        <f t="shared" si="28"/>
        <v>797</v>
      </c>
      <c r="K22" s="10">
        <f t="shared" si="28"/>
        <v>556</v>
      </c>
      <c r="L22" s="10">
        <f t="shared" si="28"/>
        <v>1235</v>
      </c>
      <c r="M22" s="10">
        <f t="shared" si="28"/>
        <v>972</v>
      </c>
      <c r="N22" s="10">
        <f t="shared" si="28"/>
        <v>608</v>
      </c>
      <c r="O22" s="10">
        <f t="shared" ref="O22" si="30">O20-O21</f>
        <v>432</v>
      </c>
      <c r="P22" s="10">
        <f t="shared" si="28"/>
        <v>795</v>
      </c>
      <c r="Q22" s="10">
        <f t="shared" si="28"/>
        <v>511</v>
      </c>
      <c r="R22" s="10">
        <f t="shared" si="28"/>
        <v>742</v>
      </c>
      <c r="S22" s="10">
        <f t="shared" si="28"/>
        <v>1028</v>
      </c>
      <c r="T22" s="10">
        <f t="shared" si="28"/>
        <v>991</v>
      </c>
      <c r="U22" s="10">
        <f t="shared" si="28"/>
        <v>1011</v>
      </c>
      <c r="V22" s="10">
        <f t="shared" si="28"/>
        <v>0</v>
      </c>
      <c r="W22" s="10">
        <f t="shared" si="28"/>
        <v>0</v>
      </c>
      <c r="Z22" s="10">
        <f t="shared" ref="Z22:AC22" si="31">Z20-Z21</f>
        <v>2339</v>
      </c>
      <c r="AA22" s="10">
        <f t="shared" si="31"/>
        <v>3024</v>
      </c>
      <c r="AB22" s="10">
        <f t="shared" si="31"/>
        <v>3247</v>
      </c>
      <c r="AC22" s="10">
        <f t="shared" si="31"/>
        <v>3076</v>
      </c>
      <c r="AD22" s="25">
        <f>AD20-AD21</f>
        <v>4548.9357585814987</v>
      </c>
      <c r="AE22" s="25">
        <f t="shared" ref="AE22:BH22" si="32">AE20-AE21</f>
        <v>5231.2761223687248</v>
      </c>
      <c r="AF22" s="25">
        <f t="shared" si="32"/>
        <v>6015.967540724032</v>
      </c>
      <c r="AG22" s="25">
        <f t="shared" si="32"/>
        <v>6918.3626718326368</v>
      </c>
      <c r="AH22" s="25">
        <f t="shared" si="32"/>
        <v>7956.1170726075325</v>
      </c>
      <c r="AI22" s="25">
        <f t="shared" si="32"/>
        <v>9149.5346334986607</v>
      </c>
      <c r="AJ22" s="25">
        <f t="shared" si="32"/>
        <v>10338.974135853487</v>
      </c>
      <c r="AK22" s="25">
        <f t="shared" si="32"/>
        <v>11683.040773514436</v>
      </c>
      <c r="AL22" s="25">
        <f t="shared" si="32"/>
        <v>13201.836074071314</v>
      </c>
      <c r="AM22" s="25">
        <f t="shared" si="32"/>
        <v>14918.074763700582</v>
      </c>
      <c r="AN22" s="25">
        <f t="shared" si="32"/>
        <v>16857.424482981656</v>
      </c>
      <c r="AO22" s="25">
        <f t="shared" si="32"/>
        <v>19048.889665769271</v>
      </c>
      <c r="AP22" s="25">
        <f t="shared" si="32"/>
        <v>21525.245322319272</v>
      </c>
      <c r="AQ22" s="25">
        <f t="shared" si="32"/>
        <v>23677.769854551203</v>
      </c>
      <c r="AR22" s="25">
        <f t="shared" si="32"/>
        <v>26045.546840006326</v>
      </c>
      <c r="AS22" s="25">
        <f t="shared" si="32"/>
        <v>28650.101524006957</v>
      </c>
      <c r="AT22" s="25">
        <f t="shared" si="32"/>
        <v>31515.111676407654</v>
      </c>
      <c r="AU22" s="25">
        <f t="shared" si="32"/>
        <v>34666.622844048419</v>
      </c>
      <c r="AV22" s="25">
        <f t="shared" si="32"/>
        <v>38133.285128453266</v>
      </c>
      <c r="AW22" s="25">
        <f t="shared" si="32"/>
        <v>40039.94938487593</v>
      </c>
      <c r="AX22" s="25">
        <f t="shared" si="32"/>
        <v>42041.946854119735</v>
      </c>
      <c r="AY22" s="25">
        <f t="shared" si="32"/>
        <v>44144.044196825715</v>
      </c>
      <c r="AZ22" s="25">
        <f t="shared" si="32"/>
        <v>46351.246406667</v>
      </c>
      <c r="BA22" s="25">
        <f t="shared" si="32"/>
        <v>48668.80872700036</v>
      </c>
      <c r="BB22" s="25">
        <f t="shared" si="32"/>
        <v>51102.249163350374</v>
      </c>
      <c r="BC22" s="25">
        <f t="shared" si="32"/>
        <v>53657.361621517906</v>
      </c>
      <c r="BD22" s="25">
        <f t="shared" si="32"/>
        <v>54730.50885394826</v>
      </c>
      <c r="BE22" s="25">
        <f t="shared" si="32"/>
        <v>55825.119031027229</v>
      </c>
      <c r="BF22" s="25">
        <f t="shared" si="32"/>
        <v>56941.621411647779</v>
      </c>
      <c r="BG22" s="25">
        <f t="shared" si="32"/>
        <v>58080.453839880734</v>
      </c>
      <c r="BH22" s="25">
        <f t="shared" si="32"/>
        <v>59242.062916678347</v>
      </c>
    </row>
    <row r="23" spans="3:60" x14ac:dyDescent="0.2">
      <c r="Z23" s="4"/>
      <c r="AA23" s="4"/>
      <c r="AB23" s="4"/>
      <c r="AC23" s="4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3:60" x14ac:dyDescent="0.2">
      <c r="C24" s="3" t="s">
        <v>24</v>
      </c>
      <c r="D24" s="7">
        <f>D22/D25</f>
        <v>2.6394052044609668</v>
      </c>
      <c r="E24" s="7">
        <f t="shared" ref="E24:W24" si="33">E22/E25</f>
        <v>3.2876712328767121</v>
      </c>
      <c r="F24" s="7">
        <f t="shared" si="33"/>
        <v>1.8911055694098089</v>
      </c>
      <c r="G24" s="7">
        <f t="shared" si="33"/>
        <v>1.8796680497925311</v>
      </c>
      <c r="H24" s="7">
        <f t="shared" si="33"/>
        <v>3.1379883624272651</v>
      </c>
      <c r="I24" s="7">
        <f t="shared" si="33"/>
        <v>3.8039867109634549</v>
      </c>
      <c r="J24" s="7">
        <f t="shared" si="33"/>
        <v>3.3084267330842674</v>
      </c>
      <c r="K24" s="7">
        <f t="shared" si="33"/>
        <v>2.308970099667774</v>
      </c>
      <c r="L24" s="7">
        <f t="shared" si="33"/>
        <v>4.4876453488372094</v>
      </c>
      <c r="M24" s="7">
        <f t="shared" si="33"/>
        <v>2.8757396449704142</v>
      </c>
      <c r="N24" s="7">
        <f t="shared" si="33"/>
        <v>1.8446601941747571</v>
      </c>
      <c r="O24" s="7">
        <f t="shared" si="33"/>
        <v>1.3632060586935943</v>
      </c>
      <c r="P24" s="7">
        <f t="shared" si="33"/>
        <v>2.4743230625583568</v>
      </c>
      <c r="Q24" s="7">
        <f t="shared" si="33"/>
        <v>1.6003758221108675</v>
      </c>
      <c r="R24" s="7">
        <f t="shared" si="33"/>
        <v>2.3370078740157481</v>
      </c>
      <c r="S24" s="7">
        <f t="shared" si="33"/>
        <v>3.2286432160804024</v>
      </c>
      <c r="T24" s="7">
        <f t="shared" si="33"/>
        <v>3.1600765306122445</v>
      </c>
      <c r="U24" s="7">
        <f t="shared" si="33"/>
        <v>3.230031948881789</v>
      </c>
      <c r="V24" s="7" t="e">
        <f t="shared" si="33"/>
        <v>#DIV/0!</v>
      </c>
      <c r="W24" s="7" t="e">
        <f t="shared" si="33"/>
        <v>#DIV/0!</v>
      </c>
      <c r="Z24" s="7">
        <f t="shared" ref="Z24:AA24" si="34">Z22/Z25</f>
        <v>9.6993572465270574</v>
      </c>
      <c r="AA24" s="7">
        <f t="shared" si="34"/>
        <v>12.559443463814766</v>
      </c>
      <c r="AB24" s="7">
        <f t="shared" ref="AB24:AC24" si="35">AB22/AB25</f>
        <v>10.310391363022942</v>
      </c>
      <c r="AC24" s="7">
        <f t="shared" si="35"/>
        <v>9.6388562475518995</v>
      </c>
      <c r="AD24" s="27">
        <f>AD22/AD25</f>
        <v>12.938550534301205</v>
      </c>
      <c r="AE24" s="27">
        <f t="shared" ref="AE24:BH24" si="36">AE22/AE25</f>
        <v>13.505793877141137</v>
      </c>
      <c r="AF24" s="27">
        <f t="shared" si="36"/>
        <v>14.097905926034588</v>
      </c>
      <c r="AG24" s="27">
        <f t="shared" si="36"/>
        <v>14.715976958282454</v>
      </c>
      <c r="AH24" s="27">
        <f t="shared" si="36"/>
        <v>15.36114505039922</v>
      </c>
      <c r="AI24" s="27">
        <f t="shared" si="36"/>
        <v>16.034598173694384</v>
      </c>
      <c r="AJ24" s="27">
        <f t="shared" si="36"/>
        <v>16.446488096827316</v>
      </c>
      <c r="AK24" s="27">
        <f t="shared" si="36"/>
        <v>16.868958472737464</v>
      </c>
      <c r="AL24" s="27">
        <f t="shared" si="36"/>
        <v>17.302281087585857</v>
      </c>
      <c r="AM24" s="27">
        <f t="shared" si="36"/>
        <v>17.746734709060558</v>
      </c>
      <c r="AN24" s="27">
        <f t="shared" si="36"/>
        <v>18.202605265715196</v>
      </c>
      <c r="AO24" s="27">
        <f t="shared" si="36"/>
        <v>18.670186030914198</v>
      </c>
      <c r="AP24" s="27">
        <f t="shared" si="36"/>
        <v>19.149777811503171</v>
      </c>
      <c r="AQ24" s="27">
        <f t="shared" si="36"/>
        <v>19.120228367662243</v>
      </c>
      <c r="AR24" s="27">
        <f t="shared" si="36"/>
        <v>19.090724520675746</v>
      </c>
      <c r="AS24" s="27">
        <f t="shared" si="36"/>
        <v>19.061266200184555</v>
      </c>
      <c r="AT24" s="27">
        <f t="shared" si="36"/>
        <v>19.031853335938109</v>
      </c>
      <c r="AU24" s="27">
        <f t="shared" si="36"/>
        <v>19.002485857794248</v>
      </c>
      <c r="AV24" s="27">
        <f t="shared" si="36"/>
        <v>18.973163695719048</v>
      </c>
      <c r="AW24" s="27">
        <f t="shared" si="36"/>
        <v>18.08280101706908</v>
      </c>
      <c r="AX24" s="27">
        <f t="shared" si="36"/>
        <v>17.234220811402867</v>
      </c>
      <c r="AY24" s="27">
        <f t="shared" si="36"/>
        <v>16.425462332733964</v>
      </c>
      <c r="AZ24" s="27">
        <f t="shared" si="36"/>
        <v>15.654656847935613</v>
      </c>
      <c r="BA24" s="27">
        <f t="shared" si="36"/>
        <v>14.920023318809475</v>
      </c>
      <c r="BB24" s="27">
        <f t="shared" si="36"/>
        <v>14.219864286784016</v>
      </c>
      <c r="BC24" s="27">
        <f t="shared" si="36"/>
        <v>13.552561950733613</v>
      </c>
      <c r="BD24" s="27">
        <f t="shared" si="36"/>
        <v>12.547529445174082</v>
      </c>
      <c r="BE24" s="27">
        <f t="shared" si="36"/>
        <v>11.617028260032283</v>
      </c>
      <c r="BF24" s="27">
        <f t="shared" si="36"/>
        <v>10.75553129275931</v>
      </c>
      <c r="BG24" s="27">
        <f t="shared" si="36"/>
        <v>9.9579213203362951</v>
      </c>
      <c r="BH24" s="27">
        <f t="shared" si="36"/>
        <v>9.2194606033793409</v>
      </c>
    </row>
    <row r="25" spans="3:60" x14ac:dyDescent="0.2">
      <c r="C25" s="3" t="s">
        <v>25</v>
      </c>
      <c r="D25" s="7">
        <v>242.1</v>
      </c>
      <c r="E25" s="7">
        <v>240.9</v>
      </c>
      <c r="F25" s="7">
        <v>240.6</v>
      </c>
      <c r="G25" s="7">
        <v>241</v>
      </c>
      <c r="H25" s="7">
        <v>240.6</v>
      </c>
      <c r="I25" s="7">
        <v>240.8</v>
      </c>
      <c r="J25" s="7">
        <v>240.9</v>
      </c>
      <c r="K25" s="7">
        <v>240.8</v>
      </c>
      <c r="L25" s="7">
        <v>275.2</v>
      </c>
      <c r="M25" s="7">
        <v>338</v>
      </c>
      <c r="N25" s="7">
        <v>329.6</v>
      </c>
      <c r="O25" s="7">
        <v>316.89999999999998</v>
      </c>
      <c r="P25" s="7">
        <v>321.3</v>
      </c>
      <c r="Q25" s="7">
        <v>319.3</v>
      </c>
      <c r="R25" s="7">
        <v>317.5</v>
      </c>
      <c r="S25" s="7">
        <v>318.39999999999998</v>
      </c>
      <c r="T25" s="7">
        <v>313.60000000000002</v>
      </c>
      <c r="U25" s="7">
        <v>313</v>
      </c>
      <c r="V25" s="7"/>
      <c r="W25" s="7"/>
      <c r="Z25" s="7">
        <f>AVERAGE(D25:G25)</f>
        <v>241.15</v>
      </c>
      <c r="AA25" s="7">
        <f>AVERAGE(H25:K25)</f>
        <v>240.77499999999998</v>
      </c>
      <c r="AB25" s="7">
        <f>AVERAGE(L25:O25)</f>
        <v>314.92500000000001</v>
      </c>
      <c r="AC25" s="7">
        <f>AVERAGE(P25:S25)</f>
        <v>319.125</v>
      </c>
      <c r="AD25" s="26">
        <f>AC25*1.1017</f>
        <v>351.58001249999995</v>
      </c>
      <c r="AE25" s="26">
        <f t="shared" ref="AE25:BH25" si="37">AD25*1.1017</f>
        <v>387.33569977124989</v>
      </c>
      <c r="AF25" s="26">
        <f t="shared" si="37"/>
        <v>426.72774043798597</v>
      </c>
      <c r="AG25" s="26">
        <f t="shared" si="37"/>
        <v>470.12595164052908</v>
      </c>
      <c r="AH25" s="26">
        <f t="shared" si="37"/>
        <v>517.9377609223709</v>
      </c>
      <c r="AI25" s="26">
        <f t="shared" si="37"/>
        <v>570.61203120817595</v>
      </c>
      <c r="AJ25" s="26">
        <f t="shared" si="37"/>
        <v>628.64327478204734</v>
      </c>
      <c r="AK25" s="26">
        <f t="shared" si="37"/>
        <v>692.5762958273815</v>
      </c>
      <c r="AL25" s="26">
        <f t="shared" si="37"/>
        <v>763.01130511302608</v>
      </c>
      <c r="AM25" s="26">
        <f t="shared" si="37"/>
        <v>840.60955484302076</v>
      </c>
      <c r="AN25" s="26">
        <f t="shared" si="37"/>
        <v>926.09954657055584</v>
      </c>
      <c r="AO25" s="26">
        <f t="shared" si="37"/>
        <v>1020.2838704567813</v>
      </c>
      <c r="AP25" s="26">
        <f t="shared" si="37"/>
        <v>1124.0467400822358</v>
      </c>
      <c r="AQ25" s="26">
        <f t="shared" si="37"/>
        <v>1238.3622935485992</v>
      </c>
      <c r="AR25" s="26">
        <f t="shared" si="37"/>
        <v>1364.3037388024916</v>
      </c>
      <c r="AS25" s="26">
        <f t="shared" si="37"/>
        <v>1503.0534290387047</v>
      </c>
      <c r="AT25" s="26">
        <f t="shared" si="37"/>
        <v>1655.9139627719408</v>
      </c>
      <c r="AU25" s="26">
        <f t="shared" si="37"/>
        <v>1824.3204127858469</v>
      </c>
      <c r="AV25" s="26">
        <f t="shared" si="37"/>
        <v>2009.8537987661673</v>
      </c>
      <c r="AW25" s="26">
        <f t="shared" si="37"/>
        <v>2214.2559301006863</v>
      </c>
      <c r="AX25" s="26">
        <f t="shared" si="37"/>
        <v>2439.445758191926</v>
      </c>
      <c r="AY25" s="26">
        <f t="shared" si="37"/>
        <v>2687.5373918000446</v>
      </c>
      <c r="AZ25" s="26">
        <f t="shared" si="37"/>
        <v>2960.8599445461086</v>
      </c>
      <c r="BA25" s="26">
        <f t="shared" si="37"/>
        <v>3261.9794009064476</v>
      </c>
      <c r="BB25" s="26">
        <f t="shared" si="37"/>
        <v>3593.7227059786328</v>
      </c>
      <c r="BC25" s="26">
        <f t="shared" si="37"/>
        <v>3959.2043051766595</v>
      </c>
      <c r="BD25" s="26">
        <f t="shared" si="37"/>
        <v>4361.855383013125</v>
      </c>
      <c r="BE25" s="26">
        <f t="shared" si="37"/>
        <v>4805.4560754655595</v>
      </c>
      <c r="BF25" s="26">
        <f t="shared" si="37"/>
        <v>5294.1709583404063</v>
      </c>
      <c r="BG25" s="26">
        <f t="shared" si="37"/>
        <v>5832.5881448036253</v>
      </c>
      <c r="BH25" s="26">
        <f t="shared" si="37"/>
        <v>6425.7623591301535</v>
      </c>
    </row>
    <row r="26" spans="3:60" x14ac:dyDescent="0.2">
      <c r="Z26" s="4"/>
      <c r="AA26" s="4"/>
      <c r="AB26" s="4"/>
      <c r="AC26" s="4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3:60" x14ac:dyDescent="0.2">
      <c r="C27" t="s">
        <v>50</v>
      </c>
      <c r="D27" s="12">
        <f>D15/D7</f>
        <v>0.51063829787234039</v>
      </c>
      <c r="E27" s="12">
        <f>E15/E7</f>
        <v>0.56870818322182193</v>
      </c>
      <c r="F27" s="12">
        <f t="shared" ref="E27:W27" si="38">F15/F7</f>
        <v>0.51137594799566632</v>
      </c>
      <c r="G27" s="12">
        <f t="shared" si="38"/>
        <v>0.35136582753079809</v>
      </c>
      <c r="H27" s="12">
        <f t="shared" si="38"/>
        <v>0.53621031746031744</v>
      </c>
      <c r="I27" s="12">
        <f t="shared" si="38"/>
        <v>0.54795821462488126</v>
      </c>
      <c r="J27" s="12">
        <f t="shared" si="38"/>
        <v>0.51892668902731198</v>
      </c>
      <c r="K27" s="12">
        <f t="shared" si="38"/>
        <v>0.43247126436781608</v>
      </c>
      <c r="L27" s="12">
        <f t="shared" si="38"/>
        <v>0.79196316450397652</v>
      </c>
      <c r="M27" s="12">
        <f t="shared" si="38"/>
        <v>0.49515536251252923</v>
      </c>
      <c r="N27" s="12">
        <f t="shared" si="38"/>
        <v>0.29814750087382036</v>
      </c>
      <c r="O27" s="12">
        <f t="shared" si="38"/>
        <v>0.24404356705241662</v>
      </c>
      <c r="P27" s="12">
        <f t="shared" si="38"/>
        <v>0.36202531645569619</v>
      </c>
      <c r="Q27" s="12">
        <f t="shared" si="38"/>
        <v>0.29377620122541115</v>
      </c>
      <c r="R27" s="12">
        <f t="shared" si="38"/>
        <v>0.34824902723735407</v>
      </c>
      <c r="S27" s="12">
        <f t="shared" si="38"/>
        <v>0.37229317046085508</v>
      </c>
      <c r="T27" s="12">
        <f t="shared" si="38"/>
        <v>0.3967344600401031</v>
      </c>
      <c r="U27" s="12">
        <f t="shared" si="38"/>
        <v>0.4091293322062553</v>
      </c>
      <c r="V27" s="12" t="e">
        <f t="shared" si="38"/>
        <v>#DIV/0!</v>
      </c>
      <c r="W27" s="12" t="e">
        <f t="shared" si="38"/>
        <v>#DIV/0!</v>
      </c>
      <c r="Y27" s="11"/>
      <c r="Z27" s="12">
        <f t="shared" ref="Z27:AA27" si="39">Z15/Z7</f>
        <v>0.486025262026337</v>
      </c>
      <c r="AA27" s="12">
        <f t="shared" si="39"/>
        <v>0.50873809810774984</v>
      </c>
      <c r="AB27" s="12">
        <f t="shared" ref="AB27:BH27" si="40">AB15/AB7</f>
        <v>0.44217869600214649</v>
      </c>
      <c r="AC27" s="29">
        <f t="shared" si="40"/>
        <v>0.34525372673206151</v>
      </c>
      <c r="AD27" s="28">
        <f t="shared" si="40"/>
        <v>0.44</v>
      </c>
      <c r="AE27" s="28">
        <f t="shared" si="40"/>
        <v>0.44</v>
      </c>
      <c r="AF27" s="28">
        <f t="shared" si="40"/>
        <v>0.44</v>
      </c>
      <c r="AG27" s="28">
        <f t="shared" si="40"/>
        <v>0.44000000000000006</v>
      </c>
      <c r="AH27" s="28">
        <f t="shared" si="40"/>
        <v>0.44</v>
      </c>
      <c r="AI27" s="28">
        <f t="shared" si="40"/>
        <v>0.44</v>
      </c>
      <c r="AJ27" s="28">
        <f t="shared" si="40"/>
        <v>0.44</v>
      </c>
      <c r="AK27" s="28">
        <f t="shared" si="40"/>
        <v>0.44000000000000006</v>
      </c>
      <c r="AL27" s="28">
        <f t="shared" si="40"/>
        <v>0.44</v>
      </c>
      <c r="AM27" s="28">
        <f t="shared" si="40"/>
        <v>0.44000000000000006</v>
      </c>
      <c r="AN27" s="28">
        <f t="shared" si="40"/>
        <v>0.44</v>
      </c>
      <c r="AO27" s="28">
        <f t="shared" si="40"/>
        <v>0.44</v>
      </c>
      <c r="AP27" s="28">
        <f t="shared" si="40"/>
        <v>0.44</v>
      </c>
      <c r="AQ27" s="28">
        <f t="shared" si="40"/>
        <v>0.44</v>
      </c>
      <c r="AR27" s="28">
        <f t="shared" si="40"/>
        <v>0.43999999999999995</v>
      </c>
      <c r="AS27" s="28">
        <f t="shared" si="40"/>
        <v>0.43999999999999995</v>
      </c>
      <c r="AT27" s="28">
        <f t="shared" si="40"/>
        <v>0.44</v>
      </c>
      <c r="AU27" s="28">
        <f t="shared" si="40"/>
        <v>0.44</v>
      </c>
      <c r="AV27" s="28">
        <f t="shared" si="40"/>
        <v>0.44</v>
      </c>
      <c r="AW27" s="28">
        <f t="shared" si="40"/>
        <v>0.44</v>
      </c>
      <c r="AX27" s="28">
        <f t="shared" si="40"/>
        <v>0.44</v>
      </c>
      <c r="AY27" s="28">
        <f t="shared" si="40"/>
        <v>0.44</v>
      </c>
      <c r="AZ27" s="28">
        <f t="shared" si="40"/>
        <v>0.44</v>
      </c>
      <c r="BA27" s="28">
        <f t="shared" si="40"/>
        <v>0.44</v>
      </c>
      <c r="BB27" s="28">
        <f t="shared" si="40"/>
        <v>0.44000000000000006</v>
      </c>
      <c r="BC27" s="28">
        <f t="shared" si="40"/>
        <v>0.44</v>
      </c>
      <c r="BD27" s="28">
        <f t="shared" si="40"/>
        <v>0.44000000000000006</v>
      </c>
      <c r="BE27" s="28">
        <f t="shared" si="40"/>
        <v>0.44</v>
      </c>
      <c r="BF27" s="28">
        <f t="shared" si="40"/>
        <v>0.44</v>
      </c>
      <c r="BG27" s="28">
        <f t="shared" si="40"/>
        <v>0.43999999999999995</v>
      </c>
      <c r="BH27" s="28">
        <f t="shared" si="40"/>
        <v>0.44</v>
      </c>
    </row>
    <row r="28" spans="3:60" x14ac:dyDescent="0.2">
      <c r="C28" t="s">
        <v>20</v>
      </c>
      <c r="D28" s="12">
        <f>D19/D18</f>
        <v>0.21436716077537057</v>
      </c>
      <c r="E28" s="12">
        <f t="shared" ref="E28:W28" si="41">E19/E18</f>
        <v>0.21674418604651163</v>
      </c>
      <c r="F28" s="12">
        <f t="shared" si="41"/>
        <v>0.21698113207547171</v>
      </c>
      <c r="G28" s="12">
        <f t="shared" si="41"/>
        <v>0.2109375</v>
      </c>
      <c r="H28" s="12">
        <f t="shared" si="41"/>
        <v>0.23484848484848486</v>
      </c>
      <c r="I28" s="12">
        <f t="shared" si="41"/>
        <v>0.25087412587412589</v>
      </c>
      <c r="J28" s="12">
        <f t="shared" si="41"/>
        <v>0.19832402234636873</v>
      </c>
      <c r="K28" s="12">
        <f t="shared" si="41"/>
        <v>0.17191011235955056</v>
      </c>
      <c r="L28" s="12">
        <f t="shared" si="41"/>
        <v>0.30423138725227639</v>
      </c>
      <c r="M28" s="12">
        <f t="shared" si="41"/>
        <v>0.24442846872753415</v>
      </c>
      <c r="N28" s="12">
        <f t="shared" si="41"/>
        <v>0.17618469015795868</v>
      </c>
      <c r="O28" s="12">
        <f t="shared" si="41"/>
        <v>0.20483870967741935</v>
      </c>
      <c r="P28" s="12">
        <f t="shared" si="41"/>
        <v>0.17938931297709923</v>
      </c>
      <c r="Q28" s="12">
        <f t="shared" si="41"/>
        <v>0.31055155875299761</v>
      </c>
      <c r="R28" s="12">
        <f t="shared" si="41"/>
        <v>0.18190954773869347</v>
      </c>
      <c r="S28" s="12">
        <f t="shared" si="41"/>
        <v>0.12057877813504823</v>
      </c>
      <c r="T28" s="12">
        <f>T19/T18</f>
        <v>0.18844984802431611</v>
      </c>
      <c r="U28" s="12">
        <f t="shared" si="41"/>
        <v>0.21262699564586357</v>
      </c>
      <c r="V28" s="12" t="e">
        <f t="shared" si="41"/>
        <v>#DIV/0!</v>
      </c>
      <c r="W28" s="12" t="e">
        <f t="shared" si="41"/>
        <v>#DIV/0!</v>
      </c>
      <c r="Y28" s="11"/>
      <c r="Z28" s="12">
        <f t="shared" ref="Z28:AA28" si="42">Z19/Z18</f>
        <v>0.21499380421313508</v>
      </c>
      <c r="AA28" s="12">
        <f t="shared" si="42"/>
        <v>0.21637848222862632</v>
      </c>
      <c r="AB28" s="12">
        <f t="shared" ref="AB28:AE28" si="43">AB19/AB18</f>
        <v>0.25101042331418849</v>
      </c>
      <c r="AC28" s="12">
        <f t="shared" si="43"/>
        <v>0.18878912885222032</v>
      </c>
      <c r="AD28" s="28">
        <f>AD19/AD18</f>
        <v>0.20999999999999996</v>
      </c>
      <c r="AE28" s="28">
        <f t="shared" ref="AE28:BH28" si="44">AE19/AE18</f>
        <v>0.21</v>
      </c>
      <c r="AF28" s="28">
        <f t="shared" si="44"/>
        <v>0.21</v>
      </c>
      <c r="AG28" s="28">
        <f t="shared" si="44"/>
        <v>0.21</v>
      </c>
      <c r="AH28" s="28">
        <f t="shared" si="44"/>
        <v>0.20999999999999996</v>
      </c>
      <c r="AI28" s="28">
        <f t="shared" si="44"/>
        <v>0.21</v>
      </c>
      <c r="AJ28" s="28">
        <f t="shared" si="44"/>
        <v>0.21</v>
      </c>
      <c r="AK28" s="28">
        <f t="shared" si="44"/>
        <v>0.21</v>
      </c>
      <c r="AL28" s="28">
        <f t="shared" si="44"/>
        <v>0.21</v>
      </c>
      <c r="AM28" s="28">
        <f t="shared" si="44"/>
        <v>0.20999999999999996</v>
      </c>
      <c r="AN28" s="28">
        <f t="shared" si="44"/>
        <v>0.21000000000000002</v>
      </c>
      <c r="AO28" s="28">
        <f t="shared" si="44"/>
        <v>0.21</v>
      </c>
      <c r="AP28" s="28">
        <f t="shared" si="44"/>
        <v>0.21</v>
      </c>
      <c r="AQ28" s="28">
        <f t="shared" si="44"/>
        <v>0.21</v>
      </c>
      <c r="AR28" s="28">
        <f t="shared" si="44"/>
        <v>0.21</v>
      </c>
      <c r="AS28" s="28">
        <f t="shared" si="44"/>
        <v>0.21</v>
      </c>
      <c r="AT28" s="28">
        <f t="shared" si="44"/>
        <v>0.21</v>
      </c>
      <c r="AU28" s="28">
        <f t="shared" si="44"/>
        <v>0.21</v>
      </c>
      <c r="AV28" s="28">
        <f t="shared" si="44"/>
        <v>0.21</v>
      </c>
      <c r="AW28" s="28">
        <f t="shared" si="44"/>
        <v>0.21</v>
      </c>
      <c r="AX28" s="28">
        <f t="shared" si="44"/>
        <v>0.21</v>
      </c>
      <c r="AY28" s="28">
        <f t="shared" si="44"/>
        <v>0.21</v>
      </c>
      <c r="AZ28" s="28">
        <f t="shared" si="44"/>
        <v>0.21</v>
      </c>
      <c r="BA28" s="28">
        <f t="shared" si="44"/>
        <v>0.21</v>
      </c>
      <c r="BB28" s="28">
        <f t="shared" si="44"/>
        <v>0.21</v>
      </c>
      <c r="BC28" s="28">
        <f t="shared" si="44"/>
        <v>0.21</v>
      </c>
      <c r="BD28" s="28">
        <f t="shared" si="44"/>
        <v>0.21</v>
      </c>
      <c r="BE28" s="28">
        <f t="shared" si="44"/>
        <v>0.21</v>
      </c>
      <c r="BF28" s="28">
        <f t="shared" si="44"/>
        <v>0.21</v>
      </c>
      <c r="BG28" s="28">
        <f t="shared" si="44"/>
        <v>0.21</v>
      </c>
      <c r="BH28" s="28">
        <f t="shared" si="44"/>
        <v>0.21</v>
      </c>
    </row>
    <row r="29" spans="3:60" x14ac:dyDescent="0.2">
      <c r="C29" t="s">
        <v>51</v>
      </c>
      <c r="H29" s="11">
        <f>H7/D7-1</f>
        <v>0.12877939529675242</v>
      </c>
      <c r="L29" s="11">
        <f>L7/H7-1</f>
        <v>0.18501984126984117</v>
      </c>
      <c r="P29" s="11">
        <f>P7/L7-1</f>
        <v>0.32272917538719126</v>
      </c>
      <c r="T29" s="11">
        <f>T7/P7-1</f>
        <v>0.10474683544303787</v>
      </c>
      <c r="AA29" s="17">
        <f t="shared" ref="AA29:AC29" si="45">AA7/Z7-1</f>
        <v>0.11488847084117171</v>
      </c>
      <c r="AB29" s="17">
        <f t="shared" si="45"/>
        <v>0.34759551645172948</v>
      </c>
      <c r="AC29" s="17">
        <f>AC7/AB7-1</f>
        <v>0.15794651641176993</v>
      </c>
      <c r="AD29" s="30">
        <f t="shared" ref="AD29:BH29" si="46">AD7/AC7-1</f>
        <v>0.14999999999999991</v>
      </c>
      <c r="AE29" s="30">
        <f t="shared" si="46"/>
        <v>0.14999999999999991</v>
      </c>
      <c r="AF29" s="30">
        <f t="shared" si="46"/>
        <v>0.14999999999999991</v>
      </c>
      <c r="AG29" s="30">
        <f t="shared" si="46"/>
        <v>0.14999999999999991</v>
      </c>
      <c r="AH29" s="30">
        <f t="shared" si="46"/>
        <v>0.14999999999999991</v>
      </c>
      <c r="AI29" s="30">
        <f t="shared" si="46"/>
        <v>0.14999999999999991</v>
      </c>
      <c r="AJ29" s="30">
        <f t="shared" si="46"/>
        <v>0.13000000000000012</v>
      </c>
      <c r="AK29" s="30">
        <f t="shared" si="46"/>
        <v>0.12999999999999989</v>
      </c>
      <c r="AL29" s="30">
        <f t="shared" si="46"/>
        <v>0.12999999999999989</v>
      </c>
      <c r="AM29" s="30">
        <f t="shared" si="46"/>
        <v>0.12999999999999989</v>
      </c>
      <c r="AN29" s="30">
        <f t="shared" si="46"/>
        <v>0.12999999999999989</v>
      </c>
      <c r="AO29" s="30">
        <f t="shared" si="46"/>
        <v>0.12999999999999989</v>
      </c>
      <c r="AP29" s="30">
        <f t="shared" si="46"/>
        <v>0.12999999999999989</v>
      </c>
      <c r="AQ29" s="30">
        <f t="shared" si="46"/>
        <v>0.10000000000000009</v>
      </c>
      <c r="AR29" s="30">
        <f t="shared" si="46"/>
        <v>0.10000000000000009</v>
      </c>
      <c r="AS29" s="30">
        <f t="shared" si="46"/>
        <v>0.10000000000000009</v>
      </c>
      <c r="AT29" s="30">
        <f t="shared" si="46"/>
        <v>0.10000000000000009</v>
      </c>
      <c r="AU29" s="30">
        <f t="shared" si="46"/>
        <v>0.10000000000000009</v>
      </c>
      <c r="AV29" s="30">
        <f t="shared" si="46"/>
        <v>0.10000000000000009</v>
      </c>
      <c r="AW29" s="30">
        <f t="shared" si="46"/>
        <v>5.0000000000000044E-2</v>
      </c>
      <c r="AX29" s="30">
        <f t="shared" si="46"/>
        <v>5.0000000000000044E-2</v>
      </c>
      <c r="AY29" s="30">
        <f t="shared" si="46"/>
        <v>5.0000000000000044E-2</v>
      </c>
      <c r="AZ29" s="30">
        <f t="shared" si="46"/>
        <v>5.0000000000000044E-2</v>
      </c>
      <c r="BA29" s="30">
        <f t="shared" si="46"/>
        <v>5.0000000000000044E-2</v>
      </c>
      <c r="BB29" s="30">
        <f t="shared" si="46"/>
        <v>5.0000000000000044E-2</v>
      </c>
      <c r="BC29" s="30">
        <f t="shared" si="46"/>
        <v>5.0000000000000044E-2</v>
      </c>
      <c r="BD29" s="30">
        <f t="shared" si="46"/>
        <v>2.0000000000000018E-2</v>
      </c>
      <c r="BE29" s="30">
        <f t="shared" si="46"/>
        <v>2.0000000000000018E-2</v>
      </c>
      <c r="BF29" s="30">
        <f t="shared" si="46"/>
        <v>2.0000000000000018E-2</v>
      </c>
      <c r="BG29" s="30">
        <f t="shared" si="46"/>
        <v>2.0000000000000018E-2</v>
      </c>
      <c r="BH29" s="30">
        <f t="shared" si="46"/>
        <v>2.0000000000000018E-2</v>
      </c>
    </row>
    <row r="30" spans="3:60" x14ac:dyDescent="0.2">
      <c r="Z30" s="23"/>
      <c r="AA30" s="23"/>
      <c r="AB30" s="23"/>
      <c r="AC30" s="23"/>
    </row>
    <row r="31" spans="3:60" x14ac:dyDescent="0.2">
      <c r="C31" t="s">
        <v>52</v>
      </c>
      <c r="Z31" s="23"/>
      <c r="AA31" s="23"/>
      <c r="AB31" s="23"/>
      <c r="AC31" s="23"/>
    </row>
    <row r="32" spans="3:60" x14ac:dyDescent="0.2">
      <c r="C32" t="s">
        <v>53</v>
      </c>
      <c r="AC32" s="23"/>
    </row>
    <row r="33" spans="3:26" x14ac:dyDescent="0.2">
      <c r="C33" t="s">
        <v>54</v>
      </c>
      <c r="Y33" t="s">
        <v>55</v>
      </c>
      <c r="Z33" t="s">
        <v>56</v>
      </c>
    </row>
    <row r="34" spans="3:26" x14ac:dyDescent="0.2">
      <c r="Y34" t="s">
        <v>57</v>
      </c>
      <c r="Z34" s="12">
        <f>AVERAGE(AA29:AC29)</f>
        <v>0.20681016790155704</v>
      </c>
    </row>
    <row r="35" spans="3:26" x14ac:dyDescent="0.2">
      <c r="Y35" t="s">
        <v>58</v>
      </c>
      <c r="Z35" s="12">
        <f>AVERAGE(D27:U27)</f>
        <v>0.44384288025940954</v>
      </c>
    </row>
    <row r="36" spans="3:26" x14ac:dyDescent="0.2">
      <c r="Y36" t="s">
        <v>59</v>
      </c>
      <c r="Z36" s="12"/>
    </row>
    <row r="37" spans="3:26" x14ac:dyDescent="0.2">
      <c r="Z37" s="6"/>
    </row>
    <row r="38" spans="3:26" x14ac:dyDescent="0.2">
      <c r="Y38" t="s">
        <v>64</v>
      </c>
      <c r="Z38" s="12">
        <f>AVERAGE(D28:U28)</f>
        <v>0.21323200118972727</v>
      </c>
    </row>
    <row r="40" spans="3:26" x14ac:dyDescent="0.2">
      <c r="Y40" t="s">
        <v>60</v>
      </c>
      <c r="Z40" t="s">
        <v>56</v>
      </c>
    </row>
    <row r="41" spans="3:26" x14ac:dyDescent="0.2">
      <c r="Y41" t="s">
        <v>65</v>
      </c>
      <c r="Z41" s="16">
        <v>8.5000000000000006E-3</v>
      </c>
    </row>
    <row r="42" spans="3:26" x14ac:dyDescent="0.2">
      <c r="Y42" t="s">
        <v>66</v>
      </c>
      <c r="Z42" s="17">
        <v>8.6999999999999994E-2</v>
      </c>
    </row>
    <row r="43" spans="3:26" x14ac:dyDescent="0.2">
      <c r="Y43" t="s">
        <v>61</v>
      </c>
      <c r="Z43" s="18">
        <f>NPV(Z42,Z22:BH22)</f>
        <v>147850.3793400588</v>
      </c>
    </row>
    <row r="44" spans="3:26" x14ac:dyDescent="0.2">
      <c r="Y44" t="s">
        <v>4</v>
      </c>
      <c r="Z44" s="6">
        <v>1290</v>
      </c>
    </row>
    <row r="45" spans="3:26" x14ac:dyDescent="0.2">
      <c r="Y45" s="19" t="s">
        <v>62</v>
      </c>
      <c r="Z45" s="20">
        <f>Z44+Z43</f>
        <v>149140.3793400588</v>
      </c>
    </row>
    <row r="46" spans="3:26" x14ac:dyDescent="0.2">
      <c r="Y46" s="19" t="s">
        <v>63</v>
      </c>
      <c r="Z46" s="21">
        <f>Z45/Info!C7</f>
        <v>476.6391158199387</v>
      </c>
    </row>
    <row r="47" spans="3:26" x14ac:dyDescent="0.2">
      <c r="Y47" s="19" t="s">
        <v>67</v>
      </c>
      <c r="Z47" s="22">
        <f>Info!C6</f>
        <v>479.84</v>
      </c>
    </row>
    <row r="50" spans="25:26" x14ac:dyDescent="0.2">
      <c r="Y50" s="14"/>
      <c r="Z50" s="15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Ihsan Mutlu</dc:creator>
  <cp:lastModifiedBy>Ihsan Mutlu</cp:lastModifiedBy>
  <dcterms:created xsi:type="dcterms:W3CDTF">2024-07-21T15:53:01Z</dcterms:created>
  <dcterms:modified xsi:type="dcterms:W3CDTF">2024-08-07T13:37:15Z</dcterms:modified>
</cp:coreProperties>
</file>