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0536A1B9-B764-FA4B-B05C-1384C627D89B}" xr6:coauthVersionLast="47" xr6:coauthVersionMax="47" xr10:uidLastSave="{00000000-0000-0000-0000-000000000000}"/>
  <bookViews>
    <workbookView xWindow="-120" yWindow="740" windowWidth="29280" windowHeight="16680" activeTab="1" xr2:uid="{BD7CB5F1-4CFA-564D-B165-FF597629B4A5}"/>
  </bookViews>
  <sheets>
    <sheet name="Info" sheetId="1" r:id="rId1"/>
    <sheet name="DCF" sheetId="2" r:id="rId2"/>
    <sheet name="WACC" sheetId="3" r:id="rId3"/>
    <sheet name="Historical Data" sheetId="4" r:id="rId4"/>
  </sheets>
  <externalReferences>
    <externalReference r:id="rId5"/>
  </externalReferenc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77" i="2"/>
  <c r="Q80" i="2" l="1"/>
  <c r="F9" i="3"/>
  <c r="F8" i="3"/>
  <c r="M78" i="2"/>
  <c r="M75" i="2" s="1"/>
  <c r="Q34" i="2"/>
  <c r="P34" i="2"/>
  <c r="O34" i="2"/>
  <c r="N34" i="2"/>
  <c r="M34" i="2"/>
  <c r="Q26" i="2"/>
  <c r="P26" i="2"/>
  <c r="O26" i="2"/>
  <c r="N26" i="2"/>
  <c r="M26" i="2"/>
  <c r="Q18" i="2"/>
  <c r="P18" i="2"/>
  <c r="O18" i="2"/>
  <c r="N18" i="2"/>
  <c r="C10" i="1"/>
  <c r="M54" i="2"/>
  <c r="M39" i="2"/>
  <c r="M18" i="2"/>
  <c r="Q88" i="2"/>
  <c r="Q85" i="2"/>
  <c r="Q84" i="2"/>
  <c r="L78" i="2" l="1"/>
  <c r="L75" i="2" s="1"/>
  <c r="M47" i="2" l="1"/>
  <c r="M40" i="2"/>
  <c r="M21" i="2"/>
  <c r="M22" i="2" s="1"/>
  <c r="M19" i="2"/>
  <c r="L18" i="4"/>
  <c r="L21" i="4" s="1"/>
  <c r="L23" i="4" s="1"/>
  <c r="K18" i="4"/>
  <c r="K21" i="4" s="1"/>
  <c r="K23" i="4" s="1"/>
  <c r="J18" i="4"/>
  <c r="J21" i="4" s="1"/>
  <c r="J23" i="4" s="1"/>
  <c r="I18" i="4"/>
  <c r="I21" i="4" s="1"/>
  <c r="I23" i="4" s="1"/>
  <c r="H18" i="4"/>
  <c r="H21" i="4" s="1"/>
  <c r="H23" i="4" s="1"/>
  <c r="G18" i="4"/>
  <c r="G21" i="4" s="1"/>
  <c r="G23" i="4" s="1"/>
  <c r="F18" i="4"/>
  <c r="F21" i="4" s="1"/>
  <c r="F23" i="4" s="1"/>
  <c r="E18" i="4"/>
  <c r="E21" i="4" s="1"/>
  <c r="E23" i="4" s="1"/>
  <c r="D18" i="4"/>
  <c r="D21" i="4"/>
  <c r="L18" i="2"/>
  <c r="K18" i="2"/>
  <c r="J18" i="2"/>
  <c r="I18" i="2"/>
  <c r="H18" i="2"/>
  <c r="G18" i="2"/>
  <c r="F18" i="2"/>
  <c r="E18" i="2"/>
  <c r="D18" i="2"/>
  <c r="C18" i="2"/>
  <c r="L17" i="4"/>
  <c r="L19" i="4" s="1"/>
  <c r="K17" i="4"/>
  <c r="K19" i="4" s="1"/>
  <c r="J17" i="4"/>
  <c r="J19" i="4" s="1"/>
  <c r="J36" i="4" s="1"/>
  <c r="I17" i="4"/>
  <c r="I19" i="4" s="1"/>
  <c r="I36" i="4" s="1"/>
  <c r="H17" i="4"/>
  <c r="H19" i="4" s="1"/>
  <c r="G17" i="4"/>
  <c r="G19" i="4" s="1"/>
  <c r="G36" i="4" s="1"/>
  <c r="F17" i="4"/>
  <c r="E17" i="4"/>
  <c r="E19" i="4" s="1"/>
  <c r="D17" i="4"/>
  <c r="D19" i="4" s="1"/>
  <c r="F19" i="4"/>
  <c r="F36" i="4" s="1"/>
  <c r="C36" i="4"/>
  <c r="C17" i="4"/>
  <c r="C19" i="4" s="1"/>
  <c r="L28" i="4"/>
  <c r="K28" i="4"/>
  <c r="J28" i="4"/>
  <c r="I28" i="4"/>
  <c r="H28" i="4"/>
  <c r="G28" i="4"/>
  <c r="F28" i="4"/>
  <c r="E28" i="4"/>
  <c r="D28" i="4"/>
  <c r="C28" i="4"/>
  <c r="D23" i="4"/>
  <c r="C18" i="4"/>
  <c r="C21" i="4" s="1"/>
  <c r="L43" i="2"/>
  <c r="K43" i="2"/>
  <c r="J43" i="2"/>
  <c r="I43" i="2"/>
  <c r="H43" i="2"/>
  <c r="G43" i="2"/>
  <c r="F43" i="2"/>
  <c r="E43" i="2"/>
  <c r="D43" i="2"/>
  <c r="C43" i="2"/>
  <c r="L39" i="2"/>
  <c r="L53" i="4"/>
  <c r="L46" i="2" s="1"/>
  <c r="F20" i="3"/>
  <c r="F15" i="3"/>
  <c r="L29" i="4" l="1"/>
  <c r="L32" i="4" s="1"/>
  <c r="L36" i="4"/>
  <c r="K29" i="4"/>
  <c r="K32" i="4" s="1"/>
  <c r="K36" i="4"/>
  <c r="J29" i="4"/>
  <c r="I29" i="4"/>
  <c r="I32" i="4" s="1"/>
  <c r="I38" i="4" s="1"/>
  <c r="E29" i="4"/>
  <c r="D29" i="4"/>
  <c r="D32" i="4" s="1"/>
  <c r="D38" i="4" s="1"/>
  <c r="D39" i="4"/>
  <c r="D36" i="4"/>
  <c r="H36" i="4"/>
  <c r="H29" i="4"/>
  <c r="F29" i="4"/>
  <c r="F39" i="4" s="1"/>
  <c r="I39" i="4"/>
  <c r="E32" i="4"/>
  <c r="E33" i="4" s="1"/>
  <c r="E39" i="4"/>
  <c r="E36" i="4"/>
  <c r="F32" i="4"/>
  <c r="F38" i="4" s="1"/>
  <c r="G29" i="4"/>
  <c r="I33" i="4"/>
  <c r="C29" i="4"/>
  <c r="C23" i="4"/>
  <c r="L39" i="4" l="1"/>
  <c r="L33" i="4"/>
  <c r="L38" i="4"/>
  <c r="K39" i="4"/>
  <c r="K38" i="4"/>
  <c r="K33" i="4"/>
  <c r="J32" i="4"/>
  <c r="J39" i="4"/>
  <c r="E38" i="4"/>
  <c r="D33" i="4"/>
  <c r="H39" i="4"/>
  <c r="H32" i="4"/>
  <c r="G32" i="4"/>
  <c r="G39" i="4"/>
  <c r="C39" i="4"/>
  <c r="C32" i="4"/>
  <c r="F33" i="4"/>
  <c r="J38" i="4" l="1"/>
  <c r="J33" i="4"/>
  <c r="H33" i="4"/>
  <c r="H38" i="4"/>
  <c r="C38" i="4"/>
  <c r="C33" i="4"/>
  <c r="G38" i="4"/>
  <c r="G33" i="4"/>
  <c r="C6" i="1" l="1"/>
  <c r="C9" i="1" s="1"/>
  <c r="K53" i="4"/>
  <c r="K46" i="2" s="1"/>
  <c r="J53" i="4"/>
  <c r="J46" i="2" s="1"/>
  <c r="I53" i="4"/>
  <c r="I46" i="2" s="1"/>
  <c r="H53" i="4"/>
  <c r="H46" i="2" s="1"/>
  <c r="G53" i="4"/>
  <c r="G46" i="2" s="1"/>
  <c r="F53" i="4"/>
  <c r="F46" i="2" s="1"/>
  <c r="E53" i="4"/>
  <c r="E46" i="2" s="1"/>
  <c r="D53" i="4"/>
  <c r="D46" i="2" s="1"/>
  <c r="C53" i="4"/>
  <c r="C46" i="2" s="1"/>
  <c r="L43" i="4"/>
  <c r="K39" i="2" s="1"/>
  <c r="M7" i="4"/>
  <c r="K43" i="4" l="1"/>
  <c r="F10" i="3"/>
  <c r="N78" i="2"/>
  <c r="O78" i="2" s="1"/>
  <c r="P78" i="2" s="1"/>
  <c r="Q78" i="2" s="1"/>
  <c r="Q81" i="2" s="1"/>
  <c r="L68" i="2"/>
  <c r="F57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L71" i="2"/>
  <c r="K71" i="2"/>
  <c r="J71" i="2"/>
  <c r="E71" i="2"/>
  <c r="D71" i="2"/>
  <c r="C71" i="2"/>
  <c r="K68" i="2"/>
  <c r="J68" i="2"/>
  <c r="I68" i="2"/>
  <c r="H68" i="2"/>
  <c r="G68" i="2"/>
  <c r="F68" i="2"/>
  <c r="D68" i="2"/>
  <c r="C68" i="2"/>
  <c r="K65" i="2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L35" i="2"/>
  <c r="L61" i="2" s="1"/>
  <c r="K35" i="2"/>
  <c r="K61" i="2" s="1"/>
  <c r="J35" i="2"/>
  <c r="J61" i="2" s="1"/>
  <c r="I35" i="2"/>
  <c r="I61" i="2" s="1"/>
  <c r="H35" i="2"/>
  <c r="H61" i="2" s="1"/>
  <c r="G35" i="2"/>
  <c r="G61" i="2" s="1"/>
  <c r="F35" i="2"/>
  <c r="F61" i="2" s="1"/>
  <c r="E35" i="2"/>
  <c r="E61" i="2" s="1"/>
  <c r="D35" i="2"/>
  <c r="D61" i="2" s="1"/>
  <c r="C35" i="2"/>
  <c r="C61" i="2" s="1"/>
  <c r="L34" i="2"/>
  <c r="L60" i="2" s="1"/>
  <c r="K34" i="2"/>
  <c r="K60" i="2" s="1"/>
  <c r="J34" i="2"/>
  <c r="J60" i="2" s="1"/>
  <c r="I34" i="2"/>
  <c r="I60" i="2" s="1"/>
  <c r="H34" i="2"/>
  <c r="H60" i="2" s="1"/>
  <c r="G34" i="2"/>
  <c r="G60" i="2" s="1"/>
  <c r="F34" i="2"/>
  <c r="F60" i="2" s="1"/>
  <c r="E34" i="2"/>
  <c r="E60" i="2" s="1"/>
  <c r="D34" i="2"/>
  <c r="D60" i="2" s="1"/>
  <c r="C34" i="2"/>
  <c r="C60" i="2" s="1"/>
  <c r="K29" i="2"/>
  <c r="K57" i="2" s="1"/>
  <c r="K63" i="2" s="1"/>
  <c r="J29" i="2"/>
  <c r="J57" i="2" s="1"/>
  <c r="J63" i="2" s="1"/>
  <c r="I29" i="2"/>
  <c r="I57" i="2" s="1"/>
  <c r="I63" i="2" s="1"/>
  <c r="H29" i="2"/>
  <c r="H57" i="2" s="1"/>
  <c r="L26" i="2"/>
  <c r="K26" i="2"/>
  <c r="J26" i="2"/>
  <c r="I26" i="2"/>
  <c r="H26" i="2"/>
  <c r="H27" i="2" s="1"/>
  <c r="G26" i="2"/>
  <c r="F26" i="2"/>
  <c r="F29" i="2" s="1"/>
  <c r="E26" i="2"/>
  <c r="D26" i="2"/>
  <c r="C26" i="2"/>
  <c r="C29" i="2" s="1"/>
  <c r="C57" i="2" s="1"/>
  <c r="L21" i="2"/>
  <c r="E21" i="2"/>
  <c r="F21" i="2"/>
  <c r="E19" i="2"/>
  <c r="D19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J39" i="2" l="1"/>
  <c r="J65" i="2" s="1"/>
  <c r="J43" i="4"/>
  <c r="F22" i="2"/>
  <c r="F55" i="2" s="1"/>
  <c r="G19" i="2"/>
  <c r="J41" i="2"/>
  <c r="D27" i="2"/>
  <c r="L27" i="2"/>
  <c r="K41" i="2"/>
  <c r="F47" i="2"/>
  <c r="F72" i="2" s="1"/>
  <c r="L47" i="2"/>
  <c r="L72" i="2" s="1"/>
  <c r="D21" i="2"/>
  <c r="D47" i="2" s="1"/>
  <c r="D72" i="2" s="1"/>
  <c r="F30" i="2"/>
  <c r="F58" i="2" s="1"/>
  <c r="E47" i="2"/>
  <c r="E72" i="2" s="1"/>
  <c r="F63" i="2"/>
  <c r="H19" i="2"/>
  <c r="G21" i="2"/>
  <c r="G44" i="2" s="1"/>
  <c r="G69" i="2" s="1"/>
  <c r="J74" i="2"/>
  <c r="L40" i="2"/>
  <c r="L66" i="2" s="1"/>
  <c r="L44" i="2"/>
  <c r="L69" i="2" s="1"/>
  <c r="L65" i="2"/>
  <c r="G27" i="2"/>
  <c r="J19" i="2"/>
  <c r="F71" i="2"/>
  <c r="K19" i="2"/>
  <c r="K74" i="2"/>
  <c r="H63" i="2"/>
  <c r="F19" i="2"/>
  <c r="L19" i="2"/>
  <c r="C27" i="2"/>
  <c r="K27" i="2"/>
  <c r="F16" i="3"/>
  <c r="C19" i="2"/>
  <c r="G29" i="2"/>
  <c r="G71" i="2"/>
  <c r="C21" i="2"/>
  <c r="C44" i="2" s="1"/>
  <c r="C69" i="2" s="1"/>
  <c r="E22" i="2"/>
  <c r="E55" i="2" s="1"/>
  <c r="C63" i="2"/>
  <c r="H71" i="2"/>
  <c r="E27" i="2"/>
  <c r="E29" i="2"/>
  <c r="F44" i="2"/>
  <c r="F69" i="2" s="1"/>
  <c r="E54" i="2"/>
  <c r="E48" i="2"/>
  <c r="F48" i="2"/>
  <c r="K21" i="2"/>
  <c r="M55" i="2"/>
  <c r="D44" i="2"/>
  <c r="D69" i="2" s="1"/>
  <c r="I71" i="2"/>
  <c r="J21" i="2"/>
  <c r="J27" i="2"/>
  <c r="M27" i="2"/>
  <c r="F27" i="2"/>
  <c r="I19" i="2"/>
  <c r="I21" i="2"/>
  <c r="I27" i="2"/>
  <c r="E44" i="2"/>
  <c r="E69" i="2" s="1"/>
  <c r="E68" i="2"/>
  <c r="L54" i="2"/>
  <c r="F54" i="2"/>
  <c r="H21" i="2"/>
  <c r="H48" i="2" s="1"/>
  <c r="D29" i="2"/>
  <c r="L29" i="2"/>
  <c r="L41" i="2"/>
  <c r="F22" i="3" l="1"/>
  <c r="D54" i="2"/>
  <c r="I39" i="2"/>
  <c r="I43" i="4"/>
  <c r="I48" i="2"/>
  <c r="G54" i="2"/>
  <c r="G22" i="2"/>
  <c r="G55" i="2" s="1"/>
  <c r="H47" i="2"/>
  <c r="H72" i="2" s="1"/>
  <c r="G48" i="2"/>
  <c r="G47" i="2"/>
  <c r="G72" i="2" s="1"/>
  <c r="K22" i="2"/>
  <c r="K55" i="2" s="1"/>
  <c r="K47" i="2"/>
  <c r="K40" i="2"/>
  <c r="K30" i="2"/>
  <c r="K58" i="2" s="1"/>
  <c r="K54" i="2"/>
  <c r="L22" i="2"/>
  <c r="L55" i="2" s="1"/>
  <c r="K48" i="2"/>
  <c r="C22" i="2"/>
  <c r="C55" i="2" s="1"/>
  <c r="C47" i="2"/>
  <c r="C72" i="2" s="1"/>
  <c r="C30" i="2"/>
  <c r="C58" i="2" s="1"/>
  <c r="D22" i="2"/>
  <c r="D55" i="2" s="1"/>
  <c r="C54" i="2"/>
  <c r="M29" i="2"/>
  <c r="L48" i="2"/>
  <c r="G30" i="2"/>
  <c r="G58" i="2" s="1"/>
  <c r="G57" i="2"/>
  <c r="G63" i="2" s="1"/>
  <c r="L30" i="2"/>
  <c r="L58" i="2" s="1"/>
  <c r="L57" i="2"/>
  <c r="L63" i="2" s="1"/>
  <c r="L74" i="2" s="1"/>
  <c r="D30" i="2"/>
  <c r="D58" i="2" s="1"/>
  <c r="D57" i="2"/>
  <c r="D63" i="2" s="1"/>
  <c r="D48" i="2"/>
  <c r="N19" i="2"/>
  <c r="N21" i="2"/>
  <c r="J22" i="2"/>
  <c r="J55" i="2" s="1"/>
  <c r="J40" i="2"/>
  <c r="J44" i="2"/>
  <c r="J47" i="2"/>
  <c r="J30" i="2"/>
  <c r="J58" i="2" s="1"/>
  <c r="J54" i="2"/>
  <c r="J48" i="2"/>
  <c r="H54" i="2"/>
  <c r="H22" i="2"/>
  <c r="H55" i="2" s="1"/>
  <c r="H30" i="2"/>
  <c r="H58" i="2" s="1"/>
  <c r="H44" i="2"/>
  <c r="I54" i="2"/>
  <c r="I40" i="2"/>
  <c r="I22" i="2"/>
  <c r="I55" i="2" s="1"/>
  <c r="I44" i="2"/>
  <c r="I30" i="2"/>
  <c r="I58" i="2" s="1"/>
  <c r="I47" i="2"/>
  <c r="E30" i="2"/>
  <c r="E58" i="2" s="1"/>
  <c r="E57" i="2"/>
  <c r="E63" i="2" s="1"/>
  <c r="K44" i="2"/>
  <c r="M35" i="2" l="1"/>
  <c r="M61" i="2" s="1"/>
  <c r="H39" i="2"/>
  <c r="H43" i="4"/>
  <c r="I41" i="2"/>
  <c r="I65" i="2"/>
  <c r="I74" i="2" s="1"/>
  <c r="I72" i="2"/>
  <c r="J66" i="2"/>
  <c r="M30" i="2"/>
  <c r="M58" i="2" s="1"/>
  <c r="M57" i="2"/>
  <c r="I69" i="2"/>
  <c r="I66" i="2"/>
  <c r="O21" i="2"/>
  <c r="O19" i="2"/>
  <c r="K66" i="2"/>
  <c r="N54" i="2"/>
  <c r="N22" i="2"/>
  <c r="N55" i="2" s="1"/>
  <c r="J72" i="2"/>
  <c r="K72" i="2"/>
  <c r="N29" i="2"/>
  <c r="N35" i="2"/>
  <c r="N61" i="2" s="1"/>
  <c r="N27" i="2"/>
  <c r="K69" i="2"/>
  <c r="M44" i="2"/>
  <c r="N44" i="2" s="1"/>
  <c r="H69" i="2"/>
  <c r="J69" i="2"/>
  <c r="G39" i="2" l="1"/>
  <c r="G43" i="4"/>
  <c r="H65" i="2"/>
  <c r="H74" i="2" s="1"/>
  <c r="H41" i="2"/>
  <c r="H40" i="2"/>
  <c r="N69" i="2"/>
  <c r="N43" i="2"/>
  <c r="N68" i="2" s="1"/>
  <c r="M60" i="2"/>
  <c r="M63" i="2" s="1"/>
  <c r="M72" i="2"/>
  <c r="M46" i="2"/>
  <c r="M71" i="2" s="1"/>
  <c r="O35" i="2"/>
  <c r="O61" i="2" s="1"/>
  <c r="O27" i="2"/>
  <c r="O29" i="2"/>
  <c r="N30" i="2"/>
  <c r="N58" i="2" s="1"/>
  <c r="N57" i="2"/>
  <c r="M43" i="2"/>
  <c r="M68" i="2" s="1"/>
  <c r="M69" i="2"/>
  <c r="O54" i="2"/>
  <c r="O22" i="2"/>
  <c r="O55" i="2" s="1"/>
  <c r="P19" i="2"/>
  <c r="P21" i="2"/>
  <c r="O44" i="2"/>
  <c r="N47" i="2"/>
  <c r="H66" i="2" l="1"/>
  <c r="F39" i="2"/>
  <c r="F43" i="4"/>
  <c r="G65" i="2"/>
  <c r="G74" i="2" s="1"/>
  <c r="G41" i="2"/>
  <c r="G40" i="2"/>
  <c r="G66" i="2" s="1"/>
  <c r="N46" i="2"/>
  <c r="N71" i="2" s="1"/>
  <c r="N72" i="2"/>
  <c r="O69" i="2"/>
  <c r="O43" i="2"/>
  <c r="O68" i="2" s="1"/>
  <c r="O30" i="2"/>
  <c r="O58" i="2" s="1"/>
  <c r="O57" i="2"/>
  <c r="Q19" i="2"/>
  <c r="Q21" i="2"/>
  <c r="O47" i="2"/>
  <c r="P47" i="2" s="1"/>
  <c r="P35" i="2"/>
  <c r="P61" i="2" s="1"/>
  <c r="P27" i="2"/>
  <c r="P29" i="2"/>
  <c r="N60" i="2"/>
  <c r="N63" i="2" s="1"/>
  <c r="P44" i="2"/>
  <c r="P22" i="2"/>
  <c r="P55" i="2" s="1"/>
  <c r="P54" i="2"/>
  <c r="E39" i="2" l="1"/>
  <c r="E43" i="4"/>
  <c r="F40" i="2"/>
  <c r="F66" i="2" s="1"/>
  <c r="F65" i="2"/>
  <c r="F74" i="2" s="1"/>
  <c r="F41" i="2"/>
  <c r="N40" i="2"/>
  <c r="M65" i="2"/>
  <c r="M74" i="2" s="1"/>
  <c r="M66" i="2"/>
  <c r="P72" i="2"/>
  <c r="P46" i="2"/>
  <c r="P71" i="2" s="1"/>
  <c r="P43" i="2"/>
  <c r="P68" i="2" s="1"/>
  <c r="P69" i="2"/>
  <c r="Q44" i="2"/>
  <c r="Q47" i="2"/>
  <c r="P57" i="2"/>
  <c r="P30" i="2"/>
  <c r="P58" i="2" s="1"/>
  <c r="Q54" i="2"/>
  <c r="Q22" i="2"/>
  <c r="Q55" i="2" s="1"/>
  <c r="O60" i="2"/>
  <c r="O63" i="2" s="1"/>
  <c r="O72" i="2"/>
  <c r="O46" i="2"/>
  <c r="O71" i="2" s="1"/>
  <c r="Q27" i="2"/>
  <c r="Q35" i="2"/>
  <c r="Q61" i="2" s="1"/>
  <c r="Q29" i="2"/>
  <c r="N66" i="2" l="1"/>
  <c r="N39" i="2"/>
  <c r="N65" i="2" s="1"/>
  <c r="N74" i="2" s="1"/>
  <c r="N75" i="2" s="1"/>
  <c r="O40" i="2"/>
  <c r="D39" i="2"/>
  <c r="D43" i="4"/>
  <c r="E40" i="2"/>
  <c r="E66" i="2" s="1"/>
  <c r="E65" i="2"/>
  <c r="E74" i="2" s="1"/>
  <c r="E41" i="2"/>
  <c r="P60" i="2"/>
  <c r="P63" i="2"/>
  <c r="Q72" i="2"/>
  <c r="Q46" i="2"/>
  <c r="Q71" i="2" s="1"/>
  <c r="Q43" i="2"/>
  <c r="Q68" i="2" s="1"/>
  <c r="Q69" i="2"/>
  <c r="Q57" i="2"/>
  <c r="Q30" i="2"/>
  <c r="Q58" i="2" s="1"/>
  <c r="C39" i="2" l="1"/>
  <c r="C43" i="4"/>
  <c r="D65" i="2"/>
  <c r="D74" i="2" s="1"/>
  <c r="D40" i="2"/>
  <c r="D66" i="2" s="1"/>
  <c r="D41" i="2"/>
  <c r="P40" i="2"/>
  <c r="O39" i="2"/>
  <c r="O65" i="2" s="1"/>
  <c r="O74" i="2" s="1"/>
  <c r="O75" i="2" s="1"/>
  <c r="O66" i="2"/>
  <c r="Q60" i="2"/>
  <c r="Q63" i="2" s="1"/>
  <c r="P66" i="2" l="1"/>
  <c r="P39" i="2"/>
  <c r="P65" i="2" s="1"/>
  <c r="P74" i="2" s="1"/>
  <c r="P75" i="2" s="1"/>
  <c r="Q40" i="2"/>
  <c r="C41" i="2"/>
  <c r="C65" i="2"/>
  <c r="C74" i="2" s="1"/>
  <c r="C40" i="2"/>
  <c r="C66" i="2" s="1"/>
  <c r="Q66" i="2" l="1"/>
  <c r="Q39" i="2"/>
  <c r="Q65" i="2" s="1"/>
  <c r="Q74" i="2" s="1"/>
  <c r="Q75" i="2" l="1"/>
  <c r="Q83" i="2" s="1"/>
  <c r="Q86" i="2" l="1"/>
  <c r="Q8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Q84" authorId="0" shapeId="0" xr:uid="{B6276463-6612-3548-9FE3-02B9BD7BED7E}">
      <text>
        <r>
          <rPr>
            <b/>
            <sz val="9"/>
            <color rgb="FF000000"/>
            <rFont val="Tahoma"/>
            <family val="2"/>
          </rPr>
          <t>Ben Chon: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2024 Q2 10Q</t>
        </r>
      </text>
    </comment>
    <comment ref="Q85" authorId="0" shapeId="0" xr:uid="{C698FDB9-80CF-6D41-B32D-7BFAF8E933D7}">
      <text>
        <r>
          <rPr>
            <b/>
            <i/>
            <sz val="11"/>
            <rFont val="Aptos Narrow"/>
            <family val="2"/>
            <scheme val="minor"/>
          </rPr>
          <t>Ben Chon:</t>
        </r>
        <r>
          <rPr>
            <b/>
            <i/>
            <sz val="11"/>
            <color theme="1"/>
            <rFont val="Aptos Narrow"/>
            <family val="2"/>
            <scheme val="minor"/>
          </rPr>
          <t xml:space="preserve">
</t>
        </r>
        <r>
          <rPr>
            <b/>
            <i/>
            <sz val="11"/>
            <color theme="1"/>
            <rFont val="Aptos Narrow"/>
            <family val="2"/>
            <scheme val="minor"/>
          </rPr>
          <t>2024 Q2 10Q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F8" authorId="0" shapeId="0" xr:uid="{78C4E34B-9062-7F4D-861E-AA1E74935B64}">
      <text>
        <r>
          <rPr>
            <b/>
            <sz val="9"/>
            <color rgb="FF000000"/>
            <rFont val="Tahoma"/>
            <family val="2"/>
          </rPr>
          <t>Ben Chon: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 of 8/30/24</t>
        </r>
      </text>
    </comment>
  </commentList>
</comments>
</file>

<file path=xl/sharedStrings.xml><?xml version="1.0" encoding="utf-8"?>
<sst xmlns="http://schemas.openxmlformats.org/spreadsheetml/2006/main" count="140" uniqueCount="99">
  <si>
    <t>DCF</t>
  </si>
  <si>
    <t>x</t>
  </si>
  <si>
    <t>Ticker</t>
  </si>
  <si>
    <t>Date</t>
  </si>
  <si>
    <t>End of Year</t>
  </si>
  <si>
    <t>Assumptions</t>
  </si>
  <si>
    <t>WACC</t>
  </si>
  <si>
    <t>TGR</t>
  </si>
  <si>
    <t>Financials</t>
  </si>
  <si>
    <t>Revenue</t>
  </si>
  <si>
    <t>Net Operating Revenue</t>
  </si>
  <si>
    <t>% growth</t>
  </si>
  <si>
    <t>Total</t>
  </si>
  <si>
    <t>EBIT</t>
  </si>
  <si>
    <t>% of sales</t>
  </si>
  <si>
    <t>Tax Rate</t>
  </si>
  <si>
    <t>Taxes</t>
  </si>
  <si>
    <t>% tax rate</t>
  </si>
  <si>
    <t>Cash Flow Items</t>
  </si>
  <si>
    <t>D&amp;A</t>
  </si>
  <si>
    <t>% of CapEx</t>
  </si>
  <si>
    <t>CapEx</t>
  </si>
  <si>
    <t>Change in NWC</t>
  </si>
  <si>
    <t>% of change in sales</t>
  </si>
  <si>
    <t>--</t>
  </si>
  <si>
    <t>12/31 FYE</t>
  </si>
  <si>
    <t>EBIAT</t>
  </si>
  <si>
    <t>Unlevered FCF</t>
  </si>
  <si>
    <t>PV of UFCF</t>
  </si>
  <si>
    <t>Stub</t>
  </si>
  <si>
    <t>Discount Period</t>
  </si>
  <si>
    <t>Terminal Value</t>
  </si>
  <si>
    <t>PV of Terminal Value</t>
  </si>
  <si>
    <t>Enterprise Value</t>
  </si>
  <si>
    <t>(+) Cash</t>
  </si>
  <si>
    <t>(-) Debt</t>
  </si>
  <si>
    <t>Equity Value</t>
  </si>
  <si>
    <t>FDSO</t>
  </si>
  <si>
    <t>Implied Share Price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</si>
  <si>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</si>
  <si>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</si>
  <si>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</si>
  <si>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</si>
  <si>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</si>
  <si>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</si>
  <si>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</si>
  <si>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</si>
  <si>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</si>
  <si>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</si>
  <si>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</si>
  <si>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Operating Data</t>
  </si>
  <si>
    <t>CAGR</t>
  </si>
  <si>
    <t>Net Revenue</t>
  </si>
  <si>
    <t>Operating Expenses:</t>
  </si>
  <si>
    <t>Depreciation &amp;. Amoritsation</t>
  </si>
  <si>
    <t>Total Operating Expenses</t>
  </si>
  <si>
    <t>EBITDA</t>
  </si>
  <si>
    <t>Other income (expense)</t>
  </si>
  <si>
    <t>Total Non-Operating Income (Expense)</t>
  </si>
  <si>
    <t>Income Before Income Taxes</t>
  </si>
  <si>
    <t>Provision for Income taxes</t>
  </si>
  <si>
    <t>Operating Margin</t>
  </si>
  <si>
    <t>Cash Flow Data</t>
  </si>
  <si>
    <t>Investing Activities</t>
  </si>
  <si>
    <t xml:space="preserve">Net Income </t>
  </si>
  <si>
    <t xml:space="preserve">Diluted EPS </t>
  </si>
  <si>
    <t xml:space="preserve">Diluted Shares </t>
  </si>
  <si>
    <t xml:space="preserve">Net margin </t>
  </si>
  <si>
    <t xml:space="preserve">Tax Rate </t>
  </si>
  <si>
    <t xml:space="preserve">Operating Activities </t>
  </si>
  <si>
    <t xml:space="preserve">Depreciation &amp; Amortisation </t>
  </si>
  <si>
    <t xml:space="preserve">Change in Operating Assets &amp; Liabilities </t>
  </si>
  <si>
    <t xml:space="preserve">Accounts Payable </t>
  </si>
  <si>
    <t xml:space="preserve">Change in Net Working Capital </t>
  </si>
  <si>
    <t xml:space="preserve">Ticker </t>
  </si>
  <si>
    <t>Share Price</t>
  </si>
  <si>
    <t xml:space="preserve">Shares outstanding </t>
  </si>
  <si>
    <t>in millions</t>
  </si>
  <si>
    <t xml:space="preserve">Market Cap </t>
  </si>
  <si>
    <t xml:space="preserve">Cash </t>
  </si>
  <si>
    <t xml:space="preserve">Debt </t>
  </si>
  <si>
    <t xml:space="preserve">Net EV </t>
  </si>
  <si>
    <t>Price per share</t>
  </si>
  <si>
    <t>CAT</t>
  </si>
  <si>
    <t>COGS</t>
  </si>
  <si>
    <t>SG&amp;A</t>
  </si>
  <si>
    <t>R&amp;D</t>
  </si>
  <si>
    <t>Interest expense of Financial Products</t>
  </si>
  <si>
    <t xml:space="preserve">Goodwill Impairment Charge </t>
  </si>
  <si>
    <t>Other Expenses</t>
  </si>
  <si>
    <t xml:space="preserve">Interest Expense exc financial products </t>
  </si>
  <si>
    <t>Capex</t>
  </si>
  <si>
    <t xml:space="preserve">Receivabled - Trade &amp; Other </t>
  </si>
  <si>
    <t xml:space="preserve">Inventories </t>
  </si>
  <si>
    <t>Accrued Expenses</t>
  </si>
  <si>
    <t>Accrued Wages, Salaries, and Em Be</t>
  </si>
  <si>
    <t xml:space="preserve">Customer Advances </t>
  </si>
  <si>
    <t>Total Operating Expenses - financial interest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</si>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</sst>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&quot;A&quot;"/>
    <numFmt numFmtId="165" formatCode="0&quot;E&quot;"/>
    <numFmt numFmtId="166" formatCode="0%_);\(0%\);@_)"/>
    <numFmt numFmtId="167" formatCode="[$$-409]#,##0"/>
    <numFmt numFmtId="168" formatCode="[$$-409]#,##0.00"/>
    <numFmt numFmtId="169" formatCode="0.0%"/>
    <numFmt numFmtId="170" formatCode="0.00000%"/>
  </numFmts>
  <fonts count="3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2"/>
      <color theme="8"/>
      <name val="Aptos Narrow"/>
      <family val="2"/>
      <scheme val="minor"/>
    </font>
    <font>
      <sz val="11"/>
      <color rgb="FF7030A0"/>
      <name val="Aptos Narrow"/>
      <family val="2"/>
      <scheme val="minor"/>
    </font>
    <font>
      <i/>
      <sz val="11"/>
      <color theme="9" tint="-0.249977111117893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1"/>
      <color theme="0"/>
      <name val="Calibri"/>
      <family val="2"/>
    </font>
    <font>
      <b/>
      <sz val="12"/>
      <color theme="0"/>
      <name val="Aptos Narrow"/>
      <scheme val="minor"/>
    </font>
    <font>
      <b/>
      <sz val="12"/>
      <color rgb="FFC00000"/>
      <name val="Aptos Narrow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rgb="FF7030A0"/>
      <name val="Aptos Narrow"/>
      <family val="2"/>
      <scheme val="minor"/>
    </font>
    <font>
      <b/>
      <sz val="12"/>
      <color theme="9" tint="-0.249977111117893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4" xfId="0" applyFill="1" applyBorder="1"/>
    <xf numFmtId="0" fontId="0" fillId="0" borderId="4" xfId="0" applyBorder="1"/>
    <xf numFmtId="10" fontId="4" fillId="2" borderId="3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0" applyNumberFormat="1" applyFont="1" applyFill="1"/>
    <xf numFmtId="165" fontId="3" fillId="4" borderId="4" xfId="0" applyNumberFormat="1" applyFont="1" applyFill="1" applyBorder="1"/>
    <xf numFmtId="165" fontId="3" fillId="4" borderId="0" xfId="0" applyNumberFormat="1" applyFont="1" applyFill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4" xfId="0" applyNumberFormat="1" applyFont="1" applyBorder="1"/>
    <xf numFmtId="37" fontId="4" fillId="0" borderId="0" xfId="0" applyNumberFormat="1" applyFont="1" applyAlignment="1">
      <alignment horizontal="right"/>
    </xf>
    <xf numFmtId="37" fontId="6" fillId="0" borderId="0" xfId="0" applyNumberFormat="1" applyFont="1"/>
    <xf numFmtId="0" fontId="7" fillId="0" borderId="0" xfId="0" applyFont="1"/>
    <xf numFmtId="166" fontId="8" fillId="0" borderId="0" xfId="1" applyNumberFormat="1" applyFont="1" applyAlignment="1">
      <alignment horizontal="right"/>
    </xf>
    <xf numFmtId="166" fontId="8" fillId="0" borderId="0" xfId="1" applyNumberFormat="1" applyFont="1"/>
    <xf numFmtId="166" fontId="8" fillId="0" borderId="4" xfId="1" applyNumberFormat="1" applyFont="1" applyBorder="1"/>
    <xf numFmtId="166" fontId="9" fillId="0" borderId="0" xfId="1" applyNumberFormat="1" applyFont="1"/>
    <xf numFmtId="3" fontId="6" fillId="0" borderId="0" xfId="0" applyNumberFormat="1" applyFont="1"/>
    <xf numFmtId="0" fontId="10" fillId="5" borderId="5" xfId="0" applyFont="1" applyFill="1" applyBorder="1"/>
    <xf numFmtId="3" fontId="10" fillId="5" borderId="6" xfId="0" applyNumberFormat="1" applyFont="1" applyFill="1" applyBorder="1"/>
    <xf numFmtId="3" fontId="10" fillId="5" borderId="7" xfId="0" applyNumberFormat="1" applyFont="1" applyFill="1" applyBorder="1"/>
    <xf numFmtId="0" fontId="11" fillId="5" borderId="8" xfId="0" applyFont="1" applyFill="1" applyBorder="1"/>
    <xf numFmtId="9" fontId="12" fillId="5" borderId="1" xfId="1" applyFont="1" applyFill="1" applyBorder="1" applyAlignment="1">
      <alignment horizontal="right"/>
    </xf>
    <xf numFmtId="9" fontId="12" fillId="5" borderId="1" xfId="1" applyFont="1" applyFill="1" applyBorder="1"/>
    <xf numFmtId="9" fontId="12" fillId="5" borderId="2" xfId="1" applyFont="1" applyFill="1" applyBorder="1"/>
    <xf numFmtId="9" fontId="11" fillId="5" borderId="1" xfId="1" applyFont="1" applyFill="1" applyBorder="1"/>
    <xf numFmtId="9" fontId="11" fillId="5" borderId="2" xfId="1" applyFont="1" applyFill="1" applyBorder="1"/>
    <xf numFmtId="3" fontId="0" fillId="0" borderId="0" xfId="0" applyNumberFormat="1"/>
    <xf numFmtId="3" fontId="0" fillId="0" borderId="4" xfId="0" applyNumberFormat="1" applyBorder="1"/>
    <xf numFmtId="37" fontId="4" fillId="0" borderId="0" xfId="0" applyNumberFormat="1" applyFont="1"/>
    <xf numFmtId="37" fontId="4" fillId="0" borderId="4" xfId="0" applyNumberFormat="1" applyFont="1" applyBorder="1"/>
    <xf numFmtId="9" fontId="12" fillId="5" borderId="2" xfId="1" applyFont="1" applyFill="1" applyBorder="1" applyAlignment="1">
      <alignment horizontal="right"/>
    </xf>
    <xf numFmtId="9" fontId="0" fillId="0" borderId="0" xfId="0" applyNumberFormat="1"/>
    <xf numFmtId="166" fontId="0" fillId="0" borderId="0" xfId="0" applyNumberFormat="1"/>
    <xf numFmtId="37" fontId="6" fillId="0" borderId="0" xfId="0" applyNumberFormat="1" applyFont="1" applyAlignment="1">
      <alignment horizontal="right"/>
    </xf>
    <xf numFmtId="166" fontId="9" fillId="0" borderId="0" xfId="0" applyNumberFormat="1" applyFont="1"/>
    <xf numFmtId="0" fontId="0" fillId="0" borderId="0" xfId="0" quotePrefix="1" applyAlignment="1">
      <alignment horizontal="right"/>
    </xf>
    <xf numFmtId="3" fontId="13" fillId="0" borderId="0" xfId="0" applyNumberFormat="1" applyFont="1"/>
    <xf numFmtId="3" fontId="13" fillId="0" borderId="4" xfId="0" applyNumberFormat="1" applyFont="1" applyBorder="1"/>
    <xf numFmtId="37" fontId="14" fillId="0" borderId="0" xfId="0" applyNumberFormat="1" applyFont="1" applyAlignment="1">
      <alignment horizontal="right"/>
    </xf>
    <xf numFmtId="9" fontId="13" fillId="0" borderId="0" xfId="0" applyNumberFormat="1" applyFont="1"/>
    <xf numFmtId="9" fontId="13" fillId="0" borderId="4" xfId="0" applyNumberFormat="1" applyFont="1" applyBorder="1"/>
    <xf numFmtId="166" fontId="15" fillId="0" borderId="0" xfId="1" applyNumberFormat="1" applyFont="1"/>
    <xf numFmtId="166" fontId="16" fillId="0" borderId="0" xfId="1" applyNumberFormat="1" applyFont="1"/>
    <xf numFmtId="0" fontId="17" fillId="0" borderId="0" xfId="0" applyFont="1"/>
    <xf numFmtId="37" fontId="13" fillId="0" borderId="0" xfId="0" applyNumberFormat="1" applyFont="1"/>
    <xf numFmtId="37" fontId="13" fillId="0" borderId="4" xfId="0" applyNumberFormat="1" applyFont="1" applyBorder="1"/>
    <xf numFmtId="37" fontId="18" fillId="0" borderId="0" xfId="0" applyNumberFormat="1" applyFont="1" applyAlignment="1">
      <alignment horizontal="right"/>
    </xf>
    <xf numFmtId="166" fontId="13" fillId="0" borderId="0" xfId="0" applyNumberFormat="1" applyFont="1"/>
    <xf numFmtId="166" fontId="13" fillId="0" borderId="4" xfId="0" applyNumberFormat="1" applyFont="1" applyBorder="1"/>
    <xf numFmtId="0" fontId="10" fillId="0" borderId="9" xfId="0" applyFont="1" applyBorder="1"/>
    <xf numFmtId="3" fontId="10" fillId="0" borderId="10" xfId="0" applyNumberFormat="1" applyFont="1" applyBorder="1"/>
    <xf numFmtId="3" fontId="10" fillId="0" borderId="11" xfId="0" applyNumberFormat="1" applyFont="1" applyBorder="1"/>
    <xf numFmtId="37" fontId="10" fillId="0" borderId="10" xfId="0" applyNumberFormat="1" applyFont="1" applyBorder="1"/>
    <xf numFmtId="37" fontId="10" fillId="0" borderId="11" xfId="0" applyNumberFormat="1" applyFont="1" applyBorder="1"/>
    <xf numFmtId="0" fontId="10" fillId="0" borderId="5" xfId="0" applyFont="1" applyBorder="1"/>
    <xf numFmtId="3" fontId="10" fillId="0" borderId="6" xfId="0" applyNumberFormat="1" applyFont="1" applyBorder="1"/>
    <xf numFmtId="3" fontId="10" fillId="0" borderId="7" xfId="0" applyNumberFormat="1" applyFont="1" applyBorder="1"/>
    <xf numFmtId="37" fontId="10" fillId="0" borderId="6" xfId="0" applyNumberFormat="1" applyFont="1" applyBorder="1"/>
    <xf numFmtId="37" fontId="10" fillId="0" borderId="7" xfId="0" applyNumberFormat="1" applyFont="1" applyBorder="1"/>
    <xf numFmtId="0" fontId="10" fillId="0" borderId="8" xfId="0" applyFont="1" applyBorder="1"/>
    <xf numFmtId="3" fontId="10" fillId="0" borderId="1" xfId="0" applyNumberFormat="1" applyFont="1" applyBorder="1"/>
    <xf numFmtId="0" fontId="10" fillId="0" borderId="1" xfId="0" applyFont="1" applyBorder="1"/>
    <xf numFmtId="37" fontId="10" fillId="0" borderId="1" xfId="0" applyNumberFormat="1" applyFont="1" applyBorder="1"/>
    <xf numFmtId="2" fontId="0" fillId="0" borderId="4" xfId="0" applyNumberFormat="1" applyBorder="1"/>
    <xf numFmtId="2" fontId="0" fillId="0" borderId="0" xfId="0" applyNumberFormat="1"/>
    <xf numFmtId="167" fontId="18" fillId="0" borderId="0" xfId="0" applyNumberFormat="1" applyFont="1" applyAlignment="1">
      <alignment horizontal="right"/>
    </xf>
    <xf numFmtId="167" fontId="0" fillId="0" borderId="0" xfId="0" applyNumberFormat="1"/>
    <xf numFmtId="167" fontId="17" fillId="0" borderId="0" xfId="0" applyNumberFormat="1" applyFont="1"/>
    <xf numFmtId="168" fontId="0" fillId="6" borderId="12" xfId="0" applyNumberFormat="1" applyFill="1" applyBorder="1"/>
    <xf numFmtId="0" fontId="3" fillId="7" borderId="0" xfId="0" applyFont="1" applyFill="1"/>
    <xf numFmtId="0" fontId="0" fillId="7" borderId="0" xfId="0" applyFill="1"/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170" fontId="0" fillId="0" borderId="0" xfId="0" applyNumberFormat="1"/>
    <xf numFmtId="3" fontId="0" fillId="2" borderId="13" xfId="0" applyNumberFormat="1" applyFill="1" applyBorder="1" applyAlignment="1">
      <alignment horizontal="right"/>
    </xf>
    <xf numFmtId="169" fontId="21" fillId="0" borderId="0" xfId="1" applyNumberFormat="1" applyFont="1"/>
    <xf numFmtId="0" fontId="22" fillId="0" borderId="0" xfId="0" applyFont="1"/>
    <xf numFmtId="0" fontId="23" fillId="0" borderId="0" xfId="0" applyFont="1"/>
    <xf numFmtId="3" fontId="24" fillId="3" borderId="0" xfId="0" applyNumberFormat="1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167" fontId="23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9" fontId="0" fillId="6" borderId="12" xfId="0" applyNumberFormat="1" applyFill="1" applyBorder="1" applyAlignment="1">
      <alignment horizontal="center"/>
    </xf>
    <xf numFmtId="167" fontId="0" fillId="0" borderId="0" xfId="0" applyNumberFormat="1" applyAlignment="1">
      <alignment horizontal="left" indent="1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23" fillId="0" borderId="0" xfId="0" applyNumberFormat="1" applyFont="1" applyAlignment="1">
      <alignment horizontal="left" indent="1"/>
    </xf>
    <xf numFmtId="167" fontId="22" fillId="0" borderId="0" xfId="0" applyNumberFormat="1" applyFont="1" applyAlignment="1">
      <alignment horizontal="left"/>
    </xf>
    <xf numFmtId="16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5" fillId="3" borderId="0" xfId="0" applyFont="1" applyFill="1"/>
    <xf numFmtId="0" fontId="22" fillId="0" borderId="0" xfId="0" applyFont="1" applyAlignment="1">
      <alignment horizontal="left" indent="1"/>
    </xf>
    <xf numFmtId="0" fontId="23" fillId="0" borderId="0" xfId="0" applyFont="1" applyAlignment="1">
      <alignment horizontal="left"/>
    </xf>
    <xf numFmtId="167" fontId="26" fillId="0" borderId="14" xfId="0" applyNumberFormat="1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28" fillId="0" borderId="0" xfId="0" applyFont="1"/>
    <xf numFmtId="0" fontId="0" fillId="0" borderId="0" xfId="0" applyAlignment="1">
      <alignment horizontal="left" indent="1"/>
    </xf>
    <xf numFmtId="167" fontId="29" fillId="0" borderId="0" xfId="0" applyNumberFormat="1" applyFont="1" applyAlignment="1">
      <alignment horizontal="center"/>
    </xf>
    <xf numFmtId="167" fontId="30" fillId="0" borderId="0" xfId="0" applyNumberFormat="1" applyFont="1" applyAlignment="1">
      <alignment horizontal="center"/>
    </xf>
    <xf numFmtId="167" fontId="17" fillId="0" borderId="0" xfId="0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hsanmutlu/Desktop/Kangal_Capital/VISA%20.xlsx" TargetMode="External"/><Relationship Id="rId1" Type="http://schemas.openxmlformats.org/officeDocument/2006/relationships/externalLinkPath" Target="VIS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DCF"/>
      <sheetName val="WACC"/>
      <sheetName val="Historical Data"/>
    </sheetNames>
    <sheetDataSet>
      <sheetData sheetId="0">
        <row r="5">
          <cell r="C5">
            <v>482.5</v>
          </cell>
        </row>
      </sheetData>
      <sheetData sheetId="1" refreshError="1"/>
      <sheetData sheetId="2"/>
      <sheetData sheetId="3">
        <row r="18">
          <cell r="C18">
            <v>9064</v>
          </cell>
          <cell r="D18">
            <v>7883</v>
          </cell>
          <cell r="E18">
            <v>12144</v>
          </cell>
          <cell r="F18">
            <v>12954</v>
          </cell>
          <cell r="G18">
            <v>15001</v>
          </cell>
          <cell r="H18">
            <v>14081</v>
          </cell>
          <cell r="I18">
            <v>15804</v>
          </cell>
          <cell r="J18">
            <v>18813</v>
          </cell>
          <cell r="K18">
            <v>21000</v>
          </cell>
          <cell r="L18">
            <v>23595</v>
          </cell>
        </row>
        <row r="28">
          <cell r="C28">
            <v>2667</v>
          </cell>
          <cell r="D28">
            <v>2021</v>
          </cell>
          <cell r="E28">
            <v>4995</v>
          </cell>
          <cell r="F28">
            <v>2505</v>
          </cell>
          <cell r="G28">
            <v>2804</v>
          </cell>
          <cell r="H28">
            <v>2924</v>
          </cell>
          <cell r="I28">
            <v>3752</v>
          </cell>
          <cell r="J28">
            <v>3179</v>
          </cell>
          <cell r="K28">
            <v>3764</v>
          </cell>
          <cell r="L28">
            <v>4173</v>
          </cell>
        </row>
        <row r="36">
          <cell r="C36">
            <v>0.29649805447470817</v>
          </cell>
          <cell r="D36">
            <v>0.2522466300549176</v>
          </cell>
          <cell r="E36">
            <v>0.42714212416623909</v>
          </cell>
          <cell r="F36">
            <v>0.19561143214118382</v>
          </cell>
          <cell r="G36">
            <v>0.18839021768341843</v>
          </cell>
          <cell r="H36">
            <v>0.212037708484409</v>
          </cell>
          <cell r="I36">
            <v>0.23358027765672665</v>
          </cell>
          <cell r="J36">
            <v>0.17528672254080283</v>
          </cell>
          <cell r="K36">
            <v>0.17892285021628559</v>
          </cell>
          <cell r="L36">
            <v>0.17448569994982438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BDEC-D67E-7D49-8339-1B1B27B77033}">
  <dimension ref="B3:G14"/>
  <sheetViews>
    <sheetView showGridLines="0" workbookViewId="0">
      <selection activeCell="D17" sqref="D17"/>
    </sheetView>
  </sheetViews>
  <sheetFormatPr baseColWidth="10" defaultRowHeight="16" x14ac:dyDescent="0.2"/>
  <cols>
    <col min="2" max="2" width="17" bestFit="1" customWidth="1"/>
    <col min="3" max="3" width="15.6640625" bestFit="1" customWidth="1"/>
  </cols>
  <sheetData>
    <row r="3" spans="2:7" x14ac:dyDescent="0.2">
      <c r="B3" s="11" t="s">
        <v>74</v>
      </c>
      <c r="C3" s="5" t="s">
        <v>83</v>
      </c>
    </row>
    <row r="4" spans="2:7" x14ac:dyDescent="0.2">
      <c r="B4" s="11" t="s">
        <v>75</v>
      </c>
      <c r="C4" s="5">
        <v>363.79</v>
      </c>
    </row>
    <row r="5" spans="2:7" x14ac:dyDescent="0.2">
      <c r="B5" s="11" t="s">
        <v>76</v>
      </c>
      <c r="C5" s="109">
        <v>482.8</v>
      </c>
      <c r="D5" s="110" t="s">
        <v>77</v>
      </c>
    </row>
    <row r="6" spans="2:7" x14ac:dyDescent="0.2">
      <c r="B6" s="11" t="s">
        <v>78</v>
      </c>
      <c r="C6" s="98">
        <f>C4*C5</f>
        <v>175637.81200000001</v>
      </c>
      <c r="D6" s="110" t="s">
        <v>77</v>
      </c>
    </row>
    <row r="7" spans="2:7" x14ac:dyDescent="0.2">
      <c r="B7" s="11" t="s">
        <v>79</v>
      </c>
      <c r="C7" s="5">
        <v>5638</v>
      </c>
      <c r="D7" s="110" t="s">
        <v>77</v>
      </c>
    </row>
    <row r="8" spans="2:7" x14ac:dyDescent="0.2">
      <c r="B8" s="11" t="s">
        <v>80</v>
      </c>
      <c r="C8" s="5">
        <v>34176</v>
      </c>
      <c r="D8" s="110" t="s">
        <v>77</v>
      </c>
    </row>
    <row r="9" spans="2:7" x14ac:dyDescent="0.2">
      <c r="B9" s="11" t="s">
        <v>81</v>
      </c>
      <c r="C9" s="98">
        <f>C6+C8-C7</f>
        <v>204175.81200000001</v>
      </c>
      <c r="D9" s="110" t="s">
        <v>77</v>
      </c>
    </row>
    <row r="10" spans="2:7" x14ac:dyDescent="0.2">
      <c r="B10" s="11" t="s">
        <v>82</v>
      </c>
      <c r="C10" s="102">
        <f>C9/C5</f>
        <v>422.89936205468103</v>
      </c>
      <c r="D10" s="90"/>
    </row>
    <row r="14" spans="2:7" x14ac:dyDescent="0.2">
      <c r="G14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9AD-B7AA-8249-AFE1-D779508C65BB}">
  <dimension ref="A2:S89"/>
  <sheetViews>
    <sheetView showGridLines="0" tabSelected="1" topLeftCell="D1" workbookViewId="0">
      <selection activeCell="J9" sqref="J9"/>
    </sheetView>
  </sheetViews>
  <sheetFormatPr baseColWidth="10" defaultColWidth="15.5" defaultRowHeight="16" outlineLevelCol="1" x14ac:dyDescent="0.2"/>
  <cols>
    <col min="1" max="1" width="3.5" style="5" customWidth="1"/>
    <col min="2" max="2" width="20" bestFit="1" customWidth="1"/>
    <col min="3" max="11" width="15.5" outlineLevel="1"/>
    <col min="12" max="12" width="15.5" style="11"/>
  </cols>
  <sheetData>
    <row r="2" spans="1:17" s="3" customFormat="1" ht="22" x14ac:dyDescent="0.3">
      <c r="A2" s="1"/>
      <c r="B2" s="2" t="s">
        <v>0</v>
      </c>
      <c r="L2" s="4"/>
    </row>
    <row r="4" spans="1:17" x14ac:dyDescent="0.2">
      <c r="A4" s="5" t="s">
        <v>1</v>
      </c>
      <c r="B4" t="s">
        <v>2</v>
      </c>
      <c r="L4" s="6" t="s">
        <v>83</v>
      </c>
    </row>
    <row r="5" spans="1:17" x14ac:dyDescent="0.2">
      <c r="B5" t="s">
        <v>3</v>
      </c>
      <c r="L5" s="7">
        <v>45662</v>
      </c>
    </row>
    <row r="6" spans="1:17" x14ac:dyDescent="0.2">
      <c r="B6" t="s">
        <v>4</v>
      </c>
      <c r="L6" s="7">
        <v>46022</v>
      </c>
    </row>
    <row r="8" spans="1:17" x14ac:dyDescent="0.2">
      <c r="A8" s="5" t="s">
        <v>1</v>
      </c>
      <c r="B8" s="8" t="s">
        <v>5</v>
      </c>
      <c r="C8" s="9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9"/>
      <c r="P8" s="9"/>
      <c r="Q8" s="9"/>
    </row>
    <row r="9" spans="1:17" ht="5" customHeight="1" x14ac:dyDescent="0.2"/>
    <row r="10" spans="1:17" x14ac:dyDescent="0.2">
      <c r="B10" t="s">
        <v>6</v>
      </c>
      <c r="L10" s="12">
        <f>WACC!F22</f>
        <v>0.1160317140780036</v>
      </c>
    </row>
    <row r="11" spans="1:17" x14ac:dyDescent="0.2">
      <c r="B11" t="s">
        <v>7</v>
      </c>
      <c r="L11" s="13">
        <v>0.02</v>
      </c>
    </row>
    <row r="13" spans="1:17" x14ac:dyDescent="0.2">
      <c r="A13" s="5" t="s">
        <v>1</v>
      </c>
      <c r="B13" s="8" t="s">
        <v>8</v>
      </c>
      <c r="C13" s="9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O13" s="9"/>
      <c r="P13" s="9"/>
      <c r="Q13" s="9"/>
    </row>
    <row r="14" spans="1:17" ht="5" customHeight="1" x14ac:dyDescent="0.2"/>
    <row r="15" spans="1:17" x14ac:dyDescent="0.2">
      <c r="A15" s="5" t="s">
        <v>1</v>
      </c>
      <c r="B15" s="14" t="s">
        <v>9</v>
      </c>
      <c r="C15" s="15">
        <v>2014</v>
      </c>
      <c r="D15" s="15">
        <f t="shared" ref="D15:Q15" si="0">C15+1</f>
        <v>2015</v>
      </c>
      <c r="E15" s="15">
        <f t="shared" si="0"/>
        <v>2016</v>
      </c>
      <c r="F15" s="15">
        <f t="shared" si="0"/>
        <v>2017</v>
      </c>
      <c r="G15" s="15">
        <f t="shared" si="0"/>
        <v>2018</v>
      </c>
      <c r="H15" s="15">
        <f t="shared" si="0"/>
        <v>2019</v>
      </c>
      <c r="I15" s="15">
        <f t="shared" si="0"/>
        <v>2020</v>
      </c>
      <c r="J15" s="15">
        <f t="shared" si="0"/>
        <v>2021</v>
      </c>
      <c r="K15" s="15">
        <f t="shared" si="0"/>
        <v>2022</v>
      </c>
      <c r="L15" s="16">
        <f t="shared" si="0"/>
        <v>2023</v>
      </c>
      <c r="M15" s="17">
        <f t="shared" si="0"/>
        <v>2024</v>
      </c>
      <c r="N15" s="17">
        <f t="shared" si="0"/>
        <v>2025</v>
      </c>
      <c r="O15" s="17">
        <f t="shared" si="0"/>
        <v>2026</v>
      </c>
      <c r="P15" s="17">
        <f t="shared" si="0"/>
        <v>2027</v>
      </c>
      <c r="Q15" s="17">
        <f t="shared" si="0"/>
        <v>2028</v>
      </c>
    </row>
    <row r="16" spans="1:17" ht="5" customHeight="1" x14ac:dyDescent="0.2"/>
    <row r="17" spans="1:19" x14ac:dyDescent="0.2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19"/>
      <c r="N17" s="19"/>
      <c r="O17" s="19"/>
      <c r="P17" s="19"/>
      <c r="Q17" s="19"/>
    </row>
    <row r="18" spans="1:19" x14ac:dyDescent="0.2">
      <c r="B18" t="s">
        <v>10</v>
      </c>
      <c r="C18" s="21">
        <f>'Historical Data'!C7</f>
        <v>55184</v>
      </c>
      <c r="D18" s="21">
        <f>'Historical Data'!D7</f>
        <v>47011</v>
      </c>
      <c r="E18" s="21">
        <f>'Historical Data'!E7</f>
        <v>38537</v>
      </c>
      <c r="F18" s="21">
        <f>'Historical Data'!F7</f>
        <v>45462</v>
      </c>
      <c r="G18" s="21">
        <f>'Historical Data'!G7</f>
        <v>54722</v>
      </c>
      <c r="H18" s="21">
        <f>'Historical Data'!H7</f>
        <v>53800</v>
      </c>
      <c r="I18" s="21">
        <f>'Historical Data'!I7</f>
        <v>41748</v>
      </c>
      <c r="J18" s="21">
        <f>'Historical Data'!J7</f>
        <v>50971</v>
      </c>
      <c r="K18" s="21">
        <f>'Historical Data'!K7</f>
        <v>59427</v>
      </c>
      <c r="L18" s="21">
        <f>'Historical Data'!L7</f>
        <v>67060</v>
      </c>
      <c r="M18" s="22">
        <f>L18*1.13</f>
        <v>75777.799999999988</v>
      </c>
      <c r="N18" s="22">
        <f>M18*1.1</f>
        <v>83355.579999999987</v>
      </c>
      <c r="O18" s="22">
        <f>N18*1.05</f>
        <v>87523.358999999997</v>
      </c>
      <c r="P18" s="22">
        <f>O18*1.05</f>
        <v>91899.526949999999</v>
      </c>
      <c r="Q18" s="22">
        <f>P18*1.02</f>
        <v>93737.517489000005</v>
      </c>
      <c r="S18" s="44"/>
    </row>
    <row r="19" spans="1:19" x14ac:dyDescent="0.2">
      <c r="B19" s="23" t="s">
        <v>11</v>
      </c>
      <c r="C19" s="24" t="str">
        <f>IF(ISERROR(C18/B18-1),"--",C18/B18-1)</f>
        <v>--</v>
      </c>
      <c r="D19" s="25">
        <f>IF(ISERROR(D18/C18-1),"--",D18/C18-1)</f>
        <v>-0.14810452305015942</v>
      </c>
      <c r="E19" s="25">
        <f t="shared" ref="E19:Q19" si="1">IF(ISERROR(E18/D18-1),"--",E18/D18-1)</f>
        <v>-0.18025568483971832</v>
      </c>
      <c r="F19" s="25">
        <f t="shared" si="1"/>
        <v>0.17969743363520774</v>
      </c>
      <c r="G19" s="25">
        <f t="shared" si="1"/>
        <v>0.20368659539835465</v>
      </c>
      <c r="H19" s="25">
        <f t="shared" si="1"/>
        <v>-1.6848799385987379E-2</v>
      </c>
      <c r="I19" s="25">
        <f t="shared" si="1"/>
        <v>-0.22401486988847585</v>
      </c>
      <c r="J19" s="25">
        <f t="shared" si="1"/>
        <v>0.2209207626712657</v>
      </c>
      <c r="K19" s="25">
        <f t="shared" si="1"/>
        <v>0.16589825587098539</v>
      </c>
      <c r="L19" s="26">
        <f t="shared" si="1"/>
        <v>0.12844330018341821</v>
      </c>
      <c r="M19" s="27">
        <f>IF(ISERROR(M18/L18-1),"--",M18/L18-1)</f>
        <v>0.12999999999999989</v>
      </c>
      <c r="N19" s="27">
        <f t="shared" si="1"/>
        <v>0.10000000000000009</v>
      </c>
      <c r="O19" s="27">
        <f t="shared" si="1"/>
        <v>5.0000000000000044E-2</v>
      </c>
      <c r="P19" s="27">
        <f t="shared" si="1"/>
        <v>5.0000000000000044E-2</v>
      </c>
      <c r="Q19" s="27">
        <f t="shared" si="1"/>
        <v>2.0000000000000018E-2</v>
      </c>
    </row>
    <row r="20" spans="1:19" x14ac:dyDescent="0.2">
      <c r="C20" s="19"/>
      <c r="D20" s="19"/>
      <c r="E20" s="19"/>
      <c r="F20" s="19"/>
      <c r="G20" s="19"/>
      <c r="H20" s="19"/>
      <c r="I20" s="19"/>
      <c r="J20" s="19"/>
      <c r="K20" s="19"/>
      <c r="L20" s="20"/>
      <c r="M20" s="28"/>
      <c r="N20" s="28"/>
      <c r="O20" s="28"/>
      <c r="P20" s="28"/>
      <c r="Q20" s="28"/>
    </row>
    <row r="21" spans="1:19" x14ac:dyDescent="0.2">
      <c r="B21" s="29" t="s">
        <v>12</v>
      </c>
      <c r="C21" s="30">
        <f>C18</f>
        <v>55184</v>
      </c>
      <c r="D21" s="30">
        <f t="shared" ref="D21:Q21" si="2">D18</f>
        <v>47011</v>
      </c>
      <c r="E21" s="30">
        <f t="shared" si="2"/>
        <v>38537</v>
      </c>
      <c r="F21" s="30">
        <f t="shared" si="2"/>
        <v>45462</v>
      </c>
      <c r="G21" s="30">
        <f t="shared" si="2"/>
        <v>54722</v>
      </c>
      <c r="H21" s="30">
        <f t="shared" si="2"/>
        <v>53800</v>
      </c>
      <c r="I21" s="30">
        <f t="shared" si="2"/>
        <v>41748</v>
      </c>
      <c r="J21" s="30">
        <f t="shared" si="2"/>
        <v>50971</v>
      </c>
      <c r="K21" s="30">
        <f t="shared" si="2"/>
        <v>59427</v>
      </c>
      <c r="L21" s="31">
        <f t="shared" si="2"/>
        <v>67060</v>
      </c>
      <c r="M21" s="30">
        <f>M18</f>
        <v>75777.799999999988</v>
      </c>
      <c r="N21" s="30">
        <f t="shared" si="2"/>
        <v>83355.579999999987</v>
      </c>
      <c r="O21" s="30">
        <f t="shared" si="2"/>
        <v>87523.358999999997</v>
      </c>
      <c r="P21" s="30">
        <f t="shared" si="2"/>
        <v>91899.526949999999</v>
      </c>
      <c r="Q21" s="30">
        <f t="shared" si="2"/>
        <v>93737.517489000005</v>
      </c>
    </row>
    <row r="22" spans="1:19" x14ac:dyDescent="0.2">
      <c r="B22" s="32" t="s">
        <v>11</v>
      </c>
      <c r="C22" s="33" t="str">
        <f>IF(ISERROR(C21/B21-1),"--",C21/B21-1)</f>
        <v>--</v>
      </c>
      <c r="D22" s="34">
        <f>IF(ISERROR(D21/C21-1),"--",D21/C21-1)</f>
        <v>-0.14810452305015942</v>
      </c>
      <c r="E22" s="34">
        <f t="shared" ref="E22:Q22" si="3">IF(ISERROR(E21/D21-1),"--",E21/D21-1)</f>
        <v>-0.18025568483971832</v>
      </c>
      <c r="F22" s="34">
        <f t="shared" si="3"/>
        <v>0.17969743363520774</v>
      </c>
      <c r="G22" s="34">
        <f t="shared" si="3"/>
        <v>0.20368659539835465</v>
      </c>
      <c r="H22" s="34">
        <f t="shared" si="3"/>
        <v>-1.6848799385987379E-2</v>
      </c>
      <c r="I22" s="34">
        <f t="shared" si="3"/>
        <v>-0.22401486988847585</v>
      </c>
      <c r="J22" s="34">
        <f t="shared" si="3"/>
        <v>0.2209207626712657</v>
      </c>
      <c r="K22" s="34">
        <f t="shared" si="3"/>
        <v>0.16589825587098539</v>
      </c>
      <c r="L22" s="35">
        <f t="shared" si="3"/>
        <v>0.12844330018341821</v>
      </c>
      <c r="M22" s="36">
        <f>IF(ISERROR(M21/L21-1),"--",M21/L21-1)</f>
        <v>0.12999999999999989</v>
      </c>
      <c r="N22" s="36">
        <f t="shared" si="3"/>
        <v>0.10000000000000009</v>
      </c>
      <c r="O22" s="36">
        <f t="shared" si="3"/>
        <v>5.0000000000000044E-2</v>
      </c>
      <c r="P22" s="36">
        <f t="shared" si="3"/>
        <v>5.0000000000000044E-2</v>
      </c>
      <c r="Q22" s="37">
        <f t="shared" si="3"/>
        <v>2.0000000000000018E-2</v>
      </c>
    </row>
    <row r="23" spans="1:19" x14ac:dyDescent="0.2">
      <c r="C23" s="38"/>
      <c r="D23" s="38"/>
      <c r="E23" s="38"/>
      <c r="F23" s="38"/>
      <c r="G23" s="38"/>
      <c r="H23" s="38"/>
      <c r="I23" s="38"/>
      <c r="J23" s="38"/>
      <c r="K23" s="38"/>
      <c r="L23" s="39"/>
      <c r="M23" s="38"/>
    </row>
    <row r="24" spans="1:19" x14ac:dyDescent="0.2">
      <c r="A24" s="5" t="s">
        <v>1</v>
      </c>
      <c r="B24" s="14" t="s">
        <v>13</v>
      </c>
      <c r="C24" s="15">
        <v>2014</v>
      </c>
      <c r="D24" s="15">
        <v>2016</v>
      </c>
      <c r="E24" s="15">
        <v>2017</v>
      </c>
      <c r="F24" s="15">
        <v>2018</v>
      </c>
      <c r="G24" s="15">
        <v>2019</v>
      </c>
      <c r="H24" s="15">
        <v>2020</v>
      </c>
      <c r="I24" s="15">
        <v>2021</v>
      </c>
      <c r="J24" s="15">
        <v>2022</v>
      </c>
      <c r="K24" s="15">
        <v>2023</v>
      </c>
      <c r="L24" s="16">
        <v>2024</v>
      </c>
      <c r="M24" s="17">
        <v>2025</v>
      </c>
      <c r="N24" s="17">
        <v>2026</v>
      </c>
      <c r="O24" s="17">
        <v>2027</v>
      </c>
      <c r="P24" s="17">
        <v>2028</v>
      </c>
      <c r="Q24" s="17">
        <v>2029</v>
      </c>
    </row>
    <row r="25" spans="1:19" ht="5" customHeight="1" x14ac:dyDescent="0.2"/>
    <row r="26" spans="1:19" x14ac:dyDescent="0.2">
      <c r="B26" t="s">
        <v>13</v>
      </c>
      <c r="C26" s="40">
        <f>'[1]Historical Data'!C18</f>
        <v>9064</v>
      </c>
      <c r="D26" s="40">
        <f>'[1]Historical Data'!D18</f>
        <v>7883</v>
      </c>
      <c r="E26" s="40">
        <f>'[1]Historical Data'!E18</f>
        <v>12144</v>
      </c>
      <c r="F26" s="40">
        <f>'[1]Historical Data'!F18</f>
        <v>12954</v>
      </c>
      <c r="G26" s="40">
        <f>'[1]Historical Data'!G18</f>
        <v>15001</v>
      </c>
      <c r="H26" s="40">
        <f>'[1]Historical Data'!H18</f>
        <v>14081</v>
      </c>
      <c r="I26" s="40">
        <f>'[1]Historical Data'!I18</f>
        <v>15804</v>
      </c>
      <c r="J26" s="40">
        <f>'[1]Historical Data'!J18</f>
        <v>18813</v>
      </c>
      <c r="K26" s="40">
        <f>'[1]Historical Data'!K18</f>
        <v>21000</v>
      </c>
      <c r="L26" s="41">
        <f>'[1]Historical Data'!L18</f>
        <v>23595</v>
      </c>
      <c r="M26" s="22">
        <f>M18*0.32</f>
        <v>24248.895999999997</v>
      </c>
      <c r="N26" s="22">
        <f t="shared" ref="N26:Q26" si="4">N18*0.32</f>
        <v>26673.785599999996</v>
      </c>
      <c r="O26" s="22">
        <f t="shared" si="4"/>
        <v>28007.474879999998</v>
      </c>
      <c r="P26" s="22">
        <f t="shared" si="4"/>
        <v>29407.848624000002</v>
      </c>
      <c r="Q26" s="22">
        <f t="shared" si="4"/>
        <v>29996.005596480001</v>
      </c>
    </row>
    <row r="27" spans="1:19" x14ac:dyDescent="0.2">
      <c r="B27" s="23" t="s">
        <v>14</v>
      </c>
      <c r="C27" s="25">
        <f t="shared" ref="C27:Q27" si="5">C26/C18</f>
        <v>0.16425050739344738</v>
      </c>
      <c r="D27" s="25">
        <f t="shared" si="5"/>
        <v>0.1676841590266108</v>
      </c>
      <c r="E27" s="25">
        <f t="shared" si="5"/>
        <v>0.31512572333082495</v>
      </c>
      <c r="F27" s="25">
        <f t="shared" si="5"/>
        <v>0.2849412696317804</v>
      </c>
      <c r="G27" s="25">
        <f t="shared" si="5"/>
        <v>0.27413106246116736</v>
      </c>
      <c r="H27" s="25">
        <f t="shared" si="5"/>
        <v>0.26172862453531598</v>
      </c>
      <c r="I27" s="25">
        <f t="shared" si="5"/>
        <v>0.37855705662546707</v>
      </c>
      <c r="J27" s="25">
        <f t="shared" si="5"/>
        <v>0.36909222891448079</v>
      </c>
      <c r="K27" s="25">
        <f t="shared" si="5"/>
        <v>0.35337472865869052</v>
      </c>
      <c r="L27" s="26">
        <f t="shared" si="5"/>
        <v>0.35184909036683565</v>
      </c>
      <c r="M27" s="27">
        <f>M26/M18</f>
        <v>0.32</v>
      </c>
      <c r="N27" s="27">
        <f t="shared" si="5"/>
        <v>0.32</v>
      </c>
      <c r="O27" s="27">
        <f t="shared" si="5"/>
        <v>0.32</v>
      </c>
      <c r="P27" s="27">
        <f t="shared" si="5"/>
        <v>0.32</v>
      </c>
      <c r="Q27" s="27">
        <f t="shared" si="5"/>
        <v>0.32</v>
      </c>
      <c r="S27" s="44"/>
    </row>
    <row r="28" spans="1:19" x14ac:dyDescent="0.2"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19"/>
      <c r="P28" s="19"/>
      <c r="Q28" s="19"/>
    </row>
    <row r="29" spans="1:19" x14ac:dyDescent="0.2">
      <c r="B29" s="29" t="s">
        <v>12</v>
      </c>
      <c r="C29" s="30">
        <f>C26</f>
        <v>9064</v>
      </c>
      <c r="D29" s="30">
        <f t="shared" ref="D29:Q29" si="6">D26</f>
        <v>7883</v>
      </c>
      <c r="E29" s="30">
        <f t="shared" si="6"/>
        <v>12144</v>
      </c>
      <c r="F29" s="30">
        <f t="shared" si="6"/>
        <v>12954</v>
      </c>
      <c r="G29" s="30">
        <f t="shared" si="6"/>
        <v>15001</v>
      </c>
      <c r="H29" s="30">
        <f t="shared" si="6"/>
        <v>14081</v>
      </c>
      <c r="I29" s="30">
        <f t="shared" si="6"/>
        <v>15804</v>
      </c>
      <c r="J29" s="30">
        <f t="shared" si="6"/>
        <v>18813</v>
      </c>
      <c r="K29" s="30">
        <f t="shared" si="6"/>
        <v>21000</v>
      </c>
      <c r="L29" s="31">
        <f t="shared" si="6"/>
        <v>23595</v>
      </c>
      <c r="M29" s="30">
        <f t="shared" si="6"/>
        <v>24248.895999999997</v>
      </c>
      <c r="N29" s="30">
        <f t="shared" si="6"/>
        <v>26673.785599999996</v>
      </c>
      <c r="O29" s="30">
        <f t="shared" si="6"/>
        <v>28007.474879999998</v>
      </c>
      <c r="P29" s="30">
        <f t="shared" si="6"/>
        <v>29407.848624000002</v>
      </c>
      <c r="Q29" s="30">
        <f t="shared" si="6"/>
        <v>29996.005596480001</v>
      </c>
      <c r="S29" s="43"/>
    </row>
    <row r="30" spans="1:19" x14ac:dyDescent="0.2">
      <c r="B30" s="32" t="s">
        <v>14</v>
      </c>
      <c r="C30" s="33">
        <f t="shared" ref="C30:Q30" si="7">C29/C21</f>
        <v>0.16425050739344738</v>
      </c>
      <c r="D30" s="33">
        <f t="shared" si="7"/>
        <v>0.1676841590266108</v>
      </c>
      <c r="E30" s="33">
        <f t="shared" si="7"/>
        <v>0.31512572333082495</v>
      </c>
      <c r="F30" s="33">
        <f t="shared" si="7"/>
        <v>0.2849412696317804</v>
      </c>
      <c r="G30" s="33">
        <f t="shared" si="7"/>
        <v>0.27413106246116736</v>
      </c>
      <c r="H30" s="33">
        <f t="shared" si="7"/>
        <v>0.26172862453531598</v>
      </c>
      <c r="I30" s="33">
        <f t="shared" si="7"/>
        <v>0.37855705662546707</v>
      </c>
      <c r="J30" s="33">
        <f t="shared" si="7"/>
        <v>0.36909222891448079</v>
      </c>
      <c r="K30" s="33">
        <f t="shared" si="7"/>
        <v>0.35337472865869052</v>
      </c>
      <c r="L30" s="42">
        <f t="shared" si="7"/>
        <v>0.35184909036683565</v>
      </c>
      <c r="M30" s="33">
        <f t="shared" si="7"/>
        <v>0.32</v>
      </c>
      <c r="N30" s="33">
        <f t="shared" si="7"/>
        <v>0.32</v>
      </c>
      <c r="O30" s="33">
        <f t="shared" si="7"/>
        <v>0.32</v>
      </c>
      <c r="P30" s="33">
        <f t="shared" si="7"/>
        <v>0.32</v>
      </c>
      <c r="Q30" s="42">
        <f t="shared" si="7"/>
        <v>0.32</v>
      </c>
      <c r="R30" s="43"/>
    </row>
    <row r="32" spans="1:19" x14ac:dyDescent="0.2">
      <c r="A32" s="5" t="s">
        <v>1</v>
      </c>
      <c r="B32" s="14" t="s">
        <v>15</v>
      </c>
      <c r="C32" s="15">
        <v>2014</v>
      </c>
      <c r="D32" s="15">
        <v>2016</v>
      </c>
      <c r="E32" s="15">
        <v>2017</v>
      </c>
      <c r="F32" s="15">
        <v>2018</v>
      </c>
      <c r="G32" s="15">
        <v>2019</v>
      </c>
      <c r="H32" s="15">
        <v>2020</v>
      </c>
      <c r="I32" s="15">
        <v>2021</v>
      </c>
      <c r="J32" s="15">
        <v>2022</v>
      </c>
      <c r="K32" s="15">
        <v>2023</v>
      </c>
      <c r="L32" s="16">
        <v>2024</v>
      </c>
      <c r="M32" s="17">
        <v>2025</v>
      </c>
      <c r="N32" s="17">
        <v>2026</v>
      </c>
      <c r="O32" s="17">
        <v>2027</v>
      </c>
      <c r="P32" s="17">
        <v>2028</v>
      </c>
      <c r="Q32" s="17">
        <v>2029</v>
      </c>
    </row>
    <row r="33" spans="1:19" ht="5" customHeight="1" x14ac:dyDescent="0.2"/>
    <row r="34" spans="1:19" x14ac:dyDescent="0.2">
      <c r="B34" t="s">
        <v>16</v>
      </c>
      <c r="C34" s="40">
        <f>'[1]Historical Data'!C28</f>
        <v>2667</v>
      </c>
      <c r="D34" s="40">
        <f>'[1]Historical Data'!D28</f>
        <v>2021</v>
      </c>
      <c r="E34" s="40">
        <f>'[1]Historical Data'!E28</f>
        <v>4995</v>
      </c>
      <c r="F34" s="40">
        <f>'[1]Historical Data'!F28</f>
        <v>2505</v>
      </c>
      <c r="G34" s="40">
        <f>'[1]Historical Data'!G28</f>
        <v>2804</v>
      </c>
      <c r="H34" s="40">
        <f>'[1]Historical Data'!H28</f>
        <v>2924</v>
      </c>
      <c r="I34" s="40">
        <f>'[1]Historical Data'!I28</f>
        <v>3752</v>
      </c>
      <c r="J34" s="40">
        <f>'[1]Historical Data'!J28</f>
        <v>3179</v>
      </c>
      <c r="K34" s="40">
        <f>'[1]Historical Data'!K28</f>
        <v>3764</v>
      </c>
      <c r="L34" s="41">
        <f>'[1]Historical Data'!L28</f>
        <v>4173</v>
      </c>
      <c r="M34" s="22">
        <f>M26*0.24</f>
        <v>5819.7350399999987</v>
      </c>
      <c r="N34" s="22">
        <f t="shared" ref="N34:Q34" si="8">N26*0.24</f>
        <v>6401.7085439999983</v>
      </c>
      <c r="O34" s="22">
        <f t="shared" si="8"/>
        <v>6721.7939711999989</v>
      </c>
      <c r="P34" s="22">
        <f t="shared" si="8"/>
        <v>7057.88366976</v>
      </c>
      <c r="Q34" s="22">
        <f t="shared" si="8"/>
        <v>7199.0413431551997</v>
      </c>
    </row>
    <row r="35" spans="1:19" x14ac:dyDescent="0.2">
      <c r="B35" s="23" t="s">
        <v>17</v>
      </c>
      <c r="C35" s="25">
        <f>'[1]Historical Data'!C36</f>
        <v>0.29649805447470817</v>
      </c>
      <c r="D35" s="25">
        <f>'[1]Historical Data'!D36</f>
        <v>0.2522466300549176</v>
      </c>
      <c r="E35" s="25">
        <f>'[1]Historical Data'!E36</f>
        <v>0.42714212416623909</v>
      </c>
      <c r="F35" s="25">
        <f>'[1]Historical Data'!F36</f>
        <v>0.19561143214118382</v>
      </c>
      <c r="G35" s="25">
        <f>'[1]Historical Data'!G36</f>
        <v>0.18839021768341843</v>
      </c>
      <c r="H35" s="25">
        <f>'[1]Historical Data'!H36</f>
        <v>0.212037708484409</v>
      </c>
      <c r="I35" s="25">
        <f>'[1]Historical Data'!I36</f>
        <v>0.23358027765672665</v>
      </c>
      <c r="J35" s="25">
        <f>'[1]Historical Data'!J36</f>
        <v>0.17528672254080283</v>
      </c>
      <c r="K35" s="25">
        <f>'[1]Historical Data'!K36</f>
        <v>0.17892285021628559</v>
      </c>
      <c r="L35" s="26">
        <f>'[1]Historical Data'!L36</f>
        <v>0.17448569994982438</v>
      </c>
      <c r="M35" s="27">
        <f>M34/M26</f>
        <v>0.23999999999999996</v>
      </c>
      <c r="N35" s="27">
        <f t="shared" ref="N35:Q35" si="9">N34/N26</f>
        <v>0.23999999999999996</v>
      </c>
      <c r="O35" s="27">
        <f t="shared" si="9"/>
        <v>0.23999999999999996</v>
      </c>
      <c r="P35" s="27">
        <f t="shared" si="9"/>
        <v>0.24</v>
      </c>
      <c r="Q35" s="27">
        <f t="shared" si="9"/>
        <v>0.24</v>
      </c>
    </row>
    <row r="36" spans="1:19" x14ac:dyDescent="0.2">
      <c r="S36" s="44"/>
    </row>
    <row r="37" spans="1:19" x14ac:dyDescent="0.2">
      <c r="A37" s="5" t="s">
        <v>1</v>
      </c>
      <c r="B37" s="14" t="s">
        <v>18</v>
      </c>
      <c r="C37" s="15">
        <v>2014</v>
      </c>
      <c r="D37" s="15">
        <f t="shared" ref="D37:Q37" si="10">C37+1</f>
        <v>2015</v>
      </c>
      <c r="E37" s="15">
        <f t="shared" si="10"/>
        <v>2016</v>
      </c>
      <c r="F37" s="15">
        <f t="shared" si="10"/>
        <v>2017</v>
      </c>
      <c r="G37" s="15">
        <f t="shared" si="10"/>
        <v>2018</v>
      </c>
      <c r="H37" s="15">
        <f t="shared" si="10"/>
        <v>2019</v>
      </c>
      <c r="I37" s="15">
        <f t="shared" si="10"/>
        <v>2020</v>
      </c>
      <c r="J37" s="15">
        <f t="shared" si="10"/>
        <v>2021</v>
      </c>
      <c r="K37" s="15">
        <f t="shared" si="10"/>
        <v>2022</v>
      </c>
      <c r="L37" s="16">
        <f t="shared" si="10"/>
        <v>2023</v>
      </c>
      <c r="M37" s="17">
        <f t="shared" si="10"/>
        <v>2024</v>
      </c>
      <c r="N37" s="17">
        <f t="shared" si="10"/>
        <v>2025</v>
      </c>
      <c r="O37" s="17">
        <f t="shared" si="10"/>
        <v>2026</v>
      </c>
      <c r="P37" s="17">
        <f t="shared" si="10"/>
        <v>2027</v>
      </c>
      <c r="Q37" s="17">
        <f t="shared" si="10"/>
        <v>2028</v>
      </c>
    </row>
    <row r="38" spans="1:19" ht="5" customHeight="1" x14ac:dyDescent="0.2"/>
    <row r="39" spans="1:19" x14ac:dyDescent="0.2">
      <c r="B39" t="s">
        <v>19</v>
      </c>
      <c r="C39" s="21">
        <f>'Historical Data'!C22</f>
        <v>3163</v>
      </c>
      <c r="D39" s="21">
        <f>'Historical Data'!D22</f>
        <v>3046</v>
      </c>
      <c r="E39" s="21">
        <f>'Historical Data'!E22</f>
        <v>3034</v>
      </c>
      <c r="F39" s="21">
        <f>'Historical Data'!F22</f>
        <v>2877</v>
      </c>
      <c r="G39" s="21">
        <f>'Historical Data'!G22</f>
        <v>2766</v>
      </c>
      <c r="H39" s="21">
        <f>'Historical Data'!H22</f>
        <v>2577</v>
      </c>
      <c r="I39" s="21">
        <f>'Historical Data'!I22</f>
        <v>2432</v>
      </c>
      <c r="J39" s="21">
        <f>'Historical Data'!J22</f>
        <v>2352</v>
      </c>
      <c r="K39" s="21">
        <f>'Historical Data'!K22</f>
        <v>2219</v>
      </c>
      <c r="L39" s="21">
        <f>'Historical Data'!L22</f>
        <v>2144</v>
      </c>
      <c r="M39" s="45">
        <f>M40*M$21</f>
        <v>3358.6100147367879</v>
      </c>
      <c r="N39" s="45">
        <f t="shared" ref="N39:Q39" si="11">N40*N$21</f>
        <v>3634.8249604934531</v>
      </c>
      <c r="O39" s="45">
        <f t="shared" si="11"/>
        <v>3560.1572643062582</v>
      </c>
      <c r="P39" s="45">
        <f t="shared" si="11"/>
        <v>3637.6778988170213</v>
      </c>
      <c r="Q39" s="45">
        <f t="shared" si="11"/>
        <v>3752.4872862135517</v>
      </c>
    </row>
    <row r="40" spans="1:19" x14ac:dyDescent="0.2">
      <c r="B40" s="23" t="s">
        <v>14</v>
      </c>
      <c r="C40" s="25">
        <f>C39/C$21</f>
        <v>5.7317338358944619E-2</v>
      </c>
      <c r="D40" s="25">
        <f t="shared" ref="D40:L40" si="12">D39/D$21</f>
        <v>6.4793346238114488E-2</v>
      </c>
      <c r="E40" s="25">
        <f t="shared" si="12"/>
        <v>7.8729532656927115E-2</v>
      </c>
      <c r="F40" s="25">
        <f t="shared" si="12"/>
        <v>6.3283621486076289E-2</v>
      </c>
      <c r="G40" s="25">
        <f t="shared" si="12"/>
        <v>5.0546398157962059E-2</v>
      </c>
      <c r="H40" s="25">
        <f t="shared" si="12"/>
        <v>4.7899628252788103E-2</v>
      </c>
      <c r="I40" s="25">
        <f t="shared" si="12"/>
        <v>5.8254287630545173E-2</v>
      </c>
      <c r="J40" s="25">
        <f t="shared" si="12"/>
        <v>4.6143885738949598E-2</v>
      </c>
      <c r="K40" s="25">
        <f t="shared" si="12"/>
        <v>3.7339929661601629E-2</v>
      </c>
      <c r="L40" s="26">
        <f t="shared" si="12"/>
        <v>3.1971368923352221E-2</v>
      </c>
      <c r="M40" s="46">
        <f>AVERAGE(H40:L40)</f>
        <v>4.4321820041447343E-2</v>
      </c>
      <c r="N40" s="46">
        <f t="shared" ref="N40:Q40" si="13">AVERAGE(I40:M40)</f>
        <v>4.3606258399179199E-2</v>
      </c>
      <c r="O40" s="46">
        <f t="shared" si="13"/>
        <v>4.0676652552905999E-2</v>
      </c>
      <c r="P40" s="46">
        <f t="shared" si="13"/>
        <v>3.9583205915697278E-2</v>
      </c>
      <c r="Q40" s="46">
        <f t="shared" si="13"/>
        <v>4.0031861166516407E-2</v>
      </c>
    </row>
    <row r="41" spans="1:19" x14ac:dyDescent="0.2">
      <c r="B41" s="23" t="s">
        <v>20</v>
      </c>
      <c r="C41" s="25">
        <f>C39/C43</f>
        <v>2.0552306692657569</v>
      </c>
      <c r="D41" s="25">
        <f t="shared" ref="D41:L41" si="14">D39/D43</f>
        <v>2.1945244956772334</v>
      </c>
      <c r="E41" s="25">
        <f t="shared" si="14"/>
        <v>2.7357980162308384</v>
      </c>
      <c r="F41" s="25">
        <f t="shared" si="14"/>
        <v>3.2037861915367483</v>
      </c>
      <c r="G41" s="25">
        <f t="shared" si="14"/>
        <v>2.1677115987460813</v>
      </c>
      <c r="H41" s="25">
        <f t="shared" si="14"/>
        <v>2.4403409090909092</v>
      </c>
      <c r="I41" s="25">
        <f t="shared" si="14"/>
        <v>2.4867075664621678</v>
      </c>
      <c r="J41" s="25">
        <f t="shared" si="14"/>
        <v>2.151875571820677</v>
      </c>
      <c r="K41" s="25">
        <f t="shared" si="14"/>
        <v>1.7121913580246915</v>
      </c>
      <c r="L41" s="26">
        <f t="shared" si="14"/>
        <v>1.3425172197871009</v>
      </c>
      <c r="M41" s="23"/>
    </row>
    <row r="42" spans="1:19" x14ac:dyDescent="0.2">
      <c r="M42" s="23"/>
    </row>
    <row r="43" spans="1:19" x14ac:dyDescent="0.2">
      <c r="B43" t="s">
        <v>21</v>
      </c>
      <c r="C43" s="21">
        <f>-'Historical Data'!C57</f>
        <v>1539</v>
      </c>
      <c r="D43" s="21">
        <f>-'Historical Data'!D57</f>
        <v>1388</v>
      </c>
      <c r="E43" s="21">
        <f>-'Historical Data'!E57</f>
        <v>1109</v>
      </c>
      <c r="F43" s="21">
        <f>-'Historical Data'!F57</f>
        <v>898</v>
      </c>
      <c r="G43" s="21">
        <f>-'Historical Data'!G57</f>
        <v>1276</v>
      </c>
      <c r="H43" s="21">
        <f>-'Historical Data'!H57</f>
        <v>1056</v>
      </c>
      <c r="I43" s="21">
        <f>-'Historical Data'!I57</f>
        <v>978</v>
      </c>
      <c r="J43" s="21">
        <f>-'Historical Data'!J57</f>
        <v>1093</v>
      </c>
      <c r="K43" s="21">
        <f>-'Historical Data'!K57</f>
        <v>1296</v>
      </c>
      <c r="L43" s="21">
        <f>-'Historical Data'!L57</f>
        <v>1597</v>
      </c>
      <c r="M43" s="45">
        <f>M44*M$21</f>
        <v>1668.9432116515538</v>
      </c>
      <c r="N43" s="45">
        <f t="shared" ref="N43:Q43" si="15">N44*N$21</f>
        <v>1875.7801602722445</v>
      </c>
      <c r="O43" s="45">
        <f t="shared" si="15"/>
        <v>1953.4138005345776</v>
      </c>
      <c r="P43" s="45">
        <f t="shared" si="15"/>
        <v>2067.170675301847</v>
      </c>
      <c r="Q43" s="45">
        <f t="shared" si="15"/>
        <v>2121.3663077987203</v>
      </c>
    </row>
    <row r="44" spans="1:19" x14ac:dyDescent="0.2">
      <c r="B44" s="23" t="s">
        <v>14</v>
      </c>
      <c r="C44" s="25">
        <f>C43/C$21</f>
        <v>2.7888518411133663E-2</v>
      </c>
      <c r="D44" s="25">
        <f t="shared" ref="D44:L44" si="16">D43/D$21</f>
        <v>2.952500478611389E-2</v>
      </c>
      <c r="E44" s="25">
        <f t="shared" si="16"/>
        <v>2.8777538469522797E-2</v>
      </c>
      <c r="F44" s="25">
        <f t="shared" si="16"/>
        <v>1.9752760547270248E-2</v>
      </c>
      <c r="G44" s="25">
        <f t="shared" si="16"/>
        <v>2.3317861189284018E-2</v>
      </c>
      <c r="H44" s="25">
        <f t="shared" si="16"/>
        <v>1.9628252788104088E-2</v>
      </c>
      <c r="I44" s="25">
        <f t="shared" si="16"/>
        <v>2.3426271917217592E-2</v>
      </c>
      <c r="J44" s="25">
        <f t="shared" si="16"/>
        <v>2.1443565949265268E-2</v>
      </c>
      <c r="K44" s="25">
        <f t="shared" si="16"/>
        <v>2.1808268968650613E-2</v>
      </c>
      <c r="L44" s="26">
        <f t="shared" si="16"/>
        <v>2.3814494482552937E-2</v>
      </c>
      <c r="M44" s="46">
        <f>AVERAGE(H44:L44)</f>
        <v>2.2024170821158099E-2</v>
      </c>
      <c r="N44" s="46">
        <f t="shared" ref="N44:Q44" si="17">AVERAGE(I44:M44)</f>
        <v>2.25033544277689E-2</v>
      </c>
      <c r="O44" s="46">
        <f t="shared" si="17"/>
        <v>2.2318770929879161E-2</v>
      </c>
      <c r="P44" s="46">
        <f t="shared" si="17"/>
        <v>2.2493811926001944E-2</v>
      </c>
      <c r="Q44" s="46">
        <f t="shared" si="17"/>
        <v>2.263092051747221E-2</v>
      </c>
    </row>
    <row r="45" spans="1:19" x14ac:dyDescent="0.2">
      <c r="M45" s="23"/>
    </row>
    <row r="46" spans="1:19" x14ac:dyDescent="0.2">
      <c r="B46" t="s">
        <v>22</v>
      </c>
      <c r="C46" s="21">
        <f>'Historical Data'!C53</f>
        <v>-417</v>
      </c>
      <c r="D46" s="21">
        <f>'Historical Data'!D53</f>
        <v>784</v>
      </c>
      <c r="E46" s="21">
        <f>'Historical Data'!E53</f>
        <v>792</v>
      </c>
      <c r="F46" s="21">
        <f>'Historical Data'!F53</f>
        <v>325</v>
      </c>
      <c r="G46" s="21">
        <f>'Historical Data'!G53</f>
        <v>-2733</v>
      </c>
      <c r="H46" s="21">
        <f>'Historical Data'!H53</f>
        <v>-1175</v>
      </c>
      <c r="I46" s="21">
        <f>'Historical Data'!I53</f>
        <v>470</v>
      </c>
      <c r="J46" s="21">
        <f>'Historical Data'!J53</f>
        <v>-467</v>
      </c>
      <c r="K46" s="21">
        <f>'Historical Data'!K53</f>
        <v>-836</v>
      </c>
      <c r="L46" s="21">
        <f>'Historical Data'!L53</f>
        <v>-193</v>
      </c>
      <c r="M46" s="45">
        <f>M47*M$21</f>
        <v>-556.05592433703089</v>
      </c>
      <c r="N46" s="45">
        <f t="shared" ref="N46:Q46" si="18">N47*N$21</f>
        <v>-369.89416770852392</v>
      </c>
      <c r="O46" s="45">
        <f t="shared" si="18"/>
        <v>-663.13467243950072</v>
      </c>
      <c r="P46" s="45">
        <f t="shared" si="18"/>
        <v>-667.15166060900083</v>
      </c>
      <c r="Q46" s="45">
        <f t="shared" si="18"/>
        <v>-552.85975868700712</v>
      </c>
    </row>
    <row r="47" spans="1:19" x14ac:dyDescent="0.2">
      <c r="B47" s="23" t="s">
        <v>14</v>
      </c>
      <c r="C47" s="25">
        <f>C46/C$21</f>
        <v>-7.5565381269933314E-3</v>
      </c>
      <c r="D47" s="25">
        <f t="shared" ref="D47:L47" si="19">D46/D$21</f>
        <v>1.6676947948352512E-2</v>
      </c>
      <c r="E47" s="25">
        <f t="shared" si="19"/>
        <v>2.0551677608532059E-2</v>
      </c>
      <c r="F47" s="25">
        <f t="shared" si="19"/>
        <v>7.1488275922748671E-3</v>
      </c>
      <c r="G47" s="25">
        <f t="shared" si="19"/>
        <v>-4.9943350023756439E-2</v>
      </c>
      <c r="H47" s="25">
        <f t="shared" si="19"/>
        <v>-2.1840148698884759E-2</v>
      </c>
      <c r="I47" s="25">
        <f t="shared" si="19"/>
        <v>1.1258024336495162E-2</v>
      </c>
      <c r="J47" s="25">
        <f t="shared" si="19"/>
        <v>-9.1620725510584457E-3</v>
      </c>
      <c r="K47" s="25">
        <f t="shared" si="19"/>
        <v>-1.4067679674222155E-2</v>
      </c>
      <c r="L47" s="26">
        <f t="shared" si="19"/>
        <v>-2.8780196838651953E-3</v>
      </c>
      <c r="M47" s="46">
        <f>AVERAGE(H47:L47)</f>
        <v>-7.3379792543070794E-3</v>
      </c>
      <c r="N47" s="46">
        <f t="shared" ref="N47:Q47" si="20">AVERAGE(I47:M47)</f>
        <v>-4.4375453653915427E-3</v>
      </c>
      <c r="O47" s="46">
        <f t="shared" si="20"/>
        <v>-7.5766593057688836E-3</v>
      </c>
      <c r="P47" s="46">
        <f t="shared" si="20"/>
        <v>-7.2595766567109714E-3</v>
      </c>
      <c r="Q47" s="46">
        <f t="shared" si="20"/>
        <v>-5.8979560532087336E-3</v>
      </c>
    </row>
    <row r="48" spans="1:19" x14ac:dyDescent="0.2">
      <c r="B48" s="23" t="s">
        <v>23</v>
      </c>
      <c r="C48" s="47" t="s">
        <v>24</v>
      </c>
      <c r="D48" s="25">
        <f t="shared" ref="D48:L48" si="21">D46/(D21-C21)</f>
        <v>-9.5925608711611404E-2</v>
      </c>
      <c r="E48" s="25">
        <f t="shared" si="21"/>
        <v>-9.3462355440169925E-2</v>
      </c>
      <c r="F48" s="25">
        <f t="shared" si="21"/>
        <v>4.6931407942238268E-2</v>
      </c>
      <c r="G48" s="25">
        <f t="shared" si="21"/>
        <v>-0.29514038876889848</v>
      </c>
      <c r="H48" s="25">
        <f t="shared" si="21"/>
        <v>1.2744034707158352</v>
      </c>
      <c r="I48" s="25">
        <f t="shared" si="21"/>
        <v>-3.8997676734152005E-2</v>
      </c>
      <c r="J48" s="25">
        <f t="shared" si="21"/>
        <v>-5.0634283855578444E-2</v>
      </c>
      <c r="K48" s="25">
        <f t="shared" si="21"/>
        <v>-9.8864711447492898E-2</v>
      </c>
      <c r="L48" s="26">
        <f t="shared" si="21"/>
        <v>-2.528494694091445E-2</v>
      </c>
    </row>
    <row r="50" spans="1:18" x14ac:dyDescent="0.2">
      <c r="A50" s="5" t="s">
        <v>1</v>
      </c>
      <c r="B50" s="8" t="s">
        <v>0</v>
      </c>
      <c r="C50" s="9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O50" s="9"/>
      <c r="P50" s="9"/>
      <c r="Q50" s="9"/>
    </row>
    <row r="51" spans="1:18" ht="5" customHeight="1" x14ac:dyDescent="0.2"/>
    <row r="52" spans="1:18" x14ac:dyDescent="0.2">
      <c r="A52" s="5" t="s">
        <v>1</v>
      </c>
      <c r="B52" s="14" t="s">
        <v>25</v>
      </c>
      <c r="C52" s="15">
        <v>2014</v>
      </c>
      <c r="D52" s="15">
        <f t="shared" ref="D52:Q52" si="22">C52+1</f>
        <v>2015</v>
      </c>
      <c r="E52" s="15">
        <f t="shared" si="22"/>
        <v>2016</v>
      </c>
      <c r="F52" s="15">
        <f t="shared" si="22"/>
        <v>2017</v>
      </c>
      <c r="G52" s="15">
        <f t="shared" si="22"/>
        <v>2018</v>
      </c>
      <c r="H52" s="15">
        <f t="shared" si="22"/>
        <v>2019</v>
      </c>
      <c r="I52" s="15">
        <f t="shared" si="22"/>
        <v>2020</v>
      </c>
      <c r="J52" s="15">
        <f t="shared" si="22"/>
        <v>2021</v>
      </c>
      <c r="K52" s="15">
        <f t="shared" si="22"/>
        <v>2022</v>
      </c>
      <c r="L52" s="16">
        <f t="shared" si="22"/>
        <v>2023</v>
      </c>
      <c r="M52" s="17">
        <f t="shared" si="22"/>
        <v>2024</v>
      </c>
      <c r="N52" s="17">
        <f t="shared" si="22"/>
        <v>2025</v>
      </c>
      <c r="O52" s="17">
        <f t="shared" si="22"/>
        <v>2026</v>
      </c>
      <c r="P52" s="17">
        <f t="shared" si="22"/>
        <v>2027</v>
      </c>
      <c r="Q52" s="17">
        <f t="shared" si="22"/>
        <v>2028</v>
      </c>
    </row>
    <row r="53" spans="1:18" ht="5" customHeight="1" x14ac:dyDescent="0.2"/>
    <row r="54" spans="1:18" x14ac:dyDescent="0.2">
      <c r="B54" t="s">
        <v>9</v>
      </c>
      <c r="C54" s="48">
        <f>C21</f>
        <v>55184</v>
      </c>
      <c r="D54" s="48">
        <f t="shared" ref="D54:Q55" si="23">D21</f>
        <v>47011</v>
      </c>
      <c r="E54" s="48">
        <f t="shared" si="23"/>
        <v>38537</v>
      </c>
      <c r="F54" s="48">
        <f t="shared" si="23"/>
        <v>45462</v>
      </c>
      <c r="G54" s="48">
        <f t="shared" si="23"/>
        <v>54722</v>
      </c>
      <c r="H54" s="48">
        <f t="shared" si="23"/>
        <v>53800</v>
      </c>
      <c r="I54" s="48">
        <f t="shared" si="23"/>
        <v>41748</v>
      </c>
      <c r="J54" s="48">
        <f t="shared" si="23"/>
        <v>50971</v>
      </c>
      <c r="K54" s="48">
        <f t="shared" si="23"/>
        <v>59427</v>
      </c>
      <c r="L54" s="49">
        <f t="shared" si="23"/>
        <v>67060</v>
      </c>
      <c r="M54" s="21">
        <f>M21</f>
        <v>75777.799999999988</v>
      </c>
      <c r="N54" s="21">
        <f t="shared" si="23"/>
        <v>83355.579999999987</v>
      </c>
      <c r="O54" s="21">
        <f t="shared" si="23"/>
        <v>87523.358999999997</v>
      </c>
      <c r="P54" s="21">
        <f t="shared" si="23"/>
        <v>91899.526949999999</v>
      </c>
      <c r="Q54" s="21">
        <f t="shared" si="23"/>
        <v>93737.517489000005</v>
      </c>
      <c r="R54" s="50"/>
    </row>
    <row r="55" spans="1:18" x14ac:dyDescent="0.2">
      <c r="B55" s="23" t="s">
        <v>11</v>
      </c>
      <c r="C55" s="51" t="str">
        <f>C22</f>
        <v>--</v>
      </c>
      <c r="D55" s="51">
        <f t="shared" si="23"/>
        <v>-0.14810452305015942</v>
      </c>
      <c r="E55" s="51">
        <f t="shared" si="23"/>
        <v>-0.18025568483971832</v>
      </c>
      <c r="F55" s="51">
        <f t="shared" si="23"/>
        <v>0.17969743363520774</v>
      </c>
      <c r="G55" s="51">
        <f t="shared" si="23"/>
        <v>0.20368659539835465</v>
      </c>
      <c r="H55" s="51">
        <f t="shared" si="23"/>
        <v>-1.6848799385987379E-2</v>
      </c>
      <c r="I55" s="51">
        <f t="shared" si="23"/>
        <v>-0.22401486988847585</v>
      </c>
      <c r="J55" s="51">
        <f t="shared" si="23"/>
        <v>0.2209207626712657</v>
      </c>
      <c r="K55" s="51">
        <f t="shared" si="23"/>
        <v>0.16589825587098539</v>
      </c>
      <c r="L55" s="52">
        <f t="shared" si="23"/>
        <v>0.12844330018341821</v>
      </c>
      <c r="M55" s="53">
        <f t="shared" si="23"/>
        <v>0.12999999999999989</v>
      </c>
      <c r="N55" s="53">
        <f t="shared" si="23"/>
        <v>0.10000000000000009</v>
      </c>
      <c r="O55" s="53">
        <f t="shared" si="23"/>
        <v>5.0000000000000044E-2</v>
      </c>
      <c r="P55" s="53">
        <f t="shared" si="23"/>
        <v>5.0000000000000044E-2</v>
      </c>
      <c r="Q55" s="53">
        <f t="shared" si="23"/>
        <v>2.0000000000000018E-2</v>
      </c>
      <c r="R55" s="54"/>
    </row>
    <row r="56" spans="1:18" x14ac:dyDescent="0.2">
      <c r="M56" s="55"/>
      <c r="N56" s="55"/>
      <c r="O56" s="55"/>
      <c r="P56" s="55"/>
      <c r="Q56" s="55"/>
    </row>
    <row r="57" spans="1:18" x14ac:dyDescent="0.2">
      <c r="B57" t="s">
        <v>13</v>
      </c>
      <c r="C57" s="48">
        <f>C29</f>
        <v>9064</v>
      </c>
      <c r="D57" s="48">
        <f t="shared" ref="D57:Q58" si="24">D29</f>
        <v>7883</v>
      </c>
      <c r="E57" s="48">
        <f t="shared" si="24"/>
        <v>12144</v>
      </c>
      <c r="F57" s="48">
        <f t="shared" si="24"/>
        <v>12954</v>
      </c>
      <c r="G57" s="48">
        <f t="shared" si="24"/>
        <v>15001</v>
      </c>
      <c r="H57" s="48">
        <f t="shared" si="24"/>
        <v>14081</v>
      </c>
      <c r="I57" s="48">
        <f t="shared" si="24"/>
        <v>15804</v>
      </c>
      <c r="J57" s="48">
        <f t="shared" si="24"/>
        <v>18813</v>
      </c>
      <c r="K57" s="48">
        <f t="shared" si="24"/>
        <v>21000</v>
      </c>
      <c r="L57" s="49">
        <f t="shared" si="24"/>
        <v>23595</v>
      </c>
      <c r="M57" s="21">
        <f t="shared" si="24"/>
        <v>24248.895999999997</v>
      </c>
      <c r="N57" s="21">
        <f t="shared" si="24"/>
        <v>26673.785599999996</v>
      </c>
      <c r="O57" s="21">
        <f t="shared" si="24"/>
        <v>28007.474879999998</v>
      </c>
      <c r="P57" s="21">
        <f t="shared" si="24"/>
        <v>29407.848624000002</v>
      </c>
      <c r="Q57" s="21">
        <f t="shared" si="24"/>
        <v>29996.005596480001</v>
      </c>
    </row>
    <row r="58" spans="1:18" x14ac:dyDescent="0.2">
      <c r="B58" s="23" t="s">
        <v>14</v>
      </c>
      <c r="C58" s="51">
        <f>C30</f>
        <v>0.16425050739344738</v>
      </c>
      <c r="D58" s="51">
        <f t="shared" si="24"/>
        <v>0.1676841590266108</v>
      </c>
      <c r="E58" s="51">
        <f t="shared" si="24"/>
        <v>0.31512572333082495</v>
      </c>
      <c r="F58" s="51">
        <f t="shared" si="24"/>
        <v>0.2849412696317804</v>
      </c>
      <c r="G58" s="51">
        <f t="shared" si="24"/>
        <v>0.27413106246116736</v>
      </c>
      <c r="H58" s="51">
        <f t="shared" si="24"/>
        <v>0.26172862453531598</v>
      </c>
      <c r="I58" s="51">
        <f t="shared" si="24"/>
        <v>0.37855705662546707</v>
      </c>
      <c r="J58" s="51">
        <f t="shared" si="24"/>
        <v>0.36909222891448079</v>
      </c>
      <c r="K58" s="51">
        <f t="shared" si="24"/>
        <v>0.35337472865869052</v>
      </c>
      <c r="L58" s="52">
        <f t="shared" si="24"/>
        <v>0.35184909036683565</v>
      </c>
      <c r="M58" s="53">
        <f t="shared" si="24"/>
        <v>0.32</v>
      </c>
      <c r="N58" s="53">
        <f t="shared" si="24"/>
        <v>0.32</v>
      </c>
      <c r="O58" s="53">
        <f t="shared" si="24"/>
        <v>0.32</v>
      </c>
      <c r="P58" s="53">
        <f t="shared" si="24"/>
        <v>0.32</v>
      </c>
      <c r="Q58" s="53">
        <f t="shared" si="24"/>
        <v>0.32</v>
      </c>
    </row>
    <row r="60" spans="1:18" x14ac:dyDescent="0.2">
      <c r="B60" t="s">
        <v>16</v>
      </c>
      <c r="C60" s="56">
        <f>C34</f>
        <v>2667</v>
      </c>
      <c r="D60" s="56">
        <f t="shared" ref="D60:Q61" si="25">D34</f>
        <v>2021</v>
      </c>
      <c r="E60" s="56">
        <f t="shared" si="25"/>
        <v>4995</v>
      </c>
      <c r="F60" s="56">
        <f t="shared" si="25"/>
        <v>2505</v>
      </c>
      <c r="G60" s="56">
        <f t="shared" si="25"/>
        <v>2804</v>
      </c>
      <c r="H60" s="56">
        <f t="shared" si="25"/>
        <v>2924</v>
      </c>
      <c r="I60" s="56">
        <f t="shared" si="25"/>
        <v>3752</v>
      </c>
      <c r="J60" s="56">
        <f t="shared" si="25"/>
        <v>3179</v>
      </c>
      <c r="K60" s="56">
        <f t="shared" si="25"/>
        <v>3764</v>
      </c>
      <c r="L60" s="57">
        <f t="shared" si="25"/>
        <v>4173</v>
      </c>
      <c r="M60" s="58">
        <f t="shared" ref="M60:Q60" si="26">M57*M61</f>
        <v>5819.7350399999987</v>
      </c>
      <c r="N60" s="58">
        <f t="shared" si="26"/>
        <v>6401.7085439999983</v>
      </c>
      <c r="O60" s="58">
        <f t="shared" si="26"/>
        <v>6721.7939711999989</v>
      </c>
      <c r="P60" s="58">
        <f t="shared" si="26"/>
        <v>7057.88366976</v>
      </c>
      <c r="Q60" s="58">
        <f t="shared" si="26"/>
        <v>7199.0413431551997</v>
      </c>
    </row>
    <row r="61" spans="1:18" x14ac:dyDescent="0.2">
      <c r="B61" s="23" t="s">
        <v>17</v>
      </c>
      <c r="C61" s="59">
        <f>C35</f>
        <v>0.29649805447470817</v>
      </c>
      <c r="D61" s="59">
        <f t="shared" si="25"/>
        <v>0.2522466300549176</v>
      </c>
      <c r="E61" s="59">
        <f t="shared" si="25"/>
        <v>0.42714212416623909</v>
      </c>
      <c r="F61" s="59">
        <f t="shared" si="25"/>
        <v>0.19561143214118382</v>
      </c>
      <c r="G61" s="59">
        <f t="shared" si="25"/>
        <v>0.18839021768341843</v>
      </c>
      <c r="H61" s="59">
        <f t="shared" si="25"/>
        <v>0.212037708484409</v>
      </c>
      <c r="I61" s="59">
        <f t="shared" si="25"/>
        <v>0.23358027765672665</v>
      </c>
      <c r="J61" s="59">
        <f t="shared" si="25"/>
        <v>0.17528672254080283</v>
      </c>
      <c r="K61" s="59">
        <f t="shared" si="25"/>
        <v>0.17892285021628559</v>
      </c>
      <c r="L61" s="60">
        <f t="shared" si="25"/>
        <v>0.17448569994982438</v>
      </c>
      <c r="M61" s="53">
        <f t="shared" si="25"/>
        <v>0.23999999999999996</v>
      </c>
      <c r="N61" s="53">
        <f t="shared" si="25"/>
        <v>0.23999999999999996</v>
      </c>
      <c r="O61" s="53">
        <f t="shared" si="25"/>
        <v>0.23999999999999996</v>
      </c>
      <c r="P61" s="53">
        <f t="shared" si="25"/>
        <v>0.24</v>
      </c>
      <c r="Q61" s="53">
        <f t="shared" si="25"/>
        <v>0.24</v>
      </c>
    </row>
    <row r="63" spans="1:18" x14ac:dyDescent="0.2">
      <c r="B63" s="61" t="s">
        <v>26</v>
      </c>
      <c r="C63" s="62">
        <f>C57-C60</f>
        <v>6397</v>
      </c>
      <c r="D63" s="62">
        <f t="shared" ref="D63:Q63" si="27">D57-D60</f>
        <v>5862</v>
      </c>
      <c r="E63" s="62">
        <f t="shared" si="27"/>
        <v>7149</v>
      </c>
      <c r="F63" s="62">
        <f t="shared" si="27"/>
        <v>10449</v>
      </c>
      <c r="G63" s="62">
        <f t="shared" si="27"/>
        <v>12197</v>
      </c>
      <c r="H63" s="62">
        <f t="shared" si="27"/>
        <v>11157</v>
      </c>
      <c r="I63" s="62">
        <f t="shared" si="27"/>
        <v>12052</v>
      </c>
      <c r="J63" s="62">
        <f t="shared" si="27"/>
        <v>15634</v>
      </c>
      <c r="K63" s="62">
        <f t="shared" si="27"/>
        <v>17236</v>
      </c>
      <c r="L63" s="63">
        <f t="shared" si="27"/>
        <v>19422</v>
      </c>
      <c r="M63" s="64">
        <f t="shared" si="27"/>
        <v>18429.160959999997</v>
      </c>
      <c r="N63" s="64">
        <f t="shared" si="27"/>
        <v>20272.077055999998</v>
      </c>
      <c r="O63" s="64">
        <f t="shared" si="27"/>
        <v>21285.680908800001</v>
      </c>
      <c r="P63" s="64">
        <f t="shared" si="27"/>
        <v>22349.96495424</v>
      </c>
      <c r="Q63" s="65">
        <f t="shared" si="27"/>
        <v>22796.964253324801</v>
      </c>
    </row>
    <row r="65" spans="2:17" x14ac:dyDescent="0.2">
      <c r="B65" t="s">
        <v>19</v>
      </c>
      <c r="C65" s="56">
        <f>C39</f>
        <v>3163</v>
      </c>
      <c r="D65" s="56">
        <f t="shared" ref="D65:Q66" si="28">D39</f>
        <v>3046</v>
      </c>
      <c r="E65" s="56">
        <f t="shared" si="28"/>
        <v>3034</v>
      </c>
      <c r="F65" s="56">
        <f t="shared" si="28"/>
        <v>2877</v>
      </c>
      <c r="G65" s="56">
        <f t="shared" si="28"/>
        <v>2766</v>
      </c>
      <c r="H65" s="56">
        <f t="shared" si="28"/>
        <v>2577</v>
      </c>
      <c r="I65" s="56">
        <f t="shared" si="28"/>
        <v>2432</v>
      </c>
      <c r="J65" s="56">
        <f t="shared" si="28"/>
        <v>2352</v>
      </c>
      <c r="K65" s="56">
        <f t="shared" si="28"/>
        <v>2219</v>
      </c>
      <c r="L65" s="57">
        <f t="shared" si="28"/>
        <v>2144</v>
      </c>
      <c r="M65" s="21">
        <f t="shared" si="28"/>
        <v>3358.6100147367879</v>
      </c>
      <c r="N65" s="21">
        <f t="shared" si="28"/>
        <v>3634.8249604934531</v>
      </c>
      <c r="O65" s="21">
        <f t="shared" si="28"/>
        <v>3560.1572643062582</v>
      </c>
      <c r="P65" s="21">
        <f t="shared" si="28"/>
        <v>3637.6778988170213</v>
      </c>
      <c r="Q65" s="21">
        <f t="shared" si="28"/>
        <v>3752.4872862135517</v>
      </c>
    </row>
    <row r="66" spans="2:17" x14ac:dyDescent="0.2">
      <c r="B66" s="23" t="s">
        <v>14</v>
      </c>
      <c r="C66" s="59">
        <f>C40</f>
        <v>5.7317338358944619E-2</v>
      </c>
      <c r="D66" s="59">
        <f t="shared" si="28"/>
        <v>6.4793346238114488E-2</v>
      </c>
      <c r="E66" s="59">
        <f t="shared" si="28"/>
        <v>7.8729532656927115E-2</v>
      </c>
      <c r="F66" s="59">
        <f t="shared" si="28"/>
        <v>6.3283621486076289E-2</v>
      </c>
      <c r="G66" s="59">
        <f t="shared" si="28"/>
        <v>5.0546398157962059E-2</v>
      </c>
      <c r="H66" s="59">
        <f t="shared" si="28"/>
        <v>4.7899628252788103E-2</v>
      </c>
      <c r="I66" s="59">
        <f t="shared" si="28"/>
        <v>5.8254287630545173E-2</v>
      </c>
      <c r="J66" s="59">
        <f t="shared" si="28"/>
        <v>4.6143885738949598E-2</v>
      </c>
      <c r="K66" s="59">
        <f t="shared" si="28"/>
        <v>3.7339929661601629E-2</v>
      </c>
      <c r="L66" s="60">
        <f t="shared" si="28"/>
        <v>3.1971368923352221E-2</v>
      </c>
      <c r="M66" s="53">
        <f t="shared" si="28"/>
        <v>4.4321820041447343E-2</v>
      </c>
      <c r="N66" s="53">
        <f t="shared" si="28"/>
        <v>4.3606258399179199E-2</v>
      </c>
      <c r="O66" s="53">
        <f t="shared" si="28"/>
        <v>4.0676652552905999E-2</v>
      </c>
      <c r="P66" s="53">
        <f t="shared" si="28"/>
        <v>3.9583205915697278E-2</v>
      </c>
      <c r="Q66" s="53">
        <f t="shared" si="28"/>
        <v>4.0031861166516407E-2</v>
      </c>
    </row>
    <row r="67" spans="2:17" x14ac:dyDescent="0.2">
      <c r="M67" s="55"/>
      <c r="N67" s="55"/>
      <c r="O67" s="55"/>
      <c r="P67" s="55"/>
      <c r="Q67" s="55"/>
    </row>
    <row r="68" spans="2:17" x14ac:dyDescent="0.2">
      <c r="B68" t="s">
        <v>21</v>
      </c>
      <c r="C68" s="56">
        <f>C43</f>
        <v>1539</v>
      </c>
      <c r="D68" s="56">
        <f t="shared" ref="D68:Q69" si="29">D43</f>
        <v>1388</v>
      </c>
      <c r="E68" s="56">
        <f t="shared" si="29"/>
        <v>1109</v>
      </c>
      <c r="F68" s="56">
        <f t="shared" si="29"/>
        <v>898</v>
      </c>
      <c r="G68" s="56">
        <f t="shared" si="29"/>
        <v>1276</v>
      </c>
      <c r="H68" s="56">
        <f t="shared" si="29"/>
        <v>1056</v>
      </c>
      <c r="I68" s="56">
        <f t="shared" si="29"/>
        <v>978</v>
      </c>
      <c r="J68" s="56">
        <f t="shared" si="29"/>
        <v>1093</v>
      </c>
      <c r="K68" s="56">
        <f t="shared" si="29"/>
        <v>1296</v>
      </c>
      <c r="L68" s="57">
        <f t="shared" si="29"/>
        <v>1597</v>
      </c>
      <c r="M68" s="21">
        <f t="shared" si="29"/>
        <v>1668.9432116515538</v>
      </c>
      <c r="N68" s="21">
        <f t="shared" si="29"/>
        <v>1875.7801602722445</v>
      </c>
      <c r="O68" s="21">
        <f t="shared" si="29"/>
        <v>1953.4138005345776</v>
      </c>
      <c r="P68" s="21">
        <f t="shared" si="29"/>
        <v>2067.170675301847</v>
      </c>
      <c r="Q68" s="21">
        <f t="shared" si="29"/>
        <v>2121.3663077987203</v>
      </c>
    </row>
    <row r="69" spans="2:17" x14ac:dyDescent="0.2">
      <c r="B69" s="23" t="s">
        <v>14</v>
      </c>
      <c r="C69" s="59">
        <f>C44</f>
        <v>2.7888518411133663E-2</v>
      </c>
      <c r="D69" s="59">
        <f t="shared" si="29"/>
        <v>2.952500478611389E-2</v>
      </c>
      <c r="E69" s="59">
        <f t="shared" si="29"/>
        <v>2.8777538469522797E-2</v>
      </c>
      <c r="F69" s="59">
        <f t="shared" si="29"/>
        <v>1.9752760547270248E-2</v>
      </c>
      <c r="G69" s="59">
        <f t="shared" si="29"/>
        <v>2.3317861189284018E-2</v>
      </c>
      <c r="H69" s="59">
        <f t="shared" si="29"/>
        <v>1.9628252788104088E-2</v>
      </c>
      <c r="I69" s="59">
        <f t="shared" si="29"/>
        <v>2.3426271917217592E-2</v>
      </c>
      <c r="J69" s="59">
        <f t="shared" si="29"/>
        <v>2.1443565949265268E-2</v>
      </c>
      <c r="K69" s="59">
        <f t="shared" si="29"/>
        <v>2.1808268968650613E-2</v>
      </c>
      <c r="L69" s="60">
        <f t="shared" si="29"/>
        <v>2.3814494482552937E-2</v>
      </c>
      <c r="M69" s="53">
        <f t="shared" si="29"/>
        <v>2.2024170821158099E-2</v>
      </c>
      <c r="N69" s="53">
        <f t="shared" si="29"/>
        <v>2.25033544277689E-2</v>
      </c>
      <c r="O69" s="53">
        <f t="shared" si="29"/>
        <v>2.2318770929879161E-2</v>
      </c>
      <c r="P69" s="53">
        <f t="shared" si="29"/>
        <v>2.2493811926001944E-2</v>
      </c>
      <c r="Q69" s="53">
        <f t="shared" si="29"/>
        <v>2.263092051747221E-2</v>
      </c>
    </row>
    <row r="70" spans="2:17" x14ac:dyDescent="0.2">
      <c r="M70" s="55"/>
      <c r="N70" s="55"/>
      <c r="O70" s="55"/>
      <c r="P70" s="55"/>
      <c r="Q70" s="55"/>
    </row>
    <row r="71" spans="2:17" x14ac:dyDescent="0.2">
      <c r="B71" t="s">
        <v>22</v>
      </c>
      <c r="C71" s="56">
        <f>C46</f>
        <v>-417</v>
      </c>
      <c r="D71" s="56">
        <f t="shared" ref="D71:Q72" si="30">D46</f>
        <v>784</v>
      </c>
      <c r="E71" s="56">
        <f t="shared" si="30"/>
        <v>792</v>
      </c>
      <c r="F71" s="56">
        <f t="shared" si="30"/>
        <v>325</v>
      </c>
      <c r="G71" s="56">
        <f t="shared" si="30"/>
        <v>-2733</v>
      </c>
      <c r="H71" s="56">
        <f t="shared" si="30"/>
        <v>-1175</v>
      </c>
      <c r="I71" s="56">
        <f t="shared" si="30"/>
        <v>470</v>
      </c>
      <c r="J71" s="56">
        <f t="shared" si="30"/>
        <v>-467</v>
      </c>
      <c r="K71" s="56">
        <f t="shared" si="30"/>
        <v>-836</v>
      </c>
      <c r="L71" s="57">
        <f t="shared" si="30"/>
        <v>-193</v>
      </c>
      <c r="M71" s="21">
        <f t="shared" si="30"/>
        <v>-556.05592433703089</v>
      </c>
      <c r="N71" s="21">
        <f t="shared" si="30"/>
        <v>-369.89416770852392</v>
      </c>
      <c r="O71" s="21">
        <f t="shared" si="30"/>
        <v>-663.13467243950072</v>
      </c>
      <c r="P71" s="21">
        <f t="shared" si="30"/>
        <v>-667.15166060900083</v>
      </c>
      <c r="Q71" s="21">
        <f t="shared" si="30"/>
        <v>-552.85975868700712</v>
      </c>
    </row>
    <row r="72" spans="2:17" x14ac:dyDescent="0.2">
      <c r="B72" s="23" t="s">
        <v>14</v>
      </c>
      <c r="C72" s="59">
        <f>C47</f>
        <v>-7.5565381269933314E-3</v>
      </c>
      <c r="D72" s="59">
        <f t="shared" si="30"/>
        <v>1.6676947948352512E-2</v>
      </c>
      <c r="E72" s="59">
        <f t="shared" si="30"/>
        <v>2.0551677608532059E-2</v>
      </c>
      <c r="F72" s="59">
        <f t="shared" si="30"/>
        <v>7.1488275922748671E-3</v>
      </c>
      <c r="G72" s="59">
        <f t="shared" si="30"/>
        <v>-4.9943350023756439E-2</v>
      </c>
      <c r="H72" s="59">
        <f t="shared" si="30"/>
        <v>-2.1840148698884759E-2</v>
      </c>
      <c r="I72" s="59">
        <f t="shared" si="30"/>
        <v>1.1258024336495162E-2</v>
      </c>
      <c r="J72" s="59">
        <f t="shared" si="30"/>
        <v>-9.1620725510584457E-3</v>
      </c>
      <c r="K72" s="59">
        <f t="shared" si="30"/>
        <v>-1.4067679674222155E-2</v>
      </c>
      <c r="L72" s="60">
        <f t="shared" si="30"/>
        <v>-2.8780196838651953E-3</v>
      </c>
      <c r="M72" s="53">
        <f t="shared" si="30"/>
        <v>-7.3379792543070794E-3</v>
      </c>
      <c r="N72" s="53">
        <f t="shared" si="30"/>
        <v>-4.4375453653915427E-3</v>
      </c>
      <c r="O72" s="53">
        <f t="shared" si="30"/>
        <v>-7.5766593057688836E-3</v>
      </c>
      <c r="P72" s="53">
        <f t="shared" si="30"/>
        <v>-7.2595766567109714E-3</v>
      </c>
      <c r="Q72" s="53">
        <f t="shared" si="30"/>
        <v>-5.8979560532087336E-3</v>
      </c>
    </row>
    <row r="74" spans="2:17" x14ac:dyDescent="0.2">
      <c r="B74" s="66" t="s">
        <v>27</v>
      </c>
      <c r="C74" s="67">
        <f>C63+C65-C68-C71</f>
        <v>8438</v>
      </c>
      <c r="D74" s="67">
        <f t="shared" ref="D74:L74" si="31">D63+D65-D68-D71</f>
        <v>6736</v>
      </c>
      <c r="E74" s="67">
        <f t="shared" si="31"/>
        <v>8282</v>
      </c>
      <c r="F74" s="67">
        <f t="shared" si="31"/>
        <v>12103</v>
      </c>
      <c r="G74" s="67">
        <f t="shared" si="31"/>
        <v>16420</v>
      </c>
      <c r="H74" s="67">
        <f t="shared" si="31"/>
        <v>13853</v>
      </c>
      <c r="I74" s="67">
        <f t="shared" si="31"/>
        <v>13036</v>
      </c>
      <c r="J74" s="67">
        <f t="shared" si="31"/>
        <v>17360</v>
      </c>
      <c r="K74" s="67">
        <f t="shared" si="31"/>
        <v>18995</v>
      </c>
      <c r="L74" s="68">
        <f t="shared" si="31"/>
        <v>20162</v>
      </c>
      <c r="M74" s="69">
        <f>M63+M65-M68-M71</f>
        <v>20674.883687422262</v>
      </c>
      <c r="N74" s="69">
        <f t="shared" ref="N74:Q74" si="32">N63+N65-N68-N71</f>
        <v>22401.016023929733</v>
      </c>
      <c r="O74" s="69">
        <f t="shared" si="32"/>
        <v>23555.559045011181</v>
      </c>
      <c r="P74" s="69">
        <f t="shared" si="32"/>
        <v>24587.623838364176</v>
      </c>
      <c r="Q74" s="70">
        <f t="shared" si="32"/>
        <v>24980.94499042664</v>
      </c>
    </row>
    <row r="75" spans="2:17" x14ac:dyDescent="0.2">
      <c r="B75" s="71" t="s">
        <v>28</v>
      </c>
      <c r="C75" s="72"/>
      <c r="D75" s="73"/>
      <c r="E75" s="73"/>
      <c r="F75" s="73"/>
      <c r="G75" s="73"/>
      <c r="H75" s="73"/>
      <c r="I75" s="73"/>
      <c r="J75" s="73"/>
      <c r="K75" s="73"/>
      <c r="L75" s="74">
        <f>(L74*L77)/(1+K10)^L78</f>
        <v>19937.977777777778</v>
      </c>
      <c r="M75" s="74">
        <f>M74/(1+L10)^M78</f>
        <v>17557.311329741333</v>
      </c>
      <c r="N75" s="74">
        <f t="shared" ref="N75:Q75" si="33">N74/(1+M10)^N78</f>
        <v>22401.016023929733</v>
      </c>
      <c r="O75" s="74">
        <f t="shared" si="33"/>
        <v>23555.559045011181</v>
      </c>
      <c r="P75" s="74">
        <f t="shared" si="33"/>
        <v>24587.623838364176</v>
      </c>
      <c r="Q75" s="74">
        <f t="shared" si="33"/>
        <v>24980.94499042664</v>
      </c>
    </row>
    <row r="77" spans="2:17" x14ac:dyDescent="0.2">
      <c r="B77" t="s">
        <v>29</v>
      </c>
      <c r="L77" s="75">
        <f>YEARFRAC(L5,L6)</f>
        <v>0.98888888888888893</v>
      </c>
    </row>
    <row r="78" spans="2:17" x14ac:dyDescent="0.2">
      <c r="B78" t="s">
        <v>30</v>
      </c>
      <c r="L78" s="75">
        <f>L77/4</f>
        <v>0.24722222222222223</v>
      </c>
      <c r="M78" s="76">
        <f>L77+0.5</f>
        <v>1.4888888888888889</v>
      </c>
      <c r="N78" s="76">
        <f>M78+1</f>
        <v>2.4888888888888889</v>
      </c>
      <c r="O78" s="76">
        <f t="shared" ref="O78:Q78" si="34">N78+1</f>
        <v>3.4888888888888889</v>
      </c>
      <c r="P78" s="76">
        <f t="shared" si="34"/>
        <v>4.4888888888888889</v>
      </c>
      <c r="Q78" s="76">
        <f t="shared" si="34"/>
        <v>5.4888888888888889</v>
      </c>
    </row>
    <row r="80" spans="2:17" x14ac:dyDescent="0.2">
      <c r="B80" t="s">
        <v>31</v>
      </c>
      <c r="Q80" s="77">
        <f>(Q74*(1+L11)/(L10-L11))</f>
        <v>265334.88582259504</v>
      </c>
    </row>
    <row r="81" spans="2:17" x14ac:dyDescent="0.2">
      <c r="B81" t="s">
        <v>32</v>
      </c>
      <c r="Q81" s="77">
        <f>Q80/(1+L10)^Q78</f>
        <v>145245.65357127585</v>
      </c>
    </row>
    <row r="82" spans="2:17" x14ac:dyDescent="0.2">
      <c r="Q82" s="78"/>
    </row>
    <row r="83" spans="2:17" x14ac:dyDescent="0.2">
      <c r="B83" t="s">
        <v>33</v>
      </c>
      <c r="Q83" s="78">
        <f>SUM(L75:Q75,Q81)</f>
        <v>278266.08657652669</v>
      </c>
    </row>
    <row r="84" spans="2:17" x14ac:dyDescent="0.2">
      <c r="B84" t="s">
        <v>34</v>
      </c>
      <c r="Q84" s="79">
        <f>Info!C7</f>
        <v>5638</v>
      </c>
    </row>
    <row r="85" spans="2:17" x14ac:dyDescent="0.2">
      <c r="B85" t="s">
        <v>35</v>
      </c>
      <c r="Q85" s="79">
        <f>Info!C8</f>
        <v>34176</v>
      </c>
    </row>
    <row r="86" spans="2:17" x14ac:dyDescent="0.2">
      <c r="B86" t="s">
        <v>36</v>
      </c>
      <c r="Q86" s="78">
        <f>Q83+Q84-Q85</f>
        <v>249728.08657652669</v>
      </c>
    </row>
    <row r="87" spans="2:17" x14ac:dyDescent="0.2">
      <c r="Q87" s="78"/>
    </row>
    <row r="88" spans="2:17" x14ac:dyDescent="0.2">
      <c r="B88" t="s">
        <v>37</v>
      </c>
      <c r="Q88" s="19">
        <f>Info!C5</f>
        <v>482.8</v>
      </c>
    </row>
    <row r="89" spans="2:17" x14ac:dyDescent="0.2">
      <c r="B89" t="s">
        <v>38</v>
      </c>
      <c r="Q89" s="80">
        <f>Q86/Q88</f>
        <v>517.24955794640982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C27A-B4C4-594C-90CD-DEECA4AA78A7}">
  <dimension ref="A2:H22"/>
  <sheetViews>
    <sheetView showGridLines="0" topLeftCell="A4" workbookViewId="0">
      <selection activeCell="H19" sqref="H19"/>
    </sheetView>
  </sheetViews>
  <sheetFormatPr baseColWidth="10" defaultColWidth="8.83203125" defaultRowHeight="16" x14ac:dyDescent="0.2"/>
  <cols>
    <col min="1" max="1" width="3.6640625" customWidth="1"/>
    <col min="6" max="6" width="12.6640625" customWidth="1"/>
  </cols>
  <sheetData>
    <row r="2" spans="1:8" s="3" customFormat="1" ht="22" x14ac:dyDescent="0.3">
      <c r="B2" s="2" t="s">
        <v>6</v>
      </c>
    </row>
    <row r="4" spans="1:8" x14ac:dyDescent="0.2">
      <c r="B4" t="s">
        <v>39</v>
      </c>
    </row>
    <row r="5" spans="1:8" x14ac:dyDescent="0.2">
      <c r="B5" t="s">
        <v>40</v>
      </c>
    </row>
    <row r="7" spans="1:8" x14ac:dyDescent="0.2">
      <c r="A7" t="s">
        <v>1</v>
      </c>
      <c r="B7" s="81" t="s">
        <v>6</v>
      </c>
      <c r="C7" s="82"/>
      <c r="D7" s="82"/>
      <c r="E7" s="82"/>
      <c r="F7" s="82"/>
    </row>
    <row r="8" spans="1:8" x14ac:dyDescent="0.2">
      <c r="B8" t="s">
        <v>41</v>
      </c>
      <c r="F8" s="38">
        <f>Info!C6</f>
        <v>175637.81200000001</v>
      </c>
    </row>
    <row r="9" spans="1:8" x14ac:dyDescent="0.2">
      <c r="B9" t="s">
        <v>42</v>
      </c>
      <c r="F9" s="83">
        <f>F8/$F$20</f>
        <v>0.83711272544821791</v>
      </c>
    </row>
    <row r="10" spans="1:8" x14ac:dyDescent="0.2">
      <c r="B10" t="s">
        <v>43</v>
      </c>
      <c r="F10" s="84">
        <f>F11+F12*F13</f>
        <v>0.12529999999999999</v>
      </c>
    </row>
    <row r="11" spans="1:8" x14ac:dyDescent="0.2">
      <c r="B11" t="s">
        <v>44</v>
      </c>
      <c r="F11" s="85">
        <v>4.4999999999999998E-2</v>
      </c>
    </row>
    <row r="12" spans="1:8" x14ac:dyDescent="0.2">
      <c r="B12" t="s">
        <v>45</v>
      </c>
      <c r="F12" s="86">
        <v>1.1000000000000001</v>
      </c>
    </row>
    <row r="13" spans="1:8" x14ac:dyDescent="0.2">
      <c r="B13" t="s">
        <v>46</v>
      </c>
      <c r="F13" s="85">
        <v>7.2999999999999995E-2</v>
      </c>
      <c r="H13" s="87"/>
    </row>
    <row r="15" spans="1:8" x14ac:dyDescent="0.2">
      <c r="B15" t="s">
        <v>47</v>
      </c>
      <c r="F15" s="88">
        <f>Info!C8</f>
        <v>34176</v>
      </c>
    </row>
    <row r="16" spans="1:8" x14ac:dyDescent="0.2">
      <c r="B16" t="s">
        <v>48</v>
      </c>
      <c r="F16" s="83">
        <f>F15/$F$20</f>
        <v>0.16288727455178212</v>
      </c>
    </row>
    <row r="17" spans="1:7" x14ac:dyDescent="0.2">
      <c r="B17" t="s">
        <v>49</v>
      </c>
      <c r="F17" s="85">
        <v>0.09</v>
      </c>
      <c r="G17" s="89"/>
    </row>
    <row r="18" spans="1:7" x14ac:dyDescent="0.2">
      <c r="B18" t="s">
        <v>15</v>
      </c>
      <c r="F18" s="85">
        <v>0.24</v>
      </c>
    </row>
    <row r="20" spans="1:7" x14ac:dyDescent="0.2">
      <c r="B20" t="s">
        <v>12</v>
      </c>
      <c r="F20" s="38">
        <f>F8+F15</f>
        <v>209813.81200000001</v>
      </c>
    </row>
    <row r="22" spans="1:7" x14ac:dyDescent="0.2">
      <c r="A22" t="s">
        <v>1</v>
      </c>
      <c r="B22" t="s">
        <v>6</v>
      </c>
      <c r="F22" s="84">
        <f>F9*F10+(F16*F17*(1-F18))</f>
        <v>0.1160317140780036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043A-1D88-EB4D-ADD7-3F09E13FECCD}">
  <dimension ref="B6:M57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61" sqref="F61"/>
    </sheetView>
  </sheetViews>
  <sheetFormatPr baseColWidth="10" defaultRowHeight="16" x14ac:dyDescent="0.2"/>
  <cols>
    <col min="2" max="2" width="38" bestFit="1" customWidth="1"/>
  </cols>
  <sheetData>
    <row r="6" spans="2:13" x14ac:dyDescent="0.2">
      <c r="B6" s="92" t="s">
        <v>50</v>
      </c>
      <c r="C6" s="93">
        <v>2014</v>
      </c>
      <c r="D6" s="93">
        <v>2015</v>
      </c>
      <c r="E6" s="93">
        <v>2016</v>
      </c>
      <c r="F6" s="93">
        <v>2017</v>
      </c>
      <c r="G6" s="93">
        <v>2018</v>
      </c>
      <c r="H6" s="93">
        <v>2019</v>
      </c>
      <c r="I6" s="93">
        <v>2020</v>
      </c>
      <c r="J6" s="93">
        <v>2021</v>
      </c>
      <c r="K6" s="93">
        <v>2022</v>
      </c>
      <c r="L6" s="93">
        <v>2023</v>
      </c>
      <c r="M6" s="93" t="s">
        <v>51</v>
      </c>
    </row>
    <row r="7" spans="2:13" x14ac:dyDescent="0.2">
      <c r="B7" s="94" t="s">
        <v>52</v>
      </c>
      <c r="C7" s="113">
        <v>55184</v>
      </c>
      <c r="D7" s="113">
        <v>47011</v>
      </c>
      <c r="E7" s="113">
        <v>38537</v>
      </c>
      <c r="F7" s="113">
        <v>45462</v>
      </c>
      <c r="G7" s="113">
        <v>54722</v>
      </c>
      <c r="H7" s="113">
        <v>53800</v>
      </c>
      <c r="I7" s="113">
        <v>41748</v>
      </c>
      <c r="J7" s="113">
        <v>50971</v>
      </c>
      <c r="K7" s="113">
        <v>59427</v>
      </c>
      <c r="L7" s="113">
        <v>67060</v>
      </c>
      <c r="M7" s="96">
        <f>(L7/C7)^(1/9)-1</f>
        <v>2.189340628184766E-2</v>
      </c>
    </row>
    <row r="8" spans="2:13" x14ac:dyDescent="0.2">
      <c r="B8" s="97"/>
      <c r="C8" s="98"/>
      <c r="D8" s="98"/>
      <c r="E8" s="98"/>
      <c r="F8" s="98"/>
      <c r="G8" s="98"/>
      <c r="H8" s="98"/>
      <c r="I8" s="98"/>
      <c r="J8" s="98"/>
      <c r="K8" s="98"/>
      <c r="L8" s="98"/>
    </row>
    <row r="9" spans="2:13" x14ac:dyDescent="0.2">
      <c r="B9" s="99" t="s">
        <v>53</v>
      </c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2:13" x14ac:dyDescent="0.2">
      <c r="B10" s="97" t="s">
        <v>84</v>
      </c>
      <c r="C10" s="98">
        <v>39767</v>
      </c>
      <c r="D10" s="98">
        <v>33742</v>
      </c>
      <c r="E10" s="98">
        <v>28309</v>
      </c>
      <c r="F10" s="98">
        <v>31049</v>
      </c>
      <c r="G10" s="98">
        <v>36997</v>
      </c>
      <c r="H10" s="98">
        <v>36630</v>
      </c>
      <c r="I10" s="98">
        <v>29082</v>
      </c>
      <c r="J10" s="98">
        <v>35513</v>
      </c>
      <c r="K10" s="98">
        <v>41350</v>
      </c>
      <c r="L10" s="98">
        <v>42767</v>
      </c>
    </row>
    <row r="11" spans="2:13" x14ac:dyDescent="0.2">
      <c r="B11" s="97" t="s">
        <v>85</v>
      </c>
      <c r="C11" s="98">
        <v>5697</v>
      </c>
      <c r="D11" s="98">
        <v>5199</v>
      </c>
      <c r="E11" s="98">
        <v>4686</v>
      </c>
      <c r="F11" s="98">
        <v>5177</v>
      </c>
      <c r="G11" s="98">
        <v>5478</v>
      </c>
      <c r="H11" s="98">
        <v>5162</v>
      </c>
      <c r="I11" s="98">
        <v>4642</v>
      </c>
      <c r="J11" s="98">
        <v>5365</v>
      </c>
      <c r="K11" s="98">
        <v>5651</v>
      </c>
      <c r="L11" s="98">
        <v>6371</v>
      </c>
    </row>
    <row r="12" spans="2:13" x14ac:dyDescent="0.2">
      <c r="B12" s="97" t="s">
        <v>86</v>
      </c>
      <c r="C12" s="98">
        <v>2135</v>
      </c>
      <c r="D12" s="98">
        <v>2165</v>
      </c>
      <c r="E12" s="98">
        <v>1951</v>
      </c>
      <c r="F12" s="98">
        <v>1905</v>
      </c>
      <c r="G12" s="98">
        <v>1850</v>
      </c>
      <c r="H12" s="98">
        <v>1693</v>
      </c>
      <c r="I12" s="98">
        <v>1415</v>
      </c>
      <c r="J12" s="98">
        <v>1686</v>
      </c>
      <c r="K12" s="98">
        <v>1814</v>
      </c>
      <c r="L12" s="98">
        <v>2108</v>
      </c>
    </row>
    <row r="13" spans="2:13" x14ac:dyDescent="0.2">
      <c r="B13" s="97" t="s">
        <v>87</v>
      </c>
      <c r="C13" s="98">
        <v>624</v>
      </c>
      <c r="D13" s="98">
        <v>587</v>
      </c>
      <c r="E13" s="98">
        <v>596</v>
      </c>
      <c r="F13" s="98">
        <v>646</v>
      </c>
      <c r="G13" s="98">
        <v>722</v>
      </c>
      <c r="H13" s="98">
        <v>754</v>
      </c>
      <c r="I13" s="98">
        <v>589</v>
      </c>
      <c r="J13" s="98">
        <v>455</v>
      </c>
      <c r="K13" s="98">
        <v>565</v>
      </c>
      <c r="L13" s="98">
        <v>1030</v>
      </c>
    </row>
    <row r="14" spans="2:13" x14ac:dyDescent="0.2">
      <c r="B14" s="111" t="s">
        <v>88</v>
      </c>
      <c r="C14" s="98"/>
      <c r="D14" s="98"/>
      <c r="E14" s="98">
        <v>595</v>
      </c>
      <c r="F14" s="98"/>
      <c r="G14" s="98"/>
      <c r="H14" s="98"/>
      <c r="I14" s="98"/>
      <c r="J14" s="98"/>
      <c r="K14" s="98">
        <v>925</v>
      </c>
      <c r="L14" s="98"/>
    </row>
    <row r="15" spans="2:13" x14ac:dyDescent="0.2">
      <c r="B15" s="97" t="s">
        <v>89</v>
      </c>
      <c r="C15" s="98">
        <v>1633</v>
      </c>
      <c r="D15" s="98">
        <v>2062</v>
      </c>
      <c r="E15" s="98">
        <v>1902</v>
      </c>
      <c r="F15" s="98">
        <v>2279</v>
      </c>
      <c r="G15" s="98">
        <v>1382</v>
      </c>
      <c r="H15" s="98">
        <v>1271</v>
      </c>
      <c r="I15" s="98">
        <v>1467</v>
      </c>
      <c r="J15" s="98">
        <v>1074</v>
      </c>
      <c r="K15" s="98">
        <v>1218</v>
      </c>
      <c r="L15" s="98">
        <v>1818</v>
      </c>
    </row>
    <row r="16" spans="2:13" x14ac:dyDescent="0.2"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12" x14ac:dyDescent="0.2">
      <c r="B17" s="94" t="s">
        <v>55</v>
      </c>
      <c r="C17" s="95">
        <f>SUM(C9:C15)</f>
        <v>49856</v>
      </c>
      <c r="D17" s="95">
        <f t="shared" ref="D17:L17" si="0">SUM(D9:D15)</f>
        <v>43755</v>
      </c>
      <c r="E17" s="95">
        <f t="shared" si="0"/>
        <v>38039</v>
      </c>
      <c r="F17" s="95">
        <f t="shared" si="0"/>
        <v>41056</v>
      </c>
      <c r="G17" s="95">
        <f t="shared" si="0"/>
        <v>46429</v>
      </c>
      <c r="H17" s="95">
        <f t="shared" si="0"/>
        <v>45510</v>
      </c>
      <c r="I17" s="95">
        <f t="shared" si="0"/>
        <v>37195</v>
      </c>
      <c r="J17" s="95">
        <f t="shared" si="0"/>
        <v>44093</v>
      </c>
      <c r="K17" s="95">
        <f t="shared" si="0"/>
        <v>51523</v>
      </c>
      <c r="L17" s="95">
        <f t="shared" si="0"/>
        <v>54094</v>
      </c>
    </row>
    <row r="18" spans="2:12" x14ac:dyDescent="0.2">
      <c r="B18" s="100" t="s">
        <v>97</v>
      </c>
      <c r="C18" s="95">
        <f>C15+C14+C12+C11+C10</f>
        <v>49232</v>
      </c>
      <c r="D18" s="95">
        <f t="shared" ref="D18:L18" si="1">D15+D14+D12+D11+D10</f>
        <v>43168</v>
      </c>
      <c r="E18" s="95">
        <f t="shared" si="1"/>
        <v>37443</v>
      </c>
      <c r="F18" s="95">
        <f t="shared" si="1"/>
        <v>40410</v>
      </c>
      <c r="G18" s="95">
        <f t="shared" si="1"/>
        <v>45707</v>
      </c>
      <c r="H18" s="95">
        <f t="shared" si="1"/>
        <v>44756</v>
      </c>
      <c r="I18" s="95">
        <f t="shared" si="1"/>
        <v>36606</v>
      </c>
      <c r="J18" s="95">
        <f t="shared" si="1"/>
        <v>43638</v>
      </c>
      <c r="K18" s="95">
        <f t="shared" si="1"/>
        <v>50958</v>
      </c>
      <c r="L18" s="95">
        <f t="shared" si="1"/>
        <v>53064</v>
      </c>
    </row>
    <row r="19" spans="2:12" x14ac:dyDescent="0.2">
      <c r="B19" s="94" t="s">
        <v>98</v>
      </c>
      <c r="C19" s="95">
        <f>C7-C17</f>
        <v>5328</v>
      </c>
      <c r="D19" s="95">
        <f t="shared" ref="D19:L19" si="2">D7-D17</f>
        <v>3256</v>
      </c>
      <c r="E19" s="95">
        <f t="shared" si="2"/>
        <v>498</v>
      </c>
      <c r="F19" s="95">
        <f t="shared" si="2"/>
        <v>4406</v>
      </c>
      <c r="G19" s="95">
        <f t="shared" si="2"/>
        <v>8293</v>
      </c>
      <c r="H19" s="95">
        <f t="shared" si="2"/>
        <v>8290</v>
      </c>
      <c r="I19" s="95">
        <f t="shared" si="2"/>
        <v>4553</v>
      </c>
      <c r="J19" s="95">
        <f t="shared" si="2"/>
        <v>6878</v>
      </c>
      <c r="K19" s="95">
        <f t="shared" si="2"/>
        <v>7904</v>
      </c>
      <c r="L19" s="95">
        <f t="shared" si="2"/>
        <v>12966</v>
      </c>
    </row>
    <row r="20" spans="2:12" x14ac:dyDescent="0.2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2:12" x14ac:dyDescent="0.2">
      <c r="B21" s="94" t="s">
        <v>13</v>
      </c>
      <c r="C21" s="95">
        <f>C7-C18</f>
        <v>5952</v>
      </c>
      <c r="D21" s="95">
        <f t="shared" ref="D21:L21" si="3">D7-D18</f>
        <v>3843</v>
      </c>
      <c r="E21" s="95">
        <f t="shared" si="3"/>
        <v>1094</v>
      </c>
      <c r="F21" s="95">
        <f t="shared" si="3"/>
        <v>5052</v>
      </c>
      <c r="G21" s="95">
        <f t="shared" si="3"/>
        <v>9015</v>
      </c>
      <c r="H21" s="95">
        <f t="shared" si="3"/>
        <v>9044</v>
      </c>
      <c r="I21" s="95">
        <f t="shared" si="3"/>
        <v>5142</v>
      </c>
      <c r="J21" s="95">
        <f t="shared" si="3"/>
        <v>7333</v>
      </c>
      <c r="K21" s="95">
        <f t="shared" si="3"/>
        <v>8469</v>
      </c>
      <c r="L21" s="95">
        <f t="shared" si="3"/>
        <v>13996</v>
      </c>
    </row>
    <row r="22" spans="2:12" x14ac:dyDescent="0.2">
      <c r="B22" s="101" t="s">
        <v>54</v>
      </c>
      <c r="C22" s="114">
        <v>3163</v>
      </c>
      <c r="D22" s="114">
        <v>3046</v>
      </c>
      <c r="E22" s="114">
        <v>3034</v>
      </c>
      <c r="F22" s="114">
        <v>2877</v>
      </c>
      <c r="G22" s="114">
        <v>2766</v>
      </c>
      <c r="H22" s="114">
        <v>2577</v>
      </c>
      <c r="I22" s="114">
        <v>2432</v>
      </c>
      <c r="J22" s="114">
        <v>2352</v>
      </c>
      <c r="K22" s="114">
        <v>2219</v>
      </c>
      <c r="L22" s="114">
        <v>2144</v>
      </c>
    </row>
    <row r="23" spans="2:12" x14ac:dyDescent="0.2">
      <c r="B23" s="94" t="s">
        <v>56</v>
      </c>
      <c r="C23" s="95">
        <f>C21+C22</f>
        <v>9115</v>
      </c>
      <c r="D23" s="95">
        <f t="shared" ref="D23:L23" si="4">D21+D22</f>
        <v>6889</v>
      </c>
      <c r="E23" s="95">
        <f t="shared" si="4"/>
        <v>4128</v>
      </c>
      <c r="F23" s="95">
        <f t="shared" si="4"/>
        <v>7929</v>
      </c>
      <c r="G23" s="95">
        <f t="shared" si="4"/>
        <v>11781</v>
      </c>
      <c r="H23" s="95">
        <f t="shared" si="4"/>
        <v>11621</v>
      </c>
      <c r="I23" s="95">
        <f t="shared" si="4"/>
        <v>7574</v>
      </c>
      <c r="J23" s="95">
        <f t="shared" si="4"/>
        <v>9685</v>
      </c>
      <c r="K23" s="95">
        <f t="shared" si="4"/>
        <v>10688</v>
      </c>
      <c r="L23" s="95">
        <f t="shared" si="4"/>
        <v>16140</v>
      </c>
    </row>
    <row r="24" spans="2:12" x14ac:dyDescent="0.2">
      <c r="B24" s="99"/>
    </row>
    <row r="25" spans="2:12" x14ac:dyDescent="0.2">
      <c r="B25" s="99" t="s">
        <v>90</v>
      </c>
      <c r="C25" s="98">
        <v>-484</v>
      </c>
      <c r="D25" s="98">
        <v>-507</v>
      </c>
      <c r="E25" s="98">
        <v>-505</v>
      </c>
      <c r="F25" s="98">
        <v>-531</v>
      </c>
      <c r="G25" s="98">
        <v>-404</v>
      </c>
      <c r="H25" s="98">
        <v>-421</v>
      </c>
      <c r="I25" s="98">
        <v>-514</v>
      </c>
      <c r="J25" s="98">
        <v>-488</v>
      </c>
      <c r="K25" s="98">
        <v>-443</v>
      </c>
      <c r="L25" s="98">
        <v>-511</v>
      </c>
    </row>
    <row r="26" spans="2:12" x14ac:dyDescent="0.2">
      <c r="B26" s="99" t="s">
        <v>57</v>
      </c>
      <c r="C26" s="98">
        <v>239</v>
      </c>
      <c r="D26" s="98">
        <v>106</v>
      </c>
      <c r="E26" s="98">
        <v>146</v>
      </c>
      <c r="F26" s="98">
        <v>207</v>
      </c>
      <c r="G26" s="98">
        <v>-67</v>
      </c>
      <c r="H26" s="98">
        <v>-57</v>
      </c>
      <c r="I26" s="98">
        <v>-44</v>
      </c>
      <c r="J26" s="98">
        <v>1814</v>
      </c>
      <c r="K26" s="98">
        <v>1291</v>
      </c>
      <c r="L26" s="98">
        <v>595</v>
      </c>
    </row>
    <row r="27" spans="2:12" x14ac:dyDescent="0.2">
      <c r="B27" s="99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12" x14ac:dyDescent="0.2">
      <c r="B28" s="100" t="s">
        <v>58</v>
      </c>
      <c r="C28" s="95">
        <f>SUM(C25:C26)</f>
        <v>-245</v>
      </c>
      <c r="D28" s="95">
        <f t="shared" ref="D28:L28" si="5">SUM(D25:D26)</f>
        <v>-401</v>
      </c>
      <c r="E28" s="95">
        <f t="shared" si="5"/>
        <v>-359</v>
      </c>
      <c r="F28" s="95">
        <f t="shared" si="5"/>
        <v>-324</v>
      </c>
      <c r="G28" s="95">
        <f t="shared" si="5"/>
        <v>-471</v>
      </c>
      <c r="H28" s="95">
        <f t="shared" si="5"/>
        <v>-478</v>
      </c>
      <c r="I28" s="95">
        <f t="shared" si="5"/>
        <v>-558</v>
      </c>
      <c r="J28" s="95">
        <f t="shared" si="5"/>
        <v>1326</v>
      </c>
      <c r="K28" s="95">
        <f t="shared" si="5"/>
        <v>848</v>
      </c>
      <c r="L28" s="95">
        <f t="shared" si="5"/>
        <v>84</v>
      </c>
    </row>
    <row r="29" spans="2:12" x14ac:dyDescent="0.2">
      <c r="B29" s="100" t="s">
        <v>59</v>
      </c>
      <c r="C29" s="95">
        <f>C19+C28</f>
        <v>5083</v>
      </c>
      <c r="D29" s="95">
        <f t="shared" ref="D29:L29" si="6">D19+D28</f>
        <v>2855</v>
      </c>
      <c r="E29" s="95">
        <f t="shared" si="6"/>
        <v>139</v>
      </c>
      <c r="F29" s="95">
        <f t="shared" si="6"/>
        <v>4082</v>
      </c>
      <c r="G29" s="95">
        <f t="shared" si="6"/>
        <v>7822</v>
      </c>
      <c r="H29" s="95">
        <f t="shared" si="6"/>
        <v>7812</v>
      </c>
      <c r="I29" s="95">
        <f t="shared" si="6"/>
        <v>3995</v>
      </c>
      <c r="J29" s="95">
        <f t="shared" si="6"/>
        <v>8204</v>
      </c>
      <c r="K29" s="95">
        <f t="shared" si="6"/>
        <v>8752</v>
      </c>
      <c r="L29" s="95">
        <f t="shared" si="6"/>
        <v>13050</v>
      </c>
    </row>
    <row r="30" spans="2:12" x14ac:dyDescent="0.2">
      <c r="B30" s="99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 x14ac:dyDescent="0.2">
      <c r="B31" s="99" t="s">
        <v>60</v>
      </c>
      <c r="C31" s="114">
        <v>1380</v>
      </c>
      <c r="D31" s="114">
        <v>742</v>
      </c>
      <c r="E31" s="114">
        <v>192</v>
      </c>
      <c r="F31" s="114">
        <v>3339</v>
      </c>
      <c r="G31" s="114">
        <v>1698</v>
      </c>
      <c r="H31" s="114">
        <v>1746</v>
      </c>
      <c r="I31" s="114">
        <v>1006</v>
      </c>
      <c r="J31" s="114">
        <v>1742</v>
      </c>
      <c r="K31" s="114">
        <v>2067</v>
      </c>
      <c r="L31" s="114">
        <v>2781</v>
      </c>
    </row>
    <row r="32" spans="2:12" x14ac:dyDescent="0.2">
      <c r="B32" s="94" t="s">
        <v>64</v>
      </c>
      <c r="C32" s="95">
        <f>C29-C31</f>
        <v>3703</v>
      </c>
      <c r="D32" s="95">
        <f t="shared" ref="D32:L32" si="7">D29-D31</f>
        <v>2113</v>
      </c>
      <c r="E32" s="95">
        <f t="shared" si="7"/>
        <v>-53</v>
      </c>
      <c r="F32" s="95">
        <f t="shared" si="7"/>
        <v>743</v>
      </c>
      <c r="G32" s="95">
        <f t="shared" si="7"/>
        <v>6124</v>
      </c>
      <c r="H32" s="95">
        <f t="shared" si="7"/>
        <v>6066</v>
      </c>
      <c r="I32" s="95">
        <f t="shared" si="7"/>
        <v>2989</v>
      </c>
      <c r="J32" s="95">
        <f t="shared" si="7"/>
        <v>6462</v>
      </c>
      <c r="K32" s="95">
        <f t="shared" si="7"/>
        <v>6685</v>
      </c>
      <c r="L32" s="95">
        <f t="shared" si="7"/>
        <v>10269</v>
      </c>
    </row>
    <row r="33" spans="2:13" x14ac:dyDescent="0.2">
      <c r="B33" s="99" t="s">
        <v>65</v>
      </c>
      <c r="C33" s="102">
        <f>C32/C34</f>
        <v>5.8880585148672289</v>
      </c>
      <c r="D33" s="102">
        <f t="shared" ref="D33:L33" si="8">D32/D34</f>
        <v>3.5140528854149347</v>
      </c>
      <c r="E33" s="102">
        <f t="shared" si="8"/>
        <v>-9.0706828683895263E-2</v>
      </c>
      <c r="F33" s="102">
        <f t="shared" si="8"/>
        <v>1.2397797430335393</v>
      </c>
      <c r="G33" s="102">
        <f t="shared" si="8"/>
        <v>10.216883550216885</v>
      </c>
      <c r="H33" s="102">
        <f t="shared" si="8"/>
        <v>10.688986784140969</v>
      </c>
      <c r="I33" s="102">
        <f t="shared" si="8"/>
        <v>5.448414145096609</v>
      </c>
      <c r="J33" s="102">
        <f t="shared" si="8"/>
        <v>11.781221513217867</v>
      </c>
      <c r="K33" s="102">
        <f t="shared" si="8"/>
        <v>12.60369532428356</v>
      </c>
      <c r="L33" s="102">
        <f t="shared" si="8"/>
        <v>19.99415887850467</v>
      </c>
    </row>
    <row r="34" spans="2:13" x14ac:dyDescent="0.2">
      <c r="B34" s="99" t="s">
        <v>66</v>
      </c>
      <c r="C34" s="5">
        <v>628.9</v>
      </c>
      <c r="D34" s="5">
        <v>601.29999999999995</v>
      </c>
      <c r="E34" s="5">
        <v>584.29999999999995</v>
      </c>
      <c r="F34" s="5">
        <v>599.29999999999995</v>
      </c>
      <c r="G34" s="5">
        <v>599.4</v>
      </c>
      <c r="H34" s="5">
        <v>567.5</v>
      </c>
      <c r="I34" s="5">
        <v>548.6</v>
      </c>
      <c r="J34" s="5">
        <v>548.5</v>
      </c>
      <c r="K34" s="5">
        <v>530.4</v>
      </c>
      <c r="L34" s="5">
        <v>513.6</v>
      </c>
    </row>
    <row r="36" spans="2:13" x14ac:dyDescent="0.2">
      <c r="B36" s="99" t="s">
        <v>61</v>
      </c>
      <c r="C36" s="103">
        <f>C19/C7</f>
        <v>9.6549724557842859E-2</v>
      </c>
      <c r="D36" s="103">
        <f t="shared" ref="D36:L36" si="9">D19/D7</f>
        <v>6.9260385867137481E-2</v>
      </c>
      <c r="E36" s="103">
        <f t="shared" si="9"/>
        <v>1.292264576900122E-2</v>
      </c>
      <c r="F36" s="103">
        <f t="shared" si="9"/>
        <v>9.6916105758655585E-2</v>
      </c>
      <c r="G36" s="103">
        <f t="shared" si="9"/>
        <v>0.15154782354446109</v>
      </c>
      <c r="H36" s="103">
        <f t="shared" si="9"/>
        <v>0.15408921933085501</v>
      </c>
      <c r="I36" s="103">
        <f t="shared" si="9"/>
        <v>0.10905911660438823</v>
      </c>
      <c r="J36" s="103">
        <f t="shared" si="9"/>
        <v>0.13493947538796572</v>
      </c>
      <c r="K36" s="103">
        <f t="shared" si="9"/>
        <v>0.13300351691991855</v>
      </c>
      <c r="L36" s="103">
        <f t="shared" si="9"/>
        <v>0.19334923948702654</v>
      </c>
    </row>
    <row r="37" spans="2:13" x14ac:dyDescent="0.2">
      <c r="B37" s="99"/>
    </row>
    <row r="38" spans="2:13" x14ac:dyDescent="0.2">
      <c r="B38" s="99" t="s">
        <v>67</v>
      </c>
      <c r="C38" s="103">
        <f>C32/C7</f>
        <v>6.7102783415482745E-2</v>
      </c>
      <c r="D38" s="103">
        <f t="shared" ref="D38:L38" si="10">D32/D7</f>
        <v>4.4946927314883749E-2</v>
      </c>
      <c r="E38" s="103">
        <f t="shared" si="10"/>
        <v>-1.3753016581467162E-3</v>
      </c>
      <c r="F38" s="103">
        <f t="shared" si="10"/>
        <v>1.6343319695569927E-2</v>
      </c>
      <c r="G38" s="103">
        <f t="shared" si="10"/>
        <v>0.11191111435985526</v>
      </c>
      <c r="H38" s="103">
        <f t="shared" si="10"/>
        <v>0.11275092936802975</v>
      </c>
      <c r="I38" s="103">
        <f t="shared" si="10"/>
        <v>7.1596244131455405E-2</v>
      </c>
      <c r="J38" s="103">
        <f t="shared" si="10"/>
        <v>0.12677797178787939</v>
      </c>
      <c r="K38" s="103">
        <f t="shared" si="10"/>
        <v>0.11249095528968314</v>
      </c>
      <c r="L38" s="103">
        <f t="shared" si="10"/>
        <v>0.15313152400835073</v>
      </c>
    </row>
    <row r="39" spans="2:13" x14ac:dyDescent="0.2">
      <c r="B39" s="99" t="s">
        <v>68</v>
      </c>
      <c r="C39" s="103">
        <f>C31/C29</f>
        <v>0.27149321266968324</v>
      </c>
      <c r="D39" s="103">
        <f t="shared" ref="D39:L39" si="11">D31/D29</f>
        <v>0.25989492119089319</v>
      </c>
      <c r="E39" s="103">
        <f t="shared" si="11"/>
        <v>1.3812949640287771</v>
      </c>
      <c r="F39" s="103">
        <f t="shared" si="11"/>
        <v>0.81798138167564916</v>
      </c>
      <c r="G39" s="103">
        <f t="shared" si="11"/>
        <v>0.21708003068268986</v>
      </c>
      <c r="H39" s="103">
        <f t="shared" si="11"/>
        <v>0.22350230414746544</v>
      </c>
      <c r="I39" s="103">
        <f t="shared" si="11"/>
        <v>0.25181476846057571</v>
      </c>
      <c r="J39" s="103">
        <f t="shared" si="11"/>
        <v>0.21233544612384203</v>
      </c>
      <c r="K39" s="103">
        <f t="shared" si="11"/>
        <v>0.23617458866544791</v>
      </c>
      <c r="L39" s="103">
        <f t="shared" si="11"/>
        <v>0.21310344827586206</v>
      </c>
    </row>
    <row r="41" spans="2:13" x14ac:dyDescent="0.2">
      <c r="B41" s="104" t="s">
        <v>62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x14ac:dyDescent="0.2">
      <c r="B42" s="91" t="s">
        <v>69</v>
      </c>
    </row>
    <row r="43" spans="2:13" x14ac:dyDescent="0.2">
      <c r="B43" t="s">
        <v>70</v>
      </c>
      <c r="C43" s="112">
        <f>C22</f>
        <v>3163</v>
      </c>
      <c r="D43" s="112">
        <f t="shared" ref="D43:L43" si="12">D22</f>
        <v>3046</v>
      </c>
      <c r="E43" s="112">
        <f t="shared" si="12"/>
        <v>3034</v>
      </c>
      <c r="F43" s="112">
        <f t="shared" si="12"/>
        <v>2877</v>
      </c>
      <c r="G43" s="112">
        <f t="shared" si="12"/>
        <v>2766</v>
      </c>
      <c r="H43" s="112">
        <f t="shared" si="12"/>
        <v>2577</v>
      </c>
      <c r="I43" s="112">
        <f t="shared" si="12"/>
        <v>2432</v>
      </c>
      <c r="J43" s="112">
        <f t="shared" si="12"/>
        <v>2352</v>
      </c>
      <c r="K43" s="112">
        <f t="shared" si="12"/>
        <v>2219</v>
      </c>
      <c r="L43" s="112">
        <f t="shared" si="12"/>
        <v>2144</v>
      </c>
    </row>
    <row r="45" spans="2:13" x14ac:dyDescent="0.2">
      <c r="B45" s="90" t="s">
        <v>71</v>
      </c>
    </row>
    <row r="46" spans="2:13" x14ac:dyDescent="0.2">
      <c r="B46" s="105" t="s">
        <v>92</v>
      </c>
      <c r="C46" s="98">
        <v>163</v>
      </c>
      <c r="D46" s="98">
        <v>764</v>
      </c>
      <c r="E46" s="98">
        <v>829</v>
      </c>
      <c r="F46" s="98">
        <v>-1151</v>
      </c>
      <c r="G46" s="98">
        <v>-1619</v>
      </c>
      <c r="H46" s="98">
        <v>171</v>
      </c>
      <c r="I46" s="98">
        <v>1442</v>
      </c>
      <c r="J46" s="98">
        <v>-1259</v>
      </c>
      <c r="K46" s="98">
        <v>-220</v>
      </c>
      <c r="L46" s="98">
        <v>-437</v>
      </c>
    </row>
    <row r="47" spans="2:13" x14ac:dyDescent="0.2">
      <c r="B47" s="105" t="s">
        <v>93</v>
      </c>
      <c r="C47" s="98">
        <v>101</v>
      </c>
      <c r="D47" s="98">
        <v>2274</v>
      </c>
      <c r="E47" s="98">
        <v>1109</v>
      </c>
      <c r="F47" s="98">
        <v>-1295</v>
      </c>
      <c r="G47" s="98">
        <v>-1579</v>
      </c>
      <c r="H47" s="98">
        <v>274</v>
      </c>
      <c r="I47" s="98">
        <v>-34</v>
      </c>
      <c r="J47" s="98">
        <v>-2586</v>
      </c>
      <c r="K47" s="98">
        <v>-2589</v>
      </c>
      <c r="L47" s="98">
        <v>-364</v>
      </c>
    </row>
    <row r="48" spans="2:13" x14ac:dyDescent="0.2">
      <c r="B48" s="105" t="s">
        <v>72</v>
      </c>
      <c r="C48" s="98">
        <v>222</v>
      </c>
      <c r="D48" s="98">
        <v>-1165</v>
      </c>
      <c r="E48" s="98">
        <v>-200</v>
      </c>
      <c r="F48" s="98">
        <v>1478</v>
      </c>
      <c r="G48" s="98">
        <v>709</v>
      </c>
      <c r="H48" s="98">
        <v>-1025</v>
      </c>
      <c r="I48" s="98">
        <v>98</v>
      </c>
      <c r="J48" s="98">
        <v>2041</v>
      </c>
      <c r="K48" s="98">
        <v>798</v>
      </c>
      <c r="L48" s="98">
        <v>-754</v>
      </c>
    </row>
    <row r="49" spans="2:12" x14ac:dyDescent="0.2">
      <c r="B49" s="105" t="s">
        <v>94</v>
      </c>
      <c r="C49" s="98">
        <v>-10</v>
      </c>
      <c r="D49" s="98">
        <v>-199</v>
      </c>
      <c r="E49" s="98">
        <v>-201</v>
      </c>
      <c r="F49" s="98">
        <v>175</v>
      </c>
      <c r="G49" s="98">
        <v>101</v>
      </c>
      <c r="H49" s="98">
        <v>172</v>
      </c>
      <c r="I49" s="98">
        <v>-366</v>
      </c>
      <c r="J49" s="98">
        <v>196</v>
      </c>
      <c r="K49" s="98">
        <v>317</v>
      </c>
      <c r="L49" s="98">
        <v>796</v>
      </c>
    </row>
    <row r="50" spans="2:12" x14ac:dyDescent="0.2">
      <c r="B50" s="105" t="s">
        <v>95</v>
      </c>
      <c r="C50" s="98">
        <v>-593</v>
      </c>
      <c r="D50" s="98">
        <v>-389</v>
      </c>
      <c r="E50" s="98">
        <v>-708</v>
      </c>
      <c r="F50" s="98">
        <v>1187</v>
      </c>
      <c r="G50" s="98">
        <v>-162</v>
      </c>
      <c r="H50" s="98">
        <v>-757</v>
      </c>
      <c r="I50" s="98">
        <v>-544</v>
      </c>
      <c r="J50" s="98">
        <v>1107</v>
      </c>
      <c r="K50" s="98">
        <v>90</v>
      </c>
      <c r="L50" s="98">
        <v>486</v>
      </c>
    </row>
    <row r="51" spans="2:12" x14ac:dyDescent="0.2">
      <c r="B51" s="105" t="s">
        <v>96</v>
      </c>
      <c r="C51" s="98">
        <v>-300</v>
      </c>
      <c r="D51" s="98">
        <v>-501</v>
      </c>
      <c r="E51" s="98">
        <v>-37</v>
      </c>
      <c r="F51" s="98">
        <v>-69</v>
      </c>
      <c r="G51" s="98">
        <v>-183</v>
      </c>
      <c r="H51" s="98">
        <v>-10</v>
      </c>
      <c r="I51" s="98">
        <v>-126</v>
      </c>
      <c r="J51" s="98">
        <v>34</v>
      </c>
      <c r="K51" s="98">
        <v>768</v>
      </c>
      <c r="L51" s="98">
        <v>80</v>
      </c>
    </row>
    <row r="52" spans="2:12" x14ac:dyDescent="0.2">
      <c r="C52" s="78"/>
      <c r="D52" s="78"/>
      <c r="E52" s="78"/>
      <c r="F52" s="78"/>
      <c r="G52" s="78"/>
      <c r="H52" s="78"/>
      <c r="I52" s="78"/>
      <c r="J52" s="78"/>
      <c r="K52" s="98"/>
      <c r="L52" s="98"/>
    </row>
    <row r="53" spans="2:12" ht="17" thickBot="1" x14ac:dyDescent="0.25">
      <c r="B53" s="106" t="s">
        <v>73</v>
      </c>
      <c r="C53" s="107">
        <f>SUM(C46:C51)</f>
        <v>-417</v>
      </c>
      <c r="D53" s="107">
        <f>SUM(D46:D51)</f>
        <v>784</v>
      </c>
      <c r="E53" s="107">
        <f>SUM(E46:E51)</f>
        <v>792</v>
      </c>
      <c r="F53" s="107">
        <f>SUM(F46:F51)</f>
        <v>325</v>
      </c>
      <c r="G53" s="107">
        <f>SUM(G46:G51)</f>
        <v>-2733</v>
      </c>
      <c r="H53" s="107">
        <f>SUM(H46:H51)</f>
        <v>-1175</v>
      </c>
      <c r="I53" s="107">
        <f>SUM(I46:I51)</f>
        <v>470</v>
      </c>
      <c r="J53" s="107">
        <f>SUM(J46:J51)</f>
        <v>-467</v>
      </c>
      <c r="K53" s="107">
        <f>SUM(K46:K51)</f>
        <v>-836</v>
      </c>
      <c r="L53" s="107">
        <f>SUM(L46:L51)</f>
        <v>-193</v>
      </c>
    </row>
    <row r="54" spans="2:12" ht="17" thickTop="1" x14ac:dyDescent="0.2">
      <c r="B54" s="106"/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">
      <c r="B56" s="91" t="s">
        <v>63</v>
      </c>
    </row>
    <row r="57" spans="2:12" x14ac:dyDescent="0.2">
      <c r="B57" t="s">
        <v>91</v>
      </c>
      <c r="C57" s="114">
        <v>-1539</v>
      </c>
      <c r="D57" s="114">
        <v>-1388</v>
      </c>
      <c r="E57" s="114">
        <v>-1109</v>
      </c>
      <c r="F57" s="114">
        <v>-898</v>
      </c>
      <c r="G57" s="114">
        <v>-1276</v>
      </c>
      <c r="H57" s="114">
        <v>-1056</v>
      </c>
      <c r="I57" s="114">
        <v>-978</v>
      </c>
      <c r="J57" s="114">
        <v>-1093</v>
      </c>
      <c r="K57" s="114">
        <v>-1296</v>
      </c>
      <c r="L57" s="114">
        <v>-1597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DCF</vt:lpstr>
      <vt:lpstr>WACC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2025-01-05T10:17:17Z</dcterms:created>
  <dcterms:modified xsi:type="dcterms:W3CDTF">2025-01-05T11:53:20Z</dcterms:modified>
</cp:coreProperties>
</file>