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sanmutlu/Desktop/Kangal_Capital/"/>
    </mc:Choice>
  </mc:AlternateContent>
  <xr:revisionPtr revIDLastSave="0" documentId="13_ncr:1_{508BE26A-7659-DB4A-82E7-38D8E00B24CC}" xr6:coauthVersionLast="47" xr6:coauthVersionMax="47" xr10:uidLastSave="{00000000-0000-0000-0000-000000000000}"/>
  <bookViews>
    <workbookView xWindow="0" yWindow="740" windowWidth="29400" windowHeight="17160" activeTab="1" xr2:uid="{E2205D69-AEAB-6A41-8E99-74F95953165B}"/>
  </bookViews>
  <sheets>
    <sheet name="Info" sheetId="1" r:id="rId1"/>
    <sheet name="DCF" sheetId="2" r:id="rId2"/>
    <sheet name="WACC" sheetId="3" r:id="rId3"/>
    <sheet name="Historical Data" sheetId="6" r:id="rId4"/>
  </sheets>
  <definedNames>
    <definedName name="tgr">#REF!</definedName>
    <definedName name="wacc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5" i="2" l="1"/>
  <c r="Q84" i="2"/>
  <c r="Q88" i="2"/>
  <c r="F15" i="3"/>
  <c r="F10" i="3"/>
  <c r="L77" i="2"/>
  <c r="L78" i="2" s="1"/>
  <c r="I68" i="2" l="1"/>
  <c r="E68" i="2"/>
  <c r="L46" i="2"/>
  <c r="L71" i="2" s="1"/>
  <c r="K46" i="2"/>
  <c r="K71" i="2" s="1"/>
  <c r="D46" i="2"/>
  <c r="D71" i="2" s="1"/>
  <c r="C46" i="2"/>
  <c r="C71" i="2" s="1"/>
  <c r="L43" i="2"/>
  <c r="L68" i="2" s="1"/>
  <c r="K43" i="2"/>
  <c r="K68" i="2" s="1"/>
  <c r="J43" i="2"/>
  <c r="J68" i="2" s="1"/>
  <c r="I43" i="2"/>
  <c r="H43" i="2"/>
  <c r="H68" i="2" s="1"/>
  <c r="G43" i="2"/>
  <c r="G68" i="2" s="1"/>
  <c r="F43" i="2"/>
  <c r="F68" i="2" s="1"/>
  <c r="E43" i="2"/>
  <c r="D43" i="2"/>
  <c r="D68" i="2" s="1"/>
  <c r="C43" i="2"/>
  <c r="C68" i="2" s="1"/>
  <c r="L34" i="2"/>
  <c r="L60" i="2" s="1"/>
  <c r="K34" i="2"/>
  <c r="K60" i="2" s="1"/>
  <c r="J34" i="2"/>
  <c r="J60" i="2" s="1"/>
  <c r="I34" i="2"/>
  <c r="I60" i="2" s="1"/>
  <c r="H34" i="2"/>
  <c r="H60" i="2" s="1"/>
  <c r="G34" i="2"/>
  <c r="G60" i="2" s="1"/>
  <c r="F34" i="2"/>
  <c r="F60" i="2" s="1"/>
  <c r="E34" i="2"/>
  <c r="E60" i="2" s="1"/>
  <c r="D34" i="2"/>
  <c r="D60" i="2" s="1"/>
  <c r="C34" i="2"/>
  <c r="C60" i="2" s="1"/>
  <c r="L18" i="2"/>
  <c r="M18" i="2" s="1"/>
  <c r="K18" i="2"/>
  <c r="J18" i="2"/>
  <c r="I18" i="2"/>
  <c r="H18" i="2"/>
  <c r="G18" i="2"/>
  <c r="F18" i="2"/>
  <c r="E18" i="2"/>
  <c r="D18" i="2"/>
  <c r="D19" i="2" s="1"/>
  <c r="C18" i="2"/>
  <c r="D16" i="6"/>
  <c r="D17" i="6" s="1"/>
  <c r="D18" i="6" s="1"/>
  <c r="D26" i="2" s="1"/>
  <c r="D29" i="2" s="1"/>
  <c r="D57" i="2" s="1"/>
  <c r="D63" i="2" s="1"/>
  <c r="M7" i="6"/>
  <c r="L25" i="6"/>
  <c r="K25" i="6"/>
  <c r="J25" i="6"/>
  <c r="I25" i="6"/>
  <c r="H25" i="6"/>
  <c r="G25" i="6"/>
  <c r="F25" i="6"/>
  <c r="E25" i="6"/>
  <c r="D25" i="6"/>
  <c r="L19" i="6"/>
  <c r="L40" i="6" s="1"/>
  <c r="K19" i="6"/>
  <c r="K40" i="6" s="1"/>
  <c r="J19" i="6"/>
  <c r="J40" i="6" s="1"/>
  <c r="I19" i="6"/>
  <c r="I40" i="6" s="1"/>
  <c r="H19" i="6"/>
  <c r="H40" i="6" s="1"/>
  <c r="G19" i="6"/>
  <c r="G40" i="6" s="1"/>
  <c r="F19" i="6"/>
  <c r="F40" i="6" s="1"/>
  <c r="E19" i="6"/>
  <c r="E40" i="6" s="1"/>
  <c r="D19" i="6"/>
  <c r="D40" i="6" s="1"/>
  <c r="L17" i="6"/>
  <c r="L18" i="6" s="1"/>
  <c r="L26" i="2" s="1"/>
  <c r="L29" i="2" s="1"/>
  <c r="L57" i="2" s="1"/>
  <c r="K17" i="6"/>
  <c r="K18" i="6" s="1"/>
  <c r="K26" i="2" s="1"/>
  <c r="K29" i="2" s="1"/>
  <c r="K57" i="2" s="1"/>
  <c r="K63" i="2" s="1"/>
  <c r="J17" i="6"/>
  <c r="J18" i="6" s="1"/>
  <c r="J26" i="2" s="1"/>
  <c r="J29" i="2" s="1"/>
  <c r="J57" i="2" s="1"/>
  <c r="J63" i="2" s="1"/>
  <c r="I17" i="6"/>
  <c r="I18" i="6" s="1"/>
  <c r="I26" i="2" s="1"/>
  <c r="I29" i="2" s="1"/>
  <c r="I57" i="2" s="1"/>
  <c r="H17" i="6"/>
  <c r="H18" i="6" s="1"/>
  <c r="H26" i="2" s="1"/>
  <c r="H29" i="2" s="1"/>
  <c r="H57" i="2" s="1"/>
  <c r="G17" i="6"/>
  <c r="G18" i="6" s="1"/>
  <c r="G26" i="2" s="1"/>
  <c r="G29" i="2" s="1"/>
  <c r="G57" i="2" s="1"/>
  <c r="F17" i="6"/>
  <c r="F18" i="6" s="1"/>
  <c r="F33" i="6" s="1"/>
  <c r="E17" i="6"/>
  <c r="E18" i="6" s="1"/>
  <c r="E26" i="2" s="1"/>
  <c r="E29" i="2" s="1"/>
  <c r="E57" i="2" s="1"/>
  <c r="C25" i="6"/>
  <c r="C19" i="6"/>
  <c r="C40" i="6" s="1"/>
  <c r="C17" i="6"/>
  <c r="C18" i="6" s="1"/>
  <c r="C26" i="2" s="1"/>
  <c r="C29" i="2" s="1"/>
  <c r="C57" i="2" s="1"/>
  <c r="C63" i="2" s="1"/>
  <c r="C52" i="6"/>
  <c r="D52" i="6"/>
  <c r="K52" i="6"/>
  <c r="J52" i="6"/>
  <c r="J46" i="2" s="1"/>
  <c r="J71" i="2" s="1"/>
  <c r="I52" i="6"/>
  <c r="I46" i="2" s="1"/>
  <c r="I71" i="2" s="1"/>
  <c r="H52" i="6"/>
  <c r="H46" i="2" s="1"/>
  <c r="H71" i="2" s="1"/>
  <c r="G52" i="6"/>
  <c r="G46" i="2" s="1"/>
  <c r="G71" i="2" s="1"/>
  <c r="F52" i="6"/>
  <c r="F46" i="2" s="1"/>
  <c r="F71" i="2" s="1"/>
  <c r="E52" i="6"/>
  <c r="E46" i="2" s="1"/>
  <c r="E71" i="2" s="1"/>
  <c r="L52" i="6"/>
  <c r="L63" i="2" l="1"/>
  <c r="E63" i="2"/>
  <c r="F26" i="2"/>
  <c r="F29" i="2" s="1"/>
  <c r="F57" i="2" s="1"/>
  <c r="F63" i="2"/>
  <c r="H63" i="2"/>
  <c r="G63" i="2"/>
  <c r="I63" i="2"/>
  <c r="C27" i="2"/>
  <c r="M26" i="2"/>
  <c r="N18" i="2"/>
  <c r="I26" i="6"/>
  <c r="I33" i="6"/>
  <c r="I20" i="6"/>
  <c r="K20" i="6"/>
  <c r="K33" i="6"/>
  <c r="K26" i="6"/>
  <c r="J20" i="6"/>
  <c r="J33" i="6"/>
  <c r="J26" i="6"/>
  <c r="D33" i="6"/>
  <c r="D26" i="6"/>
  <c r="D20" i="6"/>
  <c r="H26" i="6"/>
  <c r="H20" i="6"/>
  <c r="H33" i="6"/>
  <c r="C26" i="6"/>
  <c r="C20" i="6"/>
  <c r="C33" i="6"/>
  <c r="L26" i="6"/>
  <c r="L33" i="6"/>
  <c r="L20" i="6"/>
  <c r="E33" i="6"/>
  <c r="E26" i="6"/>
  <c r="E20" i="6"/>
  <c r="G33" i="6"/>
  <c r="G26" i="6"/>
  <c r="G20" i="6"/>
  <c r="F20" i="6"/>
  <c r="F26" i="6"/>
  <c r="O18" i="2" l="1"/>
  <c r="N26" i="2"/>
  <c r="M34" i="2"/>
  <c r="M35" i="2" s="1"/>
  <c r="M29" i="2"/>
  <c r="H29" i="6"/>
  <c r="H36" i="6"/>
  <c r="H35" i="2" s="1"/>
  <c r="H61" i="2" s="1"/>
  <c r="L36" i="6"/>
  <c r="L35" i="2" s="1"/>
  <c r="L61" i="2" s="1"/>
  <c r="L29" i="6"/>
  <c r="D36" i="6"/>
  <c r="D35" i="2" s="1"/>
  <c r="D61" i="2" s="1"/>
  <c r="D29" i="6"/>
  <c r="E29" i="6"/>
  <c r="E36" i="6"/>
  <c r="E35" i="2" s="1"/>
  <c r="E61" i="2" s="1"/>
  <c r="F29" i="6"/>
  <c r="F36" i="6"/>
  <c r="F35" i="2" s="1"/>
  <c r="F61" i="2" s="1"/>
  <c r="G29" i="6"/>
  <c r="G36" i="6"/>
  <c r="G35" i="2" s="1"/>
  <c r="G61" i="2" s="1"/>
  <c r="C36" i="6"/>
  <c r="C35" i="2" s="1"/>
  <c r="C61" i="2" s="1"/>
  <c r="C29" i="6"/>
  <c r="K36" i="6"/>
  <c r="K35" i="2" s="1"/>
  <c r="K61" i="2" s="1"/>
  <c r="K29" i="6"/>
  <c r="J29" i="6"/>
  <c r="J36" i="6"/>
  <c r="J35" i="2" s="1"/>
  <c r="J61" i="2" s="1"/>
  <c r="I29" i="6"/>
  <c r="I36" i="6"/>
  <c r="I35" i="2" s="1"/>
  <c r="I61" i="2" s="1"/>
  <c r="N34" i="2" l="1"/>
  <c r="N35" i="2" s="1"/>
  <c r="N29" i="2"/>
  <c r="O26" i="2"/>
  <c r="P18" i="2"/>
  <c r="E35" i="6"/>
  <c r="E30" i="6"/>
  <c r="K35" i="6"/>
  <c r="K30" i="6"/>
  <c r="D35" i="6"/>
  <c r="D30" i="6"/>
  <c r="C30" i="6"/>
  <c r="C35" i="6"/>
  <c r="L35" i="6"/>
  <c r="L30" i="6"/>
  <c r="I35" i="6"/>
  <c r="I30" i="6"/>
  <c r="G30" i="6"/>
  <c r="G35" i="6"/>
  <c r="J35" i="6"/>
  <c r="J30" i="6"/>
  <c r="F30" i="6"/>
  <c r="F35" i="6"/>
  <c r="H30" i="6"/>
  <c r="H35" i="6"/>
  <c r="P26" i="2" l="1"/>
  <c r="Q18" i="2"/>
  <c r="Q26" i="2" s="1"/>
  <c r="O34" i="2"/>
  <c r="O35" i="2" s="1"/>
  <c r="O29" i="2"/>
  <c r="Q34" i="2" l="1"/>
  <c r="Q35" i="2" s="1"/>
  <c r="Q29" i="2"/>
  <c r="P34" i="2"/>
  <c r="P35" i="2" s="1"/>
  <c r="P29" i="2"/>
  <c r="L39" i="2" l="1"/>
  <c r="L65" i="2" s="1"/>
  <c r="L74" i="2" s="1"/>
  <c r="K39" i="2"/>
  <c r="K65" i="2" s="1"/>
  <c r="K74" i="2" s="1"/>
  <c r="J39" i="2"/>
  <c r="J65" i="2" s="1"/>
  <c r="J74" i="2" s="1"/>
  <c r="I39" i="2"/>
  <c r="I65" i="2" s="1"/>
  <c r="I74" i="2" s="1"/>
  <c r="H39" i="2"/>
  <c r="H65" i="2" s="1"/>
  <c r="H74" i="2" s="1"/>
  <c r="G39" i="2"/>
  <c r="G65" i="2" s="1"/>
  <c r="G74" i="2" s="1"/>
  <c r="F39" i="2"/>
  <c r="F65" i="2" s="1"/>
  <c r="F74" i="2" s="1"/>
  <c r="E39" i="2"/>
  <c r="E65" i="2" s="1"/>
  <c r="E74" i="2" s="1"/>
  <c r="D39" i="2"/>
  <c r="D65" i="2" s="1"/>
  <c r="D74" i="2" s="1"/>
  <c r="C39" i="2"/>
  <c r="C65" i="2" s="1"/>
  <c r="C74" i="2" s="1"/>
  <c r="Q21" i="2" l="1"/>
  <c r="P21" i="2"/>
  <c r="O21" i="2"/>
  <c r="N21" i="2"/>
  <c r="M21" i="2"/>
  <c r="L21" i="2"/>
  <c r="L54" i="2" s="1"/>
  <c r="K21" i="2"/>
  <c r="K54" i="2" s="1"/>
  <c r="J21" i="2"/>
  <c r="J54" i="2" s="1"/>
  <c r="I21" i="2"/>
  <c r="I54" i="2" s="1"/>
  <c r="H21" i="2"/>
  <c r="H54" i="2" s="1"/>
  <c r="G21" i="2"/>
  <c r="G54" i="2" s="1"/>
  <c r="F21" i="2"/>
  <c r="F54" i="2" s="1"/>
  <c r="E21" i="2"/>
  <c r="E54" i="2" s="1"/>
  <c r="D21" i="2"/>
  <c r="D54" i="2" s="1"/>
  <c r="C21" i="2"/>
  <c r="C54" i="2" s="1"/>
  <c r="C19" i="2"/>
  <c r="C6" i="1"/>
  <c r="F8" i="3" l="1"/>
  <c r="F20" i="3" s="1"/>
  <c r="C9" i="1"/>
  <c r="C10" i="1" s="1"/>
  <c r="C22" i="2"/>
  <c r="C55" i="2" s="1"/>
  <c r="F17" i="3"/>
  <c r="D52" i="2"/>
  <c r="E52" i="2" s="1"/>
  <c r="F52" i="2" s="1"/>
  <c r="G52" i="2" s="1"/>
  <c r="H52" i="2" s="1"/>
  <c r="I52" i="2" s="1"/>
  <c r="J52" i="2" s="1"/>
  <c r="K52" i="2" s="1"/>
  <c r="K41" i="2"/>
  <c r="J41" i="2"/>
  <c r="C41" i="2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M27" i="2"/>
  <c r="L27" i="2"/>
  <c r="E27" i="2"/>
  <c r="I19" i="2"/>
  <c r="H19" i="2"/>
  <c r="Q19" i="2"/>
  <c r="O19" i="2"/>
  <c r="J19" i="2"/>
  <c r="G19" i="2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L52" i="2" l="1"/>
  <c r="M52" i="2" s="1"/>
  <c r="N52" i="2" s="1"/>
  <c r="O52" i="2" s="1"/>
  <c r="P52" i="2" s="1"/>
  <c r="Q52" i="2" s="1"/>
  <c r="F16" i="3"/>
  <c r="F9" i="3"/>
  <c r="D41" i="2"/>
  <c r="I30" i="2"/>
  <c r="I58" i="2" s="1"/>
  <c r="L41" i="2"/>
  <c r="M61" i="2"/>
  <c r="M19" i="2"/>
  <c r="H41" i="2"/>
  <c r="I41" i="2"/>
  <c r="K27" i="2"/>
  <c r="D27" i="2"/>
  <c r="K19" i="2"/>
  <c r="L19" i="2"/>
  <c r="M57" i="2"/>
  <c r="E19" i="2"/>
  <c r="I22" i="2"/>
  <c r="I55" i="2" s="1"/>
  <c r="I44" i="2"/>
  <c r="I69" i="2" s="1"/>
  <c r="N27" i="2"/>
  <c r="G22" i="2"/>
  <c r="G55" i="2" s="1"/>
  <c r="I40" i="2"/>
  <c r="I66" i="2" s="1"/>
  <c r="O54" i="2"/>
  <c r="J27" i="2"/>
  <c r="N19" i="2"/>
  <c r="M78" i="2"/>
  <c r="N78" i="2" s="1"/>
  <c r="O78" i="2" s="1"/>
  <c r="P78" i="2" s="1"/>
  <c r="Q78" i="2" s="1"/>
  <c r="F19" i="2"/>
  <c r="G27" i="2"/>
  <c r="J48" i="2"/>
  <c r="H27" i="2"/>
  <c r="P27" i="2"/>
  <c r="H47" i="2"/>
  <c r="H72" i="2" s="1"/>
  <c r="F27" i="2"/>
  <c r="P19" i="2"/>
  <c r="O27" i="2"/>
  <c r="G44" i="2"/>
  <c r="G69" i="2" s="1"/>
  <c r="G47" i="2"/>
  <c r="G72" i="2" s="1"/>
  <c r="E44" i="2"/>
  <c r="E69" i="2" s="1"/>
  <c r="I27" i="2"/>
  <c r="Q27" i="2"/>
  <c r="G41" i="2"/>
  <c r="G40" i="2"/>
  <c r="G66" i="2" s="1"/>
  <c r="H40" i="2"/>
  <c r="H66" i="2" s="1"/>
  <c r="I48" i="2"/>
  <c r="I47" i="2"/>
  <c r="I72" i="2" s="1"/>
  <c r="E41" i="2"/>
  <c r="H48" i="2"/>
  <c r="F41" i="2"/>
  <c r="F22" i="3" l="1"/>
  <c r="L10" i="2" s="1"/>
  <c r="M60" i="2"/>
  <c r="M63" i="2" s="1"/>
  <c r="L30" i="2"/>
  <c r="L58" i="2" s="1"/>
  <c r="N61" i="2"/>
  <c r="F44" i="2"/>
  <c r="F69" i="2" s="1"/>
  <c r="F40" i="2"/>
  <c r="F66" i="2" s="1"/>
  <c r="G48" i="2"/>
  <c r="F47" i="2"/>
  <c r="F72" i="2" s="1"/>
  <c r="D44" i="2"/>
  <c r="D69" i="2" s="1"/>
  <c r="D22" i="2"/>
  <c r="D55" i="2" s="1"/>
  <c r="C47" i="2"/>
  <c r="C72" i="2" s="1"/>
  <c r="J30" i="2"/>
  <c r="J58" i="2" s="1"/>
  <c r="C40" i="2"/>
  <c r="C66" i="2" s="1"/>
  <c r="E30" i="2"/>
  <c r="E58" i="2" s="1"/>
  <c r="L44" i="2"/>
  <c r="L69" i="2" s="1"/>
  <c r="C44" i="2"/>
  <c r="C69" i="2" s="1"/>
  <c r="H30" i="2"/>
  <c r="H58" i="2" s="1"/>
  <c r="K48" i="2"/>
  <c r="K30" i="2"/>
  <c r="K58" i="2" s="1"/>
  <c r="N57" i="2"/>
  <c r="N30" i="2"/>
  <c r="N58" i="2" s="1"/>
  <c r="Q54" i="2"/>
  <c r="Q22" i="2"/>
  <c r="Q55" i="2" s="1"/>
  <c r="P22" i="2"/>
  <c r="P55" i="2" s="1"/>
  <c r="P54" i="2"/>
  <c r="D47" i="2"/>
  <c r="D72" i="2" s="1"/>
  <c r="D48" i="2"/>
  <c r="D30" i="2"/>
  <c r="D58" i="2" s="1"/>
  <c r="M22" i="2"/>
  <c r="M55" i="2" s="1"/>
  <c r="M54" i="2"/>
  <c r="M30" i="2"/>
  <c r="M58" i="2" s="1"/>
  <c r="C30" i="2"/>
  <c r="C58" i="2" s="1"/>
  <c r="K44" i="2"/>
  <c r="K69" i="2" s="1"/>
  <c r="K40" i="2"/>
  <c r="K66" i="2" s="1"/>
  <c r="K47" i="2"/>
  <c r="K72" i="2" s="1"/>
  <c r="K22" i="2"/>
  <c r="K55" i="2" s="1"/>
  <c r="E47" i="2"/>
  <c r="E72" i="2" s="1"/>
  <c r="E22" i="2"/>
  <c r="E55" i="2" s="1"/>
  <c r="E48" i="2"/>
  <c r="D40" i="2"/>
  <c r="D66" i="2" s="1"/>
  <c r="E40" i="2"/>
  <c r="E66" i="2" s="1"/>
  <c r="H22" i="2"/>
  <c r="H55" i="2" s="1"/>
  <c r="H44" i="2"/>
  <c r="H69" i="2" s="1"/>
  <c r="N22" i="2"/>
  <c r="N55" i="2" s="1"/>
  <c r="N54" i="2"/>
  <c r="L47" i="2"/>
  <c r="L72" i="2" s="1"/>
  <c r="L22" i="2"/>
  <c r="L55" i="2" s="1"/>
  <c r="L48" i="2"/>
  <c r="F30" i="2"/>
  <c r="F58" i="2" s="1"/>
  <c r="J44" i="2"/>
  <c r="J69" i="2" s="1"/>
  <c r="J40" i="2"/>
  <c r="J66" i="2" s="1"/>
  <c r="J47" i="2"/>
  <c r="J72" i="2" s="1"/>
  <c r="J22" i="2"/>
  <c r="J55" i="2" s="1"/>
  <c r="L40" i="2"/>
  <c r="L66" i="2" s="1"/>
  <c r="G30" i="2"/>
  <c r="G58" i="2" s="1"/>
  <c r="O22" i="2"/>
  <c r="O55" i="2" s="1"/>
  <c r="F22" i="2"/>
  <c r="F55" i="2" s="1"/>
  <c r="F48" i="2"/>
  <c r="O61" i="2" l="1"/>
  <c r="M40" i="2"/>
  <c r="M44" i="2"/>
  <c r="N44" i="2" s="1"/>
  <c r="N60" i="2"/>
  <c r="N63" i="2" s="1"/>
  <c r="P61" i="2"/>
  <c r="M47" i="2"/>
  <c r="M39" i="2" l="1"/>
  <c r="M65" i="2" s="1"/>
  <c r="M66" i="2"/>
  <c r="N40" i="2"/>
  <c r="O40" i="2" s="1"/>
  <c r="O39" i="2" s="1"/>
  <c r="O65" i="2" s="1"/>
  <c r="M69" i="2"/>
  <c r="M43" i="2"/>
  <c r="M68" i="2" s="1"/>
  <c r="N69" i="2"/>
  <c r="O44" i="2"/>
  <c r="P44" i="2" s="1"/>
  <c r="N43" i="2"/>
  <c r="N68" i="2" s="1"/>
  <c r="Q30" i="2"/>
  <c r="Q58" i="2" s="1"/>
  <c r="Q57" i="2"/>
  <c r="Q61" i="2"/>
  <c r="M46" i="2"/>
  <c r="M71" i="2" s="1"/>
  <c r="M72" i="2"/>
  <c r="O57" i="2"/>
  <c r="O30" i="2"/>
  <c r="O58" i="2" s="1"/>
  <c r="P30" i="2"/>
  <c r="P58" i="2" s="1"/>
  <c r="P57" i="2"/>
  <c r="N47" i="2"/>
  <c r="O47" i="2" s="1"/>
  <c r="N66" i="2" l="1"/>
  <c r="P40" i="2"/>
  <c r="O66" i="2"/>
  <c r="N39" i="2"/>
  <c r="N65" i="2" s="1"/>
  <c r="M74" i="2"/>
  <c r="O69" i="2"/>
  <c r="P47" i="2"/>
  <c r="Q47" i="2" s="1"/>
  <c r="O43" i="2"/>
  <c r="O68" i="2" s="1"/>
  <c r="P69" i="2"/>
  <c r="P43" i="2"/>
  <c r="P68" i="2" s="1"/>
  <c r="Q44" i="2"/>
  <c r="Q69" i="2" s="1"/>
  <c r="P66" i="2"/>
  <c r="P39" i="2"/>
  <c r="P65" i="2" s="1"/>
  <c r="Q40" i="2"/>
  <c r="Q60" i="2"/>
  <c r="Q63" i="2" s="1"/>
  <c r="P60" i="2"/>
  <c r="P63" i="2" s="1"/>
  <c r="O60" i="2"/>
  <c r="O63" i="2" s="1"/>
  <c r="O46" i="2"/>
  <c r="O71" i="2" s="1"/>
  <c r="O72" i="2"/>
  <c r="N46" i="2"/>
  <c r="N71" i="2" s="1"/>
  <c r="N74" i="2" s="1"/>
  <c r="N72" i="2"/>
  <c r="P46" i="2" l="1"/>
  <c r="P71" i="2" s="1"/>
  <c r="P72" i="2"/>
  <c r="Q43" i="2"/>
  <c r="Q68" i="2" s="1"/>
  <c r="O74" i="2"/>
  <c r="P74" i="2"/>
  <c r="Q72" i="2"/>
  <c r="Q46" i="2"/>
  <c r="Q71" i="2" s="1"/>
  <c r="Q66" i="2"/>
  <c r="Q39" i="2"/>
  <c r="Q65" i="2" s="1"/>
  <c r="Q74" i="2" l="1"/>
  <c r="Q83" i="2" l="1"/>
  <c r="Q86" i="2" s="1"/>
  <c r="Q8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Q84" authorId="0" shapeId="0" xr:uid="{61C226A1-9E00-8545-A3C0-DD047162BD1E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  <comment ref="Q85" authorId="0" shapeId="0" xr:uid="{27529D74-06F0-4F43-B401-3C0BEAB0B9CB}">
      <text>
        <r>
          <rPr>
            <b/>
            <i/>
            <sz val="11"/>
            <rFont val="Aptos Narrow"/>
            <family val="2"/>
            <scheme val="minor"/>
          </rPr>
          <t>Ben Chon:</t>
        </r>
        <r>
          <rPr>
            <b/>
            <i/>
            <sz val="11"/>
            <color theme="1"/>
            <rFont val="Aptos Narrow"/>
            <family val="2"/>
            <scheme val="minor"/>
          </rPr>
          <t xml:space="preserve">
</t>
        </r>
        <r>
          <rPr>
            <b/>
            <i/>
            <sz val="11"/>
            <color theme="1"/>
            <rFont val="Aptos Narrow"/>
            <family val="2"/>
            <scheme val="minor"/>
          </rPr>
          <t>2024 Q2 10Q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F8" authorId="0" shapeId="0" xr:uid="{1E5B6EE4-8158-4E43-9589-7ABAD29D8424}">
      <text>
        <r>
          <rPr>
            <b/>
            <sz val="9"/>
            <color rgb="FF000000"/>
            <rFont val="Tahoma"/>
            <family val="2"/>
          </rPr>
          <t>Ben Chon: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 of 8/30/24</t>
        </r>
      </text>
    </comment>
  </commentList>
</comments>
</file>

<file path=xl/sharedStrings.xml><?xml version="1.0" encoding="utf-8"?>
<sst xmlns="http://schemas.openxmlformats.org/spreadsheetml/2006/main" count="142" uniqueCount="101">
  <si>
    <t>DCF</t>
  </si>
  <si>
    <t>x</t>
  </si>
  <si>
    <t>Ticker</t>
  </si>
  <si>
    <t>Date</t>
  </si>
  <si>
    <t>End of Year</t>
  </si>
  <si>
    <t>Assumptions</t>
  </si>
  <si>
    <t>WACC</t>
  </si>
  <si>
    <t>TGR</t>
  </si>
  <si>
    <t>Financials</t>
  </si>
  <si>
    <t>Revenue</t>
  </si>
  <si>
    <t>% growth</t>
  </si>
  <si>
    <t>Total</t>
  </si>
  <si>
    <t>EBIT</t>
  </si>
  <si>
    <t>% of sales</t>
  </si>
  <si>
    <t>Tax Rate</t>
  </si>
  <si>
    <t>Taxes</t>
  </si>
  <si>
    <t>% tax rate</t>
  </si>
  <si>
    <t>Cash Flow Items</t>
  </si>
  <si>
    <t>D&amp;A</t>
  </si>
  <si>
    <t>% of CapEx</t>
  </si>
  <si>
    <t>CapEx</t>
  </si>
  <si>
    <t>Change in NWC</t>
  </si>
  <si>
    <t>% of change in sales</t>
  </si>
  <si>
    <t>--</t>
  </si>
  <si>
    <t>12/31 FYE</t>
  </si>
  <si>
    <t>EBIAT</t>
  </si>
  <si>
    <t>Unlevered FCF</t>
  </si>
  <si>
    <t>PV of UFCF</t>
  </si>
  <si>
    <t>Stub</t>
  </si>
  <si>
    <t>Discount Period</t>
  </si>
  <si>
    <t>Terminal Value</t>
  </si>
  <si>
    <t>PV of Terminal Value</t>
  </si>
  <si>
    <t>Enterprise Value</t>
  </si>
  <si>
    <t>(+) Cash</t>
  </si>
  <si>
    <t>(-) Debt</t>
  </si>
  <si>
    <t>Equity Value</t>
  </si>
  <si>
    <t>FDSO</t>
  </si>
  <si>
    <t>Implied Share Price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</si>
  <si>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</si>
  <si>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</si>
  <si>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</si>
  <si>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</si>
  <si>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</si>
  <si>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</si>
  <si>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</si>
  <si>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</si>
  <si>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</si>
  <si>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</si>
  <si>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</si>
  <si>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V</t>
  </si>
  <si>
    <t xml:space="preserve">Ticker </t>
  </si>
  <si>
    <t>Share Price</t>
  </si>
  <si>
    <t xml:space="preserve">Shares outstanding </t>
  </si>
  <si>
    <t xml:space="preserve">Market Cap </t>
  </si>
  <si>
    <t xml:space="preserve">Cash </t>
  </si>
  <si>
    <t xml:space="preserve">Debt </t>
  </si>
  <si>
    <t xml:space="preserve">Net EV </t>
  </si>
  <si>
    <t>Price per share</t>
  </si>
  <si>
    <t>in millions</t>
  </si>
  <si>
    <t>Net Operating Revenue</t>
  </si>
  <si>
    <t>Operating Data</t>
  </si>
  <si>
    <t>Operating Expenses:</t>
  </si>
  <si>
    <t xml:space="preserve">General &amp; Admin </t>
  </si>
  <si>
    <t>Total Operating Expenses</t>
  </si>
  <si>
    <t>Operating Income / EBIT</t>
  </si>
  <si>
    <t>Depreciation &amp;. Amoritsation</t>
  </si>
  <si>
    <t>EBITDA</t>
  </si>
  <si>
    <t xml:space="preserve">Interest Expense </t>
  </si>
  <si>
    <t>Other income (expense)</t>
  </si>
  <si>
    <t>Total Non-Operating Income (Expense)</t>
  </si>
  <si>
    <t>Income Before Income Taxes</t>
  </si>
  <si>
    <t>Provision for Income taxes</t>
  </si>
  <si>
    <t xml:space="preserve">Net Income </t>
  </si>
  <si>
    <t xml:space="preserve">Diluted EPS </t>
  </si>
  <si>
    <t xml:space="preserve">Diluted Shares </t>
  </si>
  <si>
    <t>Operating Margin</t>
  </si>
  <si>
    <t xml:space="preserve">Net margin </t>
  </si>
  <si>
    <t xml:space="preserve">Tax Rate </t>
  </si>
  <si>
    <t xml:space="preserve">Accounts Payable </t>
  </si>
  <si>
    <t>Net Revenue</t>
  </si>
  <si>
    <t xml:space="preserve">Personnell </t>
  </si>
  <si>
    <t xml:space="preserve">Marketing </t>
  </si>
  <si>
    <t xml:space="preserve">Network and Processing </t>
  </si>
  <si>
    <t xml:space="preserve">Professional Fees </t>
  </si>
  <si>
    <t xml:space="preserve">Litigation Provision / Other </t>
  </si>
  <si>
    <t xml:space="preserve">Investment Income (expense) and Other </t>
  </si>
  <si>
    <t>CAGR</t>
  </si>
  <si>
    <t>Cash Flow Data</t>
  </si>
  <si>
    <t xml:space="preserve">Operating Activities </t>
  </si>
  <si>
    <t xml:space="preserve">Depreciation &amp; Amortisation </t>
  </si>
  <si>
    <t>Investing Activities</t>
  </si>
  <si>
    <t>Purchase of Prop, Equip, Tech (Capex)</t>
  </si>
  <si>
    <t xml:space="preserve">Change in Operating Assets &amp; Liabilities </t>
  </si>
  <si>
    <t>Settlement Receivable</t>
  </si>
  <si>
    <t xml:space="preserve">Accounts Receivable </t>
  </si>
  <si>
    <t>Client Incentives</t>
  </si>
  <si>
    <t>Other Assets</t>
  </si>
  <si>
    <t>Settlement Payable</t>
  </si>
  <si>
    <t xml:space="preserve">Accrued &amp; Other Liabilities </t>
  </si>
  <si>
    <t xml:space="preserve">Accrued Litigation </t>
  </si>
  <si>
    <t xml:space="preserve">Change in Net Working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</si>
</sst>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&quot;A&quot;"/>
    <numFmt numFmtId="165" formatCode="0&quot;E&quot;"/>
    <numFmt numFmtId="166" formatCode="0%_);\(0%\);@_)"/>
    <numFmt numFmtId="167" formatCode="0.0%"/>
    <numFmt numFmtId="168" formatCode="0.00000%"/>
    <numFmt numFmtId="169" formatCode="[$$-409]#,##0"/>
    <numFmt numFmtId="170" formatCode="[$$-409]#,##0.00"/>
  </numFmts>
  <fonts count="3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rgb="FF0000FF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C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i/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1"/>
      <color theme="0"/>
      <name val="Calibri"/>
      <family val="2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rgb="FFC00000"/>
      <name val="Aptos Narrow"/>
      <family val="2"/>
      <scheme val="minor"/>
    </font>
    <font>
      <b/>
      <sz val="12"/>
      <color rgb="FFC00000"/>
      <name val="Aptos Narrow"/>
      <scheme val="minor"/>
    </font>
    <font>
      <sz val="12"/>
      <color theme="8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5" fillId="3" borderId="0" xfId="0" applyFont="1" applyFill="1"/>
    <xf numFmtId="0" fontId="0" fillId="3" borderId="0" xfId="0" applyFill="1"/>
    <xf numFmtId="0" fontId="5" fillId="4" borderId="0" xfId="0" applyFont="1" applyFill="1"/>
    <xf numFmtId="164" fontId="5" fillId="4" borderId="0" xfId="0" applyNumberFormat="1" applyFont="1" applyFill="1"/>
    <xf numFmtId="165" fontId="5" fillId="4" borderId="0" xfId="0" applyNumberFormat="1" applyFont="1" applyFill="1"/>
    <xf numFmtId="37" fontId="6" fillId="0" borderId="0" xfId="0" applyNumberFormat="1" applyFont="1" applyAlignment="1">
      <alignment horizontal="right"/>
    </xf>
    <xf numFmtId="37" fontId="6" fillId="0" borderId="0" xfId="0" applyNumberFormat="1" applyFont="1"/>
    <xf numFmtId="0" fontId="8" fillId="0" borderId="0" xfId="0" applyFont="1"/>
    <xf numFmtId="166" fontId="10" fillId="0" borderId="0" xfId="1" applyNumberFormat="1" applyFont="1" applyAlignment="1">
      <alignment horizontal="right"/>
    </xf>
    <xf numFmtId="166" fontId="10" fillId="0" borderId="0" xfId="1" applyNumberFormat="1" applyFont="1"/>
    <xf numFmtId="166" fontId="11" fillId="0" borderId="0" xfId="1" applyNumberFormat="1" applyFont="1"/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0" fontId="12" fillId="5" borderId="3" xfId="0" applyFont="1" applyFill="1" applyBorder="1"/>
    <xf numFmtId="3" fontId="12" fillId="5" borderId="4" xfId="0" applyNumberFormat="1" applyFont="1" applyFill="1" applyBorder="1"/>
    <xf numFmtId="3" fontId="12" fillId="5" borderId="5" xfId="0" applyNumberFormat="1" applyFont="1" applyFill="1" applyBorder="1"/>
    <xf numFmtId="0" fontId="13" fillId="5" borderId="6" xfId="0" applyFont="1" applyFill="1" applyBorder="1"/>
    <xf numFmtId="9" fontId="14" fillId="5" borderId="1" xfId="1" applyFont="1" applyFill="1" applyBorder="1" applyAlignment="1">
      <alignment horizontal="right"/>
    </xf>
    <xf numFmtId="9" fontId="14" fillId="5" borderId="1" xfId="1" applyFont="1" applyFill="1" applyBorder="1"/>
    <xf numFmtId="9" fontId="14" fillId="5" borderId="7" xfId="1" applyFont="1" applyFill="1" applyBorder="1"/>
    <xf numFmtId="3" fontId="0" fillId="0" borderId="0" xfId="0" applyNumberFormat="1"/>
    <xf numFmtId="37" fontId="15" fillId="0" borderId="0" xfId="0" applyNumberFormat="1" applyFont="1"/>
    <xf numFmtId="9" fontId="14" fillId="5" borderId="7" xfId="1" applyFont="1" applyFill="1" applyBorder="1" applyAlignment="1">
      <alignment horizontal="right"/>
    </xf>
    <xf numFmtId="166" fontId="11" fillId="0" borderId="0" xfId="0" applyNumberFormat="1" applyFont="1"/>
    <xf numFmtId="37" fontId="15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37" fontId="16" fillId="0" borderId="0" xfId="0" applyNumberFormat="1" applyFont="1" applyAlignment="1">
      <alignment horizontal="right"/>
    </xf>
    <xf numFmtId="166" fontId="17" fillId="0" borderId="0" xfId="1" applyNumberFormat="1" applyFont="1"/>
    <xf numFmtId="37" fontId="18" fillId="0" borderId="0" xfId="0" applyNumberFormat="1" applyFont="1" applyAlignment="1">
      <alignment horizontal="right"/>
    </xf>
    <xf numFmtId="0" fontId="12" fillId="0" borderId="8" xfId="0" applyFont="1" applyBorder="1"/>
    <xf numFmtId="37" fontId="12" fillId="0" borderId="9" xfId="0" applyNumberFormat="1" applyFont="1" applyBorder="1"/>
    <xf numFmtId="37" fontId="12" fillId="0" borderId="10" xfId="0" applyNumberFormat="1" applyFont="1" applyBorder="1"/>
    <xf numFmtId="0" fontId="12" fillId="0" borderId="3" xfId="0" applyFont="1" applyBorder="1"/>
    <xf numFmtId="37" fontId="12" fillId="0" borderId="4" xfId="0" applyNumberFormat="1" applyFont="1" applyBorder="1"/>
    <xf numFmtId="37" fontId="12" fillId="0" borderId="5" xfId="0" applyNumberFormat="1" applyFont="1" applyBorder="1"/>
    <xf numFmtId="0" fontId="12" fillId="0" borderId="6" xfId="0" applyFont="1" applyBorder="1"/>
    <xf numFmtId="0" fontId="12" fillId="0" borderId="1" xfId="0" applyFont="1" applyBorder="1"/>
    <xf numFmtId="37" fontId="12" fillId="0" borderId="1" xfId="0" applyNumberFormat="1" applyFont="1" applyBorder="1"/>
    <xf numFmtId="37" fontId="12" fillId="0" borderId="7" xfId="0" applyNumberFormat="1" applyFont="1" applyBorder="1"/>
    <xf numFmtId="2" fontId="0" fillId="0" borderId="0" xfId="0" applyNumberFormat="1"/>
    <xf numFmtId="0" fontId="5" fillId="6" borderId="0" xfId="0" applyFont="1" applyFill="1"/>
    <xf numFmtId="0" fontId="0" fillId="6" borderId="0" xfId="0" applyFill="1"/>
    <xf numFmtId="16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8" fontId="0" fillId="0" borderId="0" xfId="0" applyNumberFormat="1"/>
    <xf numFmtId="3" fontId="0" fillId="2" borderId="2" xfId="0" applyNumberFormat="1" applyFill="1" applyBorder="1" applyAlignment="1">
      <alignment horizontal="right"/>
    </xf>
    <xf numFmtId="167" fontId="9" fillId="0" borderId="0" xfId="1" applyNumberFormat="1" applyFont="1"/>
    <xf numFmtId="0" fontId="0" fillId="0" borderId="0" xfId="0" applyAlignment="1">
      <alignment horizontal="left"/>
    </xf>
    <xf numFmtId="169" fontId="0" fillId="0" borderId="0" xfId="0" applyNumberFormat="1"/>
    <xf numFmtId="169" fontId="0" fillId="0" borderId="0" xfId="0" applyNumberFormat="1" applyAlignment="1">
      <alignment horizontal="left"/>
    </xf>
    <xf numFmtId="0" fontId="22" fillId="0" borderId="0" xfId="0" applyFont="1"/>
    <xf numFmtId="0" fontId="21" fillId="0" borderId="0" xfId="0" applyFont="1"/>
    <xf numFmtId="0" fontId="0" fillId="0" borderId="11" xfId="0" applyBorder="1"/>
    <xf numFmtId="3" fontId="23" fillId="3" borderId="0" xfId="0" applyNumberFormat="1" applyFont="1" applyFill="1" applyAlignment="1">
      <alignment horizontal="center"/>
    </xf>
    <xf numFmtId="169" fontId="21" fillId="0" borderId="0" xfId="0" applyNumberFormat="1" applyFont="1" applyAlignment="1">
      <alignment horizontal="left"/>
    </xf>
    <xf numFmtId="169" fontId="24" fillId="0" borderId="0" xfId="0" applyNumberFormat="1" applyFont="1" applyAlignment="1">
      <alignment horizontal="left" indent="1"/>
    </xf>
    <xf numFmtId="169" fontId="0" fillId="0" borderId="0" xfId="0" applyNumberFormat="1" applyAlignment="1">
      <alignment horizontal="left" indent="1"/>
    </xf>
    <xf numFmtId="169" fontId="24" fillId="0" borderId="0" xfId="0" applyNumberFormat="1" applyFont="1" applyAlignment="1">
      <alignment horizontal="left"/>
    </xf>
    <xf numFmtId="0" fontId="25" fillId="3" borderId="0" xfId="0" applyFont="1" applyFill="1"/>
    <xf numFmtId="0" fontId="24" fillId="0" borderId="0" xfId="0" applyFont="1"/>
    <xf numFmtId="0" fontId="21" fillId="0" borderId="0" xfId="0" applyFont="1" applyAlignment="1">
      <alignment horizontal="left" indent="1"/>
    </xf>
    <xf numFmtId="0" fontId="24" fillId="0" borderId="0" xfId="0" applyFont="1" applyAlignment="1">
      <alignment horizontal="left"/>
    </xf>
    <xf numFmtId="0" fontId="25" fillId="3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26" fillId="0" borderId="0" xfId="0" applyNumberFormat="1" applyFont="1" applyAlignment="1">
      <alignment horizontal="center"/>
    </xf>
    <xf numFmtId="169" fontId="27" fillId="0" borderId="12" xfId="0" applyNumberFormat="1" applyFont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3" fontId="28" fillId="0" borderId="0" xfId="0" applyNumberFormat="1" applyFont="1"/>
    <xf numFmtId="9" fontId="28" fillId="0" borderId="0" xfId="0" applyNumberFormat="1" applyFont="1"/>
    <xf numFmtId="37" fontId="28" fillId="0" borderId="0" xfId="0" applyNumberFormat="1" applyFont="1"/>
    <xf numFmtId="166" fontId="0" fillId="0" borderId="0" xfId="0" applyNumberFormat="1"/>
    <xf numFmtId="166" fontId="28" fillId="0" borderId="0" xfId="0" applyNumberFormat="1" applyFont="1"/>
    <xf numFmtId="3" fontId="12" fillId="0" borderId="9" xfId="0" applyNumberFormat="1" applyFont="1" applyBorder="1"/>
    <xf numFmtId="3" fontId="12" fillId="0" borderId="4" xfId="0" applyNumberFormat="1" applyFont="1" applyBorder="1"/>
    <xf numFmtId="3" fontId="12" fillId="0" borderId="1" xfId="0" applyNumberFormat="1" applyFont="1" applyBorder="1"/>
    <xf numFmtId="0" fontId="0" fillId="0" borderId="7" xfId="0" applyBorder="1"/>
    <xf numFmtId="0" fontId="0" fillId="2" borderId="13" xfId="0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0" fillId="3" borderId="11" xfId="0" applyFill="1" applyBorder="1"/>
    <xf numFmtId="10" fontId="6" fillId="2" borderId="13" xfId="0" applyNumberFormat="1" applyFont="1" applyFill="1" applyBorder="1" applyAlignment="1">
      <alignment horizontal="center"/>
    </xf>
    <xf numFmtId="10" fontId="7" fillId="2" borderId="13" xfId="0" applyNumberFormat="1" applyFont="1" applyFill="1" applyBorder="1" applyAlignment="1">
      <alignment horizontal="center"/>
    </xf>
    <xf numFmtId="165" fontId="5" fillId="4" borderId="11" xfId="0" applyNumberFormat="1" applyFont="1" applyFill="1" applyBorder="1"/>
    <xf numFmtId="3" fontId="6" fillId="0" borderId="11" xfId="0" applyNumberFormat="1" applyFont="1" applyBorder="1"/>
    <xf numFmtId="37" fontId="6" fillId="0" borderId="11" xfId="0" applyNumberFormat="1" applyFont="1" applyBorder="1" applyAlignment="1">
      <alignment horizontal="right"/>
    </xf>
    <xf numFmtId="166" fontId="10" fillId="0" borderId="11" xfId="1" applyNumberFormat="1" applyFont="1" applyBorder="1"/>
    <xf numFmtId="3" fontId="0" fillId="0" borderId="11" xfId="0" applyNumberFormat="1" applyBorder="1"/>
    <xf numFmtId="37" fontId="6" fillId="0" borderId="11" xfId="0" applyNumberFormat="1" applyFont="1" applyBorder="1"/>
    <xf numFmtId="3" fontId="28" fillId="0" borderId="11" xfId="0" applyNumberFormat="1" applyFont="1" applyBorder="1"/>
    <xf numFmtId="9" fontId="28" fillId="0" borderId="11" xfId="0" applyNumberFormat="1" applyFont="1" applyBorder="1"/>
    <xf numFmtId="37" fontId="28" fillId="0" borderId="11" xfId="0" applyNumberFormat="1" applyFont="1" applyBorder="1"/>
    <xf numFmtId="166" fontId="28" fillId="0" borderId="11" xfId="0" applyNumberFormat="1" applyFont="1" applyBorder="1"/>
    <xf numFmtId="3" fontId="12" fillId="0" borderId="10" xfId="0" applyNumberFormat="1" applyFont="1" applyBorder="1"/>
    <xf numFmtId="3" fontId="12" fillId="0" borderId="5" xfId="0" applyNumberFormat="1" applyFont="1" applyBorder="1"/>
    <xf numFmtId="2" fontId="0" fillId="0" borderId="11" xfId="0" applyNumberFormat="1" applyBorder="1"/>
    <xf numFmtId="3" fontId="15" fillId="0" borderId="0" xfId="0" applyNumberFormat="1" applyFont="1"/>
    <xf numFmtId="9" fontId="13" fillId="5" borderId="1" xfId="1" applyFont="1" applyFill="1" applyBorder="1"/>
    <xf numFmtId="9" fontId="13" fillId="5" borderId="7" xfId="1" applyFont="1" applyFill="1" applyBorder="1"/>
    <xf numFmtId="169" fontId="18" fillId="0" borderId="0" xfId="0" applyNumberFormat="1" applyFont="1" applyAlignment="1">
      <alignment horizontal="right"/>
    </xf>
    <xf numFmtId="169" fontId="29" fillId="0" borderId="0" xfId="0" applyNumberFormat="1" applyFont="1"/>
    <xf numFmtId="170" fontId="0" fillId="7" borderId="14" xfId="0" applyNumberForma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559E-1ED1-6E4A-827D-EF1A42B76BDA}">
  <dimension ref="B3:D10"/>
  <sheetViews>
    <sheetView showGridLines="0" workbookViewId="0">
      <selection activeCell="F16" sqref="F16"/>
    </sheetView>
  </sheetViews>
  <sheetFormatPr baseColWidth="10" defaultRowHeight="16" x14ac:dyDescent="0.2"/>
  <cols>
    <col min="2" max="2" width="17" bestFit="1" customWidth="1"/>
    <col min="3" max="3" width="15.6640625" bestFit="1" customWidth="1"/>
  </cols>
  <sheetData>
    <row r="3" spans="2:4" x14ac:dyDescent="0.2">
      <c r="B3" s="59" t="s">
        <v>50</v>
      </c>
      <c r="C3" s="4" t="s">
        <v>49</v>
      </c>
    </row>
    <row r="4" spans="2:4" x14ac:dyDescent="0.2">
      <c r="B4" s="59" t="s">
        <v>51</v>
      </c>
      <c r="C4" s="4">
        <v>318.66000000000003</v>
      </c>
    </row>
    <row r="5" spans="2:4" x14ac:dyDescent="0.2">
      <c r="B5" s="59" t="s">
        <v>52</v>
      </c>
      <c r="C5" s="70">
        <v>1728</v>
      </c>
      <c r="D5" s="57" t="s">
        <v>58</v>
      </c>
    </row>
    <row r="6" spans="2:4" x14ac:dyDescent="0.2">
      <c r="B6" s="59" t="s">
        <v>53</v>
      </c>
      <c r="C6" s="71">
        <f>C4*C5</f>
        <v>550644.4800000001</v>
      </c>
      <c r="D6" s="57" t="s">
        <v>58</v>
      </c>
    </row>
    <row r="7" spans="2:4" x14ac:dyDescent="0.2">
      <c r="B7" s="59" t="s">
        <v>54</v>
      </c>
      <c r="C7" s="4">
        <v>11975</v>
      </c>
      <c r="D7" s="57" t="s">
        <v>58</v>
      </c>
    </row>
    <row r="8" spans="2:4" x14ac:dyDescent="0.2">
      <c r="B8" s="59" t="s">
        <v>55</v>
      </c>
      <c r="C8" s="4">
        <v>20836</v>
      </c>
      <c r="D8" s="57" t="s">
        <v>58</v>
      </c>
    </row>
    <row r="9" spans="2:4" x14ac:dyDescent="0.2">
      <c r="B9" s="59" t="s">
        <v>56</v>
      </c>
      <c r="C9" s="71">
        <f>C6+C8-C7</f>
        <v>559505.4800000001</v>
      </c>
      <c r="D9" s="57" t="s">
        <v>58</v>
      </c>
    </row>
    <row r="10" spans="2:4" x14ac:dyDescent="0.2">
      <c r="B10" s="59" t="s">
        <v>57</v>
      </c>
      <c r="C10" s="72">
        <f>C9/C5</f>
        <v>323.78789351851856</v>
      </c>
      <c r="D10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A708-86FB-6542-B5DA-327378B3487D}">
  <dimension ref="A2:S89"/>
  <sheetViews>
    <sheetView showGridLines="0" tabSelected="1" topLeftCell="A5" workbookViewId="0">
      <selection activeCell="K84" sqref="K84"/>
    </sheetView>
  </sheetViews>
  <sheetFormatPr baseColWidth="10" defaultColWidth="15.5" defaultRowHeight="16" outlineLevelCol="1" x14ac:dyDescent="0.2"/>
  <cols>
    <col min="1" max="1" width="3.5" style="4" customWidth="1"/>
    <col min="2" max="2" width="20" bestFit="1" customWidth="1"/>
    <col min="3" max="11" width="15.5" customWidth="1" outlineLevel="1"/>
    <col min="12" max="12" width="15.5" style="59"/>
  </cols>
  <sheetData>
    <row r="2" spans="1:17" s="3" customFormat="1" ht="22" x14ac:dyDescent="0.3">
      <c r="A2" s="1"/>
      <c r="B2" s="2" t="s">
        <v>0</v>
      </c>
      <c r="L2" s="86"/>
    </row>
    <row r="4" spans="1:17" x14ac:dyDescent="0.2">
      <c r="A4" s="4" t="s">
        <v>1</v>
      </c>
      <c r="B4" t="s">
        <v>2</v>
      </c>
      <c r="L4" s="87" t="s">
        <v>49</v>
      </c>
    </row>
    <row r="5" spans="1:17" x14ac:dyDescent="0.2">
      <c r="B5" t="s">
        <v>3</v>
      </c>
      <c r="L5" s="88">
        <v>45656</v>
      </c>
    </row>
    <row r="6" spans="1:17" x14ac:dyDescent="0.2">
      <c r="B6" t="s">
        <v>4</v>
      </c>
      <c r="L6" s="88">
        <v>45565</v>
      </c>
    </row>
    <row r="8" spans="1:17" x14ac:dyDescent="0.2">
      <c r="A8" s="4" t="s">
        <v>1</v>
      </c>
      <c r="B8" s="5" t="s">
        <v>5</v>
      </c>
      <c r="C8" s="6"/>
      <c r="D8" s="6"/>
      <c r="E8" s="6"/>
      <c r="F8" s="6"/>
      <c r="G8" s="6"/>
      <c r="H8" s="6"/>
      <c r="I8" s="6"/>
      <c r="J8" s="6"/>
      <c r="K8" s="6"/>
      <c r="L8" s="89"/>
      <c r="M8" s="6"/>
      <c r="N8" s="6"/>
      <c r="O8" s="6"/>
      <c r="P8" s="6"/>
      <c r="Q8" s="6"/>
    </row>
    <row r="9" spans="1:17" ht="5" customHeight="1" x14ac:dyDescent="0.2"/>
    <row r="10" spans="1:17" x14ac:dyDescent="0.2">
      <c r="B10" t="s">
        <v>6</v>
      </c>
      <c r="L10" s="90">
        <f>WACC!F22</f>
        <v>8.4895539517990184E-2</v>
      </c>
    </row>
    <row r="11" spans="1:17" x14ac:dyDescent="0.2">
      <c r="B11" t="s">
        <v>7</v>
      </c>
      <c r="L11" s="91">
        <v>2.5000000000000001E-2</v>
      </c>
    </row>
    <row r="13" spans="1:17" x14ac:dyDescent="0.2">
      <c r="A13" s="4" t="s">
        <v>1</v>
      </c>
      <c r="B13" s="5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89"/>
      <c r="M13" s="6"/>
      <c r="N13" s="6"/>
      <c r="O13" s="6"/>
      <c r="P13" s="6"/>
      <c r="Q13" s="6"/>
    </row>
    <row r="14" spans="1:17" ht="5" customHeight="1" x14ac:dyDescent="0.2"/>
    <row r="15" spans="1:17" x14ac:dyDescent="0.2">
      <c r="A15" s="4" t="s">
        <v>1</v>
      </c>
      <c r="B15" s="7" t="s">
        <v>9</v>
      </c>
      <c r="C15" s="8">
        <v>2015</v>
      </c>
      <c r="D15" s="8">
        <f t="shared" ref="D15:Q15" si="0">C15+1</f>
        <v>2016</v>
      </c>
      <c r="E15" s="8">
        <f t="shared" si="0"/>
        <v>2017</v>
      </c>
      <c r="F15" s="8">
        <f t="shared" si="0"/>
        <v>2018</v>
      </c>
      <c r="G15" s="8">
        <f t="shared" si="0"/>
        <v>2019</v>
      </c>
      <c r="H15" s="8">
        <f t="shared" si="0"/>
        <v>2020</v>
      </c>
      <c r="I15" s="8">
        <f t="shared" si="0"/>
        <v>2021</v>
      </c>
      <c r="J15" s="8">
        <f t="shared" si="0"/>
        <v>2022</v>
      </c>
      <c r="K15" s="8">
        <f t="shared" si="0"/>
        <v>2023</v>
      </c>
      <c r="L15" s="92">
        <f t="shared" si="0"/>
        <v>2024</v>
      </c>
      <c r="M15" s="9">
        <f t="shared" si="0"/>
        <v>2025</v>
      </c>
      <c r="N15" s="9">
        <f t="shared" si="0"/>
        <v>2026</v>
      </c>
      <c r="O15" s="9">
        <f t="shared" si="0"/>
        <v>2027</v>
      </c>
      <c r="P15" s="9">
        <f t="shared" si="0"/>
        <v>2028</v>
      </c>
      <c r="Q15" s="9">
        <f t="shared" si="0"/>
        <v>2029</v>
      </c>
    </row>
    <row r="16" spans="1:17" ht="5" customHeight="1" x14ac:dyDescent="0.2"/>
    <row r="17" spans="1:18" x14ac:dyDescent="0.2">
      <c r="C17" s="16"/>
      <c r="D17" s="17"/>
      <c r="E17" s="17"/>
      <c r="F17" s="17"/>
      <c r="G17" s="17"/>
      <c r="H17" s="17"/>
      <c r="I17" s="17"/>
      <c r="J17" s="17"/>
      <c r="K17" s="17"/>
      <c r="L17" s="93"/>
      <c r="M17" s="17"/>
      <c r="N17" s="17"/>
      <c r="O17" s="17"/>
      <c r="P17" s="17"/>
      <c r="Q17" s="17"/>
    </row>
    <row r="18" spans="1:18" x14ac:dyDescent="0.2">
      <c r="B18" t="s">
        <v>59</v>
      </c>
      <c r="C18" s="10">
        <f>'Historical Data'!C7</f>
        <v>13880</v>
      </c>
      <c r="D18" s="10">
        <f>'Historical Data'!D7</f>
        <v>15082</v>
      </c>
      <c r="E18" s="10">
        <f>'Historical Data'!E7</f>
        <v>18358</v>
      </c>
      <c r="F18" s="10">
        <f>'Historical Data'!F7</f>
        <v>20609</v>
      </c>
      <c r="G18" s="10">
        <f>'Historical Data'!G7</f>
        <v>22977</v>
      </c>
      <c r="H18" s="10">
        <f>'Historical Data'!H7</f>
        <v>21846</v>
      </c>
      <c r="I18" s="10">
        <f>'Historical Data'!I7</f>
        <v>24105</v>
      </c>
      <c r="J18" s="10">
        <f>'Historical Data'!J7</f>
        <v>29310</v>
      </c>
      <c r="K18" s="10">
        <f>'Historical Data'!K7</f>
        <v>32653</v>
      </c>
      <c r="L18" s="94">
        <f>'Historical Data'!L7</f>
        <v>35926</v>
      </c>
      <c r="M18" s="26">
        <f>L18*1.11</f>
        <v>39877.86</v>
      </c>
      <c r="N18" s="26">
        <f t="shared" ref="N18" si="1">M18*1.11</f>
        <v>44264.424600000006</v>
      </c>
      <c r="O18" s="26">
        <f>N18*1.09</f>
        <v>48248.222814000008</v>
      </c>
      <c r="P18" s="26">
        <f>O18*1.08</f>
        <v>52108.080639120009</v>
      </c>
      <c r="Q18" s="26">
        <f>P18*1.05</f>
        <v>54713.48467107601</v>
      </c>
    </row>
    <row r="19" spans="1:18" x14ac:dyDescent="0.2">
      <c r="B19" s="12" t="s">
        <v>10</v>
      </c>
      <c r="C19" s="13" t="str">
        <f>IF(ISERROR(C18/B18-1),"--",C18/B18-1)</f>
        <v>--</v>
      </c>
      <c r="D19" s="14">
        <f>IF(ISERROR(D18/C18-1),"--",D18/C18-1)</f>
        <v>8.6599423631123829E-2</v>
      </c>
      <c r="E19" s="14">
        <f t="shared" ref="E19:Q19" si="2">IF(ISERROR(E18/D18-1),"--",E18/D18-1)</f>
        <v>0.21721257127701898</v>
      </c>
      <c r="F19" s="14">
        <f t="shared" si="2"/>
        <v>0.12261684279333251</v>
      </c>
      <c r="G19" s="14">
        <f t="shared" si="2"/>
        <v>0.1149012567324954</v>
      </c>
      <c r="H19" s="14">
        <f t="shared" si="2"/>
        <v>-4.92231361796579E-2</v>
      </c>
      <c r="I19" s="14">
        <f t="shared" si="2"/>
        <v>0.10340565778632249</v>
      </c>
      <c r="J19" s="14">
        <f t="shared" si="2"/>
        <v>0.21593030491599263</v>
      </c>
      <c r="K19" s="14">
        <f t="shared" si="2"/>
        <v>0.11405663596042315</v>
      </c>
      <c r="L19" s="95">
        <f t="shared" si="2"/>
        <v>0.10023581294214923</v>
      </c>
      <c r="M19" s="15">
        <f t="shared" si="2"/>
        <v>0.1100000000000001</v>
      </c>
      <c r="N19" s="15">
        <f t="shared" si="2"/>
        <v>0.1100000000000001</v>
      </c>
      <c r="O19" s="15">
        <f t="shared" si="2"/>
        <v>9.000000000000008E-2</v>
      </c>
      <c r="P19" s="15">
        <f t="shared" si="2"/>
        <v>8.0000000000000071E-2</v>
      </c>
      <c r="Q19" s="15">
        <f t="shared" si="2"/>
        <v>5.0000000000000044E-2</v>
      </c>
    </row>
    <row r="20" spans="1:18" x14ac:dyDescent="0.2">
      <c r="C20" s="17"/>
      <c r="D20" s="17"/>
      <c r="E20" s="17"/>
      <c r="F20" s="17"/>
      <c r="G20" s="17"/>
      <c r="H20" s="17"/>
      <c r="I20" s="17"/>
      <c r="J20" s="17"/>
      <c r="K20" s="17"/>
      <c r="L20" s="93"/>
      <c r="M20" s="105"/>
      <c r="N20" s="105"/>
      <c r="O20" s="105"/>
      <c r="P20" s="105"/>
      <c r="Q20" s="105"/>
    </row>
    <row r="21" spans="1:18" x14ac:dyDescent="0.2">
      <c r="B21" s="18" t="s">
        <v>11</v>
      </c>
      <c r="C21" s="19">
        <f>C18</f>
        <v>13880</v>
      </c>
      <c r="D21" s="19">
        <f t="shared" ref="D21:Q21" si="3">D18</f>
        <v>15082</v>
      </c>
      <c r="E21" s="19">
        <f t="shared" si="3"/>
        <v>18358</v>
      </c>
      <c r="F21" s="19">
        <f t="shared" si="3"/>
        <v>20609</v>
      </c>
      <c r="G21" s="19">
        <f t="shared" si="3"/>
        <v>22977</v>
      </c>
      <c r="H21" s="19">
        <f t="shared" si="3"/>
        <v>21846</v>
      </c>
      <c r="I21" s="19">
        <f t="shared" si="3"/>
        <v>24105</v>
      </c>
      <c r="J21" s="19">
        <f t="shared" si="3"/>
        <v>29310</v>
      </c>
      <c r="K21" s="19">
        <f t="shared" si="3"/>
        <v>32653</v>
      </c>
      <c r="L21" s="20">
        <f t="shared" si="3"/>
        <v>35926</v>
      </c>
      <c r="M21" s="19">
        <f t="shared" si="3"/>
        <v>39877.86</v>
      </c>
      <c r="N21" s="19">
        <f t="shared" si="3"/>
        <v>44264.424600000006</v>
      </c>
      <c r="O21" s="19">
        <f t="shared" si="3"/>
        <v>48248.222814000008</v>
      </c>
      <c r="P21" s="19">
        <f t="shared" si="3"/>
        <v>52108.080639120009</v>
      </c>
      <c r="Q21" s="19">
        <f t="shared" si="3"/>
        <v>54713.48467107601</v>
      </c>
    </row>
    <row r="22" spans="1:18" x14ac:dyDescent="0.2">
      <c r="B22" s="21" t="s">
        <v>10</v>
      </c>
      <c r="C22" s="22" t="str">
        <f>IF(ISERROR(C21/B21-1),"--",C21/B21-1)</f>
        <v>--</v>
      </c>
      <c r="D22" s="23">
        <f>IF(ISERROR(D21/C21-1),"--",D21/C21-1)</f>
        <v>8.6599423631123829E-2</v>
      </c>
      <c r="E22" s="23">
        <f t="shared" ref="E22:Q22" si="4">IF(ISERROR(E21/D21-1),"--",E21/D21-1)</f>
        <v>0.21721257127701898</v>
      </c>
      <c r="F22" s="23">
        <f t="shared" si="4"/>
        <v>0.12261684279333251</v>
      </c>
      <c r="G22" s="23">
        <f t="shared" si="4"/>
        <v>0.1149012567324954</v>
      </c>
      <c r="H22" s="23">
        <f t="shared" si="4"/>
        <v>-4.92231361796579E-2</v>
      </c>
      <c r="I22" s="23">
        <f t="shared" si="4"/>
        <v>0.10340565778632249</v>
      </c>
      <c r="J22" s="23">
        <f t="shared" si="4"/>
        <v>0.21593030491599263</v>
      </c>
      <c r="K22" s="23">
        <f t="shared" si="4"/>
        <v>0.11405663596042315</v>
      </c>
      <c r="L22" s="24">
        <f t="shared" si="4"/>
        <v>0.10023581294214923</v>
      </c>
      <c r="M22" s="106">
        <f t="shared" si="4"/>
        <v>0.1100000000000001</v>
      </c>
      <c r="N22" s="106">
        <f t="shared" si="4"/>
        <v>0.1100000000000001</v>
      </c>
      <c r="O22" s="106">
        <f t="shared" si="4"/>
        <v>9.000000000000008E-2</v>
      </c>
      <c r="P22" s="106">
        <f t="shared" si="4"/>
        <v>8.0000000000000071E-2</v>
      </c>
      <c r="Q22" s="107">
        <f t="shared" si="4"/>
        <v>5.0000000000000044E-2</v>
      </c>
    </row>
    <row r="23" spans="1:18" x14ac:dyDescent="0.2">
      <c r="C23" s="25"/>
      <c r="D23" s="25"/>
      <c r="E23" s="25"/>
      <c r="F23" s="25"/>
      <c r="G23" s="25"/>
      <c r="H23" s="25"/>
      <c r="I23" s="25"/>
      <c r="J23" s="25"/>
      <c r="K23" s="25"/>
      <c r="L23" s="96"/>
      <c r="M23" s="25"/>
    </row>
    <row r="24" spans="1:18" x14ac:dyDescent="0.2">
      <c r="A24" s="4" t="s">
        <v>1</v>
      </c>
      <c r="B24" s="7" t="s">
        <v>12</v>
      </c>
      <c r="C24" s="8">
        <v>2015</v>
      </c>
      <c r="D24" s="8">
        <v>2016</v>
      </c>
      <c r="E24" s="8">
        <v>2017</v>
      </c>
      <c r="F24" s="8">
        <v>2018</v>
      </c>
      <c r="G24" s="8">
        <v>2019</v>
      </c>
      <c r="H24" s="8">
        <v>2020</v>
      </c>
      <c r="I24" s="8">
        <v>2021</v>
      </c>
      <c r="J24" s="8">
        <v>2022</v>
      </c>
      <c r="K24" s="8">
        <v>2023</v>
      </c>
      <c r="L24" s="92">
        <v>2024</v>
      </c>
      <c r="M24" s="9">
        <v>2025</v>
      </c>
      <c r="N24" s="9">
        <v>2026</v>
      </c>
      <c r="O24" s="9">
        <v>2027</v>
      </c>
      <c r="P24" s="9">
        <v>2028</v>
      </c>
      <c r="Q24" s="9">
        <v>2029</v>
      </c>
    </row>
    <row r="25" spans="1:18" ht="5" customHeight="1" x14ac:dyDescent="0.2"/>
    <row r="26" spans="1:18" x14ac:dyDescent="0.2">
      <c r="B26" t="s">
        <v>12</v>
      </c>
      <c r="C26" s="11">
        <f>'Historical Data'!C18</f>
        <v>9064</v>
      </c>
      <c r="D26" s="11">
        <f>'Historical Data'!D18</f>
        <v>7883</v>
      </c>
      <c r="E26" s="11">
        <f>'Historical Data'!E18</f>
        <v>12144</v>
      </c>
      <c r="F26" s="11">
        <f>'Historical Data'!F18</f>
        <v>12954</v>
      </c>
      <c r="G26" s="11">
        <f>'Historical Data'!G18</f>
        <v>15001</v>
      </c>
      <c r="H26" s="11">
        <f>'Historical Data'!H18</f>
        <v>14081</v>
      </c>
      <c r="I26" s="11">
        <f>'Historical Data'!I18</f>
        <v>15804</v>
      </c>
      <c r="J26" s="11">
        <f>'Historical Data'!J18</f>
        <v>18813</v>
      </c>
      <c r="K26" s="11">
        <f>'Historical Data'!K18</f>
        <v>21000</v>
      </c>
      <c r="L26" s="97">
        <f>'Historical Data'!L18</f>
        <v>23595</v>
      </c>
      <c r="M26" s="26">
        <f>M18*0.64</f>
        <v>25521.830400000003</v>
      </c>
      <c r="N26" s="26">
        <f t="shared" ref="N26:Q26" si="5">N18*0.64</f>
        <v>28329.231744000004</v>
      </c>
      <c r="O26" s="26">
        <f t="shared" si="5"/>
        <v>30878.862600960005</v>
      </c>
      <c r="P26" s="26">
        <f t="shared" si="5"/>
        <v>33349.171609036806</v>
      </c>
      <c r="Q26" s="26">
        <f t="shared" si="5"/>
        <v>35016.630189488649</v>
      </c>
    </row>
    <row r="27" spans="1:18" x14ac:dyDescent="0.2">
      <c r="B27" s="12" t="s">
        <v>13</v>
      </c>
      <c r="C27" s="14">
        <f t="shared" ref="C27:Q27" si="6">C26/C18</f>
        <v>0.65302593659942365</v>
      </c>
      <c r="D27" s="14">
        <f t="shared" si="6"/>
        <v>0.52267603766078774</v>
      </c>
      <c r="E27" s="14">
        <f t="shared" si="6"/>
        <v>0.66150996840614451</v>
      </c>
      <c r="F27" s="14">
        <f t="shared" si="6"/>
        <v>0.62856033771653164</v>
      </c>
      <c r="G27" s="14">
        <f t="shared" si="6"/>
        <v>0.65287026156591377</v>
      </c>
      <c r="H27" s="14">
        <f t="shared" si="6"/>
        <v>0.64455735603771858</v>
      </c>
      <c r="I27" s="14">
        <f t="shared" si="6"/>
        <v>0.65563161169881767</v>
      </c>
      <c r="J27" s="14">
        <f t="shared" si="6"/>
        <v>0.64186284544524053</v>
      </c>
      <c r="K27" s="14">
        <f t="shared" si="6"/>
        <v>0.64312620586163594</v>
      </c>
      <c r="L27" s="95">
        <f t="shared" si="6"/>
        <v>0.65676668707899566</v>
      </c>
      <c r="M27" s="15">
        <f t="shared" si="6"/>
        <v>0.64</v>
      </c>
      <c r="N27" s="15">
        <f t="shared" si="6"/>
        <v>0.64</v>
      </c>
      <c r="O27" s="15">
        <f t="shared" si="6"/>
        <v>0.64</v>
      </c>
      <c r="P27" s="15">
        <f t="shared" si="6"/>
        <v>0.64</v>
      </c>
      <c r="Q27" s="15">
        <f t="shared" si="6"/>
        <v>0.64</v>
      </c>
    </row>
    <row r="28" spans="1:18" x14ac:dyDescent="0.2">
      <c r="C28" s="17"/>
      <c r="D28" s="17"/>
      <c r="E28" s="17"/>
      <c r="F28" s="17"/>
      <c r="G28" s="17"/>
      <c r="H28" s="17"/>
      <c r="I28" s="17"/>
      <c r="J28" s="17"/>
      <c r="K28" s="17"/>
      <c r="L28" s="93"/>
      <c r="M28" s="17"/>
      <c r="N28" s="17"/>
      <c r="O28" s="17"/>
      <c r="P28" s="17"/>
      <c r="Q28" s="17"/>
    </row>
    <row r="29" spans="1:18" x14ac:dyDescent="0.2">
      <c r="B29" s="18" t="s">
        <v>11</v>
      </c>
      <c r="C29" s="19">
        <f>C26</f>
        <v>9064</v>
      </c>
      <c r="D29" s="19">
        <f t="shared" ref="D29:Q29" si="7">D26</f>
        <v>7883</v>
      </c>
      <c r="E29" s="19">
        <f t="shared" si="7"/>
        <v>12144</v>
      </c>
      <c r="F29" s="19">
        <f t="shared" si="7"/>
        <v>12954</v>
      </c>
      <c r="G29" s="19">
        <f t="shared" si="7"/>
        <v>15001</v>
      </c>
      <c r="H29" s="19">
        <f t="shared" si="7"/>
        <v>14081</v>
      </c>
      <c r="I29" s="19">
        <f t="shared" si="7"/>
        <v>15804</v>
      </c>
      <c r="J29" s="19">
        <f t="shared" si="7"/>
        <v>18813</v>
      </c>
      <c r="K29" s="19">
        <f t="shared" si="7"/>
        <v>21000</v>
      </c>
      <c r="L29" s="20">
        <f t="shared" si="7"/>
        <v>23595</v>
      </c>
      <c r="M29" s="19">
        <f t="shared" si="7"/>
        <v>25521.830400000003</v>
      </c>
      <c r="N29" s="19">
        <f t="shared" si="7"/>
        <v>28329.231744000004</v>
      </c>
      <c r="O29" s="19">
        <f t="shared" si="7"/>
        <v>30878.862600960005</v>
      </c>
      <c r="P29" s="19">
        <f t="shared" si="7"/>
        <v>33349.171609036806</v>
      </c>
      <c r="Q29" s="19">
        <f t="shared" si="7"/>
        <v>35016.630189488649</v>
      </c>
    </row>
    <row r="30" spans="1:18" x14ac:dyDescent="0.2">
      <c r="B30" s="21" t="s">
        <v>13</v>
      </c>
      <c r="C30" s="22">
        <f t="shared" ref="C30:Q30" si="8">C29/C21</f>
        <v>0.65302593659942365</v>
      </c>
      <c r="D30" s="22">
        <f t="shared" si="8"/>
        <v>0.52267603766078774</v>
      </c>
      <c r="E30" s="22">
        <f t="shared" si="8"/>
        <v>0.66150996840614451</v>
      </c>
      <c r="F30" s="22">
        <f t="shared" si="8"/>
        <v>0.62856033771653164</v>
      </c>
      <c r="G30" s="22">
        <f t="shared" si="8"/>
        <v>0.65287026156591377</v>
      </c>
      <c r="H30" s="22">
        <f t="shared" si="8"/>
        <v>0.64455735603771858</v>
      </c>
      <c r="I30" s="22">
        <f t="shared" si="8"/>
        <v>0.65563161169881767</v>
      </c>
      <c r="J30" s="22">
        <f t="shared" si="8"/>
        <v>0.64186284544524053</v>
      </c>
      <c r="K30" s="22">
        <f t="shared" si="8"/>
        <v>0.64312620586163594</v>
      </c>
      <c r="L30" s="27">
        <f t="shared" si="8"/>
        <v>0.65676668707899566</v>
      </c>
      <c r="M30" s="22">
        <f t="shared" si="8"/>
        <v>0.64</v>
      </c>
      <c r="N30" s="22">
        <f t="shared" si="8"/>
        <v>0.64</v>
      </c>
      <c r="O30" s="22">
        <f t="shared" si="8"/>
        <v>0.64</v>
      </c>
      <c r="P30" s="22">
        <f t="shared" si="8"/>
        <v>0.64</v>
      </c>
      <c r="Q30" s="27">
        <f t="shared" si="8"/>
        <v>0.64</v>
      </c>
      <c r="R30" s="76"/>
    </row>
    <row r="32" spans="1:18" x14ac:dyDescent="0.2">
      <c r="A32" s="4" t="s">
        <v>1</v>
      </c>
      <c r="B32" s="7" t="s">
        <v>14</v>
      </c>
      <c r="C32" s="8">
        <v>2015</v>
      </c>
      <c r="D32" s="8">
        <v>2016</v>
      </c>
      <c r="E32" s="8">
        <v>2017</v>
      </c>
      <c r="F32" s="8">
        <v>2018</v>
      </c>
      <c r="G32" s="8">
        <v>2019</v>
      </c>
      <c r="H32" s="8">
        <v>2020</v>
      </c>
      <c r="I32" s="8">
        <v>2021</v>
      </c>
      <c r="J32" s="8">
        <v>2022</v>
      </c>
      <c r="K32" s="8">
        <v>2023</v>
      </c>
      <c r="L32" s="92">
        <v>2024</v>
      </c>
      <c r="M32" s="9">
        <v>2025</v>
      </c>
      <c r="N32" s="9">
        <v>2026</v>
      </c>
      <c r="O32" s="9">
        <v>2027</v>
      </c>
      <c r="P32" s="9">
        <v>2028</v>
      </c>
      <c r="Q32" s="9">
        <v>2029</v>
      </c>
    </row>
    <row r="33" spans="1:19" ht="5" customHeight="1" x14ac:dyDescent="0.2"/>
    <row r="34" spans="1:19" x14ac:dyDescent="0.2">
      <c r="B34" t="s">
        <v>15</v>
      </c>
      <c r="C34" s="11">
        <f>'Historical Data'!C28</f>
        <v>2667</v>
      </c>
      <c r="D34" s="11">
        <f>'Historical Data'!D28</f>
        <v>2021</v>
      </c>
      <c r="E34" s="11">
        <f>'Historical Data'!E28</f>
        <v>4995</v>
      </c>
      <c r="F34" s="11">
        <f>'Historical Data'!F28</f>
        <v>2505</v>
      </c>
      <c r="G34" s="11">
        <f>'Historical Data'!G28</f>
        <v>2804</v>
      </c>
      <c r="H34" s="11">
        <f>'Historical Data'!H28</f>
        <v>2924</v>
      </c>
      <c r="I34" s="11">
        <f>'Historical Data'!I28</f>
        <v>3752</v>
      </c>
      <c r="J34" s="11">
        <f>'Historical Data'!J28</f>
        <v>3179</v>
      </c>
      <c r="K34" s="11">
        <f>'Historical Data'!K28</f>
        <v>3764</v>
      </c>
      <c r="L34" s="97">
        <f>'Historical Data'!L28</f>
        <v>4173</v>
      </c>
      <c r="M34" s="26">
        <f>M26*0.21</f>
        <v>5359.5843840000007</v>
      </c>
      <c r="N34" s="26">
        <f t="shared" ref="N34:Q34" si="9">N26*0.21</f>
        <v>5949.1386662400009</v>
      </c>
      <c r="O34" s="26">
        <f t="shared" si="9"/>
        <v>6484.5611462016004</v>
      </c>
      <c r="P34" s="26">
        <f t="shared" si="9"/>
        <v>7003.3260378977293</v>
      </c>
      <c r="Q34" s="26">
        <f t="shared" si="9"/>
        <v>7353.4923397926159</v>
      </c>
    </row>
    <row r="35" spans="1:19" x14ac:dyDescent="0.2">
      <c r="B35" s="12" t="s">
        <v>16</v>
      </c>
      <c r="C35" s="14">
        <f>'Historical Data'!C36</f>
        <v>0.29649805447470817</v>
      </c>
      <c r="D35" s="14">
        <f>'Historical Data'!D36</f>
        <v>0.2522466300549176</v>
      </c>
      <c r="E35" s="14">
        <f>'Historical Data'!E36</f>
        <v>0.42714212416623909</v>
      </c>
      <c r="F35" s="14">
        <f>'Historical Data'!F36</f>
        <v>0.19561143214118382</v>
      </c>
      <c r="G35" s="14">
        <f>'Historical Data'!G36</f>
        <v>0.18839021768341843</v>
      </c>
      <c r="H35" s="14">
        <f>'Historical Data'!H36</f>
        <v>0.212037708484409</v>
      </c>
      <c r="I35" s="14">
        <f>'Historical Data'!I36</f>
        <v>0.23358027765672665</v>
      </c>
      <c r="J35" s="14">
        <f>'Historical Data'!J36</f>
        <v>0.17528672254080283</v>
      </c>
      <c r="K35" s="14">
        <f>'Historical Data'!K36</f>
        <v>0.17892285021628559</v>
      </c>
      <c r="L35" s="95">
        <f>'Historical Data'!L36</f>
        <v>0.17448569994982438</v>
      </c>
      <c r="M35" s="15">
        <f>M34/M26</f>
        <v>0.21</v>
      </c>
      <c r="N35" s="15">
        <f t="shared" ref="N35:Q35" si="10">N34/N26</f>
        <v>0.21</v>
      </c>
      <c r="O35" s="15">
        <f t="shared" si="10"/>
        <v>0.21</v>
      </c>
      <c r="P35" s="15">
        <f t="shared" si="10"/>
        <v>0.21</v>
      </c>
      <c r="Q35" s="15">
        <f t="shared" si="10"/>
        <v>0.21</v>
      </c>
    </row>
    <row r="36" spans="1:19" x14ac:dyDescent="0.2">
      <c r="S36" s="81"/>
    </row>
    <row r="37" spans="1:19" x14ac:dyDescent="0.2">
      <c r="A37" s="4" t="s">
        <v>1</v>
      </c>
      <c r="B37" s="7" t="s">
        <v>17</v>
      </c>
      <c r="C37" s="8">
        <v>2015</v>
      </c>
      <c r="D37" s="8">
        <f t="shared" ref="D37:Q37" si="11">C37+1</f>
        <v>2016</v>
      </c>
      <c r="E37" s="8">
        <f t="shared" si="11"/>
        <v>2017</v>
      </c>
      <c r="F37" s="8">
        <f t="shared" si="11"/>
        <v>2018</v>
      </c>
      <c r="G37" s="8">
        <f t="shared" si="11"/>
        <v>2019</v>
      </c>
      <c r="H37" s="8">
        <f t="shared" si="11"/>
        <v>2020</v>
      </c>
      <c r="I37" s="8">
        <f t="shared" si="11"/>
        <v>2021</v>
      </c>
      <c r="J37" s="8">
        <f t="shared" si="11"/>
        <v>2022</v>
      </c>
      <c r="K37" s="8">
        <f t="shared" si="11"/>
        <v>2023</v>
      </c>
      <c r="L37" s="92">
        <f t="shared" si="11"/>
        <v>2024</v>
      </c>
      <c r="M37" s="9">
        <f t="shared" si="11"/>
        <v>2025</v>
      </c>
      <c r="N37" s="9">
        <f t="shared" si="11"/>
        <v>2026</v>
      </c>
      <c r="O37" s="9">
        <f t="shared" si="11"/>
        <v>2027</v>
      </c>
      <c r="P37" s="9">
        <f t="shared" si="11"/>
        <v>2028</v>
      </c>
      <c r="Q37" s="9">
        <f t="shared" si="11"/>
        <v>2029</v>
      </c>
    </row>
    <row r="38" spans="1:19" ht="5" customHeight="1" x14ac:dyDescent="0.2"/>
    <row r="39" spans="1:19" x14ac:dyDescent="0.2">
      <c r="B39" t="s">
        <v>18</v>
      </c>
      <c r="C39" s="10">
        <f>'Historical Data'!C19</f>
        <v>494</v>
      </c>
      <c r="D39" s="10">
        <f>'Historical Data'!D19</f>
        <v>502</v>
      </c>
      <c r="E39" s="10">
        <f>'Historical Data'!E19</f>
        <v>556</v>
      </c>
      <c r="F39" s="10">
        <f>'Historical Data'!F19</f>
        <v>613</v>
      </c>
      <c r="G39" s="10">
        <f>'Historical Data'!G19</f>
        <v>656</v>
      </c>
      <c r="H39" s="10">
        <f>'Historical Data'!H19</f>
        <v>767</v>
      </c>
      <c r="I39" s="10">
        <f>'Historical Data'!I19</f>
        <v>804</v>
      </c>
      <c r="J39" s="10">
        <f>'Historical Data'!J19</f>
        <v>861</v>
      </c>
      <c r="K39" s="10">
        <f>'Historical Data'!K19</f>
        <v>943</v>
      </c>
      <c r="L39" s="94">
        <f>'Historical Data'!L19</f>
        <v>1034</v>
      </c>
      <c r="M39" s="29">
        <f>M40*M$21</f>
        <v>1240.2008950075715</v>
      </c>
      <c r="N39" s="29">
        <f t="shared" ref="N39:Q39" si="12">N40*N$21</f>
        <v>1341.1280950503876</v>
      </c>
      <c r="O39" s="29">
        <f t="shared" si="12"/>
        <v>1432.3405709979168</v>
      </c>
      <c r="P39" s="29">
        <f t="shared" si="12"/>
        <v>1550.1717394108962</v>
      </c>
      <c r="Q39" s="29">
        <f t="shared" si="12"/>
        <v>1637.1975508478513</v>
      </c>
    </row>
    <row r="40" spans="1:19" x14ac:dyDescent="0.2">
      <c r="B40" s="12" t="s">
        <v>13</v>
      </c>
      <c r="C40" s="14">
        <f>C39/C$21</f>
        <v>3.5590778097982709E-2</v>
      </c>
      <c r="D40" s="14">
        <f t="shared" ref="D40:L40" si="13">D39/D$21</f>
        <v>3.3284710250629887E-2</v>
      </c>
      <c r="E40" s="14">
        <f t="shared" si="13"/>
        <v>3.0286523586447324E-2</v>
      </c>
      <c r="F40" s="14">
        <f t="shared" si="13"/>
        <v>2.9744286476781987E-2</v>
      </c>
      <c r="G40" s="14">
        <f t="shared" si="13"/>
        <v>2.8550289419854637E-2</v>
      </c>
      <c r="H40" s="14">
        <f t="shared" si="13"/>
        <v>3.5109402178888582E-2</v>
      </c>
      <c r="I40" s="14">
        <f t="shared" si="13"/>
        <v>3.3354075917859362E-2</v>
      </c>
      <c r="J40" s="14">
        <f t="shared" si="13"/>
        <v>2.9375639713408393E-2</v>
      </c>
      <c r="K40" s="14">
        <f t="shared" si="13"/>
        <v>2.8879429148929655E-2</v>
      </c>
      <c r="L40" s="95">
        <f t="shared" si="13"/>
        <v>2.878138395590937E-2</v>
      </c>
      <c r="M40" s="28">
        <f>AVERAGE(H40:L40)</f>
        <v>3.1099986182999074E-2</v>
      </c>
      <c r="N40" s="28">
        <f t="shared" ref="N40:Q40" si="14">AVERAGE(I40:M40)</f>
        <v>3.0298102983821174E-2</v>
      </c>
      <c r="O40" s="28">
        <f t="shared" si="14"/>
        <v>2.9686908397013535E-2</v>
      </c>
      <c r="P40" s="28">
        <f t="shared" si="14"/>
        <v>2.9749162133734564E-2</v>
      </c>
      <c r="Q40" s="28">
        <f t="shared" si="14"/>
        <v>2.9923108730695543E-2</v>
      </c>
    </row>
    <row r="41" spans="1:19" x14ac:dyDescent="0.2">
      <c r="B41" s="12" t="s">
        <v>19</v>
      </c>
      <c r="C41" s="14">
        <f>C39/C43</f>
        <v>1.1932367149758454</v>
      </c>
      <c r="D41" s="14">
        <f t="shared" ref="D41:L41" si="15">D39/D43</f>
        <v>0.95984703632887192</v>
      </c>
      <c r="E41" s="14">
        <f t="shared" si="15"/>
        <v>0.78642149929278637</v>
      </c>
      <c r="F41" s="14">
        <f t="shared" si="15"/>
        <v>0.85376044568245124</v>
      </c>
      <c r="G41" s="14">
        <f t="shared" si="15"/>
        <v>0.86772486772486768</v>
      </c>
      <c r="H41" s="14">
        <f t="shared" si="15"/>
        <v>1.0421195652173914</v>
      </c>
      <c r="I41" s="14">
        <f t="shared" si="15"/>
        <v>1.1404255319148937</v>
      </c>
      <c r="J41" s="14">
        <f t="shared" si="15"/>
        <v>0.8876288659793814</v>
      </c>
      <c r="K41" s="14">
        <f t="shared" si="15"/>
        <v>0.89046270066100097</v>
      </c>
      <c r="L41" s="95">
        <f t="shared" si="15"/>
        <v>0.82259347653142401</v>
      </c>
      <c r="M41" s="12"/>
    </row>
    <row r="42" spans="1:19" x14ac:dyDescent="0.2">
      <c r="M42" s="12"/>
    </row>
    <row r="43" spans="1:19" x14ac:dyDescent="0.2">
      <c r="B43" t="s">
        <v>20</v>
      </c>
      <c r="C43" s="10">
        <f>-'Historical Data'!C56</f>
        <v>414</v>
      </c>
      <c r="D43" s="10">
        <f>-'Historical Data'!D56</f>
        <v>523</v>
      </c>
      <c r="E43" s="10">
        <f>-'Historical Data'!E56</f>
        <v>707</v>
      </c>
      <c r="F43" s="10">
        <f>-'Historical Data'!F56</f>
        <v>718</v>
      </c>
      <c r="G43" s="10">
        <f>-'Historical Data'!G56</f>
        <v>756</v>
      </c>
      <c r="H43" s="10">
        <f>-'Historical Data'!H56</f>
        <v>736</v>
      </c>
      <c r="I43" s="10">
        <f>-'Historical Data'!I56</f>
        <v>705</v>
      </c>
      <c r="J43" s="10">
        <f>-'Historical Data'!J56</f>
        <v>970</v>
      </c>
      <c r="K43" s="10">
        <f>-'Historical Data'!K56</f>
        <v>1059</v>
      </c>
      <c r="L43" s="94">
        <f>-'Historical Data'!L56</f>
        <v>1257</v>
      </c>
      <c r="M43" s="29">
        <f>M44*M$21</f>
        <v>1303.6268053999645</v>
      </c>
      <c r="N43" s="29">
        <f t="shared" ref="N43:Q43" si="16">N44*N$21</f>
        <v>1438.1738645510613</v>
      </c>
      <c r="O43" s="29">
        <f t="shared" si="16"/>
        <v>1598.9078339668263</v>
      </c>
      <c r="P43" s="29">
        <f t="shared" si="16"/>
        <v>1727.2863049878692</v>
      </c>
      <c r="Q43" s="29">
        <f t="shared" si="16"/>
        <v>1821.487899727281</v>
      </c>
    </row>
    <row r="44" spans="1:19" x14ac:dyDescent="0.2">
      <c r="B44" s="12" t="s">
        <v>13</v>
      </c>
      <c r="C44" s="14">
        <f>C43/C$21</f>
        <v>2.9827089337175792E-2</v>
      </c>
      <c r="D44" s="14">
        <f t="shared" ref="D44:L44" si="17">D43/D$21</f>
        <v>3.4677098528046679E-2</v>
      </c>
      <c r="E44" s="14">
        <f t="shared" si="17"/>
        <v>3.8511820459745071E-2</v>
      </c>
      <c r="F44" s="14">
        <f t="shared" si="17"/>
        <v>3.4839147945072542E-2</v>
      </c>
      <c r="G44" s="14">
        <f t="shared" si="17"/>
        <v>3.2902467685076382E-2</v>
      </c>
      <c r="H44" s="14">
        <f t="shared" si="17"/>
        <v>3.3690378101254234E-2</v>
      </c>
      <c r="I44" s="14">
        <f t="shared" si="17"/>
        <v>2.924704418170504E-2</v>
      </c>
      <c r="J44" s="14">
        <f t="shared" si="17"/>
        <v>3.3094506994199933E-2</v>
      </c>
      <c r="K44" s="14">
        <f t="shared" si="17"/>
        <v>3.2431935809879645E-2</v>
      </c>
      <c r="L44" s="95">
        <f t="shared" si="17"/>
        <v>3.498858765239659E-2</v>
      </c>
      <c r="M44" s="28">
        <f>AVERAGE(H44:L44)</f>
        <v>3.2690490547887086E-2</v>
      </c>
      <c r="N44" s="28">
        <f t="shared" ref="N44:Q44" si="18">AVERAGE(I44:M44)</f>
        <v>3.2490513037213661E-2</v>
      </c>
      <c r="O44" s="28">
        <f t="shared" si="18"/>
        <v>3.3139206808315377E-2</v>
      </c>
      <c r="P44" s="28">
        <f t="shared" si="18"/>
        <v>3.3148146771138476E-2</v>
      </c>
      <c r="Q44" s="28">
        <f t="shared" si="18"/>
        <v>3.3291388963390241E-2</v>
      </c>
    </row>
    <row r="45" spans="1:19" x14ac:dyDescent="0.2">
      <c r="M45" s="12"/>
    </row>
    <row r="46" spans="1:19" x14ac:dyDescent="0.2">
      <c r="B46" t="s">
        <v>21</v>
      </c>
      <c r="C46" s="10">
        <f>'Historical Data'!C52</f>
        <v>-3531</v>
      </c>
      <c r="D46" s="10">
        <f>'Historical Data'!D52</f>
        <v>-3522</v>
      </c>
      <c r="E46" s="10">
        <f>'Historical Data'!E52</f>
        <v>-4580</v>
      </c>
      <c r="F46" s="10">
        <f>'Historical Data'!F52</f>
        <v>-2657</v>
      </c>
      <c r="G46" s="10">
        <f>'Historical Data'!G52</f>
        <v>-6303</v>
      </c>
      <c r="H46" s="10">
        <f>'Historical Data'!H52</f>
        <v>-8398</v>
      </c>
      <c r="I46" s="10">
        <f>'Historical Data'!I52</f>
        <v>-6702</v>
      </c>
      <c r="J46" s="10">
        <f>'Historical Data'!J52</f>
        <v>-7657</v>
      </c>
      <c r="K46" s="10">
        <f>'Historical Data'!K52</f>
        <v>-10022</v>
      </c>
      <c r="L46" s="94">
        <f>'Historical Data'!L52</f>
        <v>-15432</v>
      </c>
      <c r="M46" s="29">
        <f>M47*M$21</f>
        <v>-13240.786667365228</v>
      </c>
      <c r="N46" s="29">
        <f t="shared" ref="N46:Q46" si="19">N47*N$21</f>
        <v>-14233.517754042266</v>
      </c>
      <c r="O46" s="29">
        <f t="shared" si="19"/>
        <v>-15934.515776948741</v>
      </c>
      <c r="P46" s="29">
        <f t="shared" si="19"/>
        <v>-17928.569680267487</v>
      </c>
      <c r="Q46" s="29">
        <f t="shared" si="19"/>
        <v>-19231.417921636938</v>
      </c>
    </row>
    <row r="47" spans="1:19" x14ac:dyDescent="0.2">
      <c r="B47" s="12" t="s">
        <v>13</v>
      </c>
      <c r="C47" s="14">
        <f>C46/C$21</f>
        <v>-0.25439481268011527</v>
      </c>
      <c r="D47" s="14">
        <f t="shared" ref="D47:L47" si="20">D46/D$21</f>
        <v>-0.23352340538390134</v>
      </c>
      <c r="E47" s="14">
        <f t="shared" si="20"/>
        <v>-0.24948251443512365</v>
      </c>
      <c r="F47" s="14">
        <f t="shared" si="20"/>
        <v>-0.12892425639283808</v>
      </c>
      <c r="G47" s="14">
        <f t="shared" si="20"/>
        <v>-0.27431779605692647</v>
      </c>
      <c r="H47" s="14">
        <f t="shared" si="20"/>
        <v>-0.38441820012816991</v>
      </c>
      <c r="I47" s="14">
        <f t="shared" si="20"/>
        <v>-0.27803360298693219</v>
      </c>
      <c r="J47" s="14">
        <f t="shared" si="20"/>
        <v>-0.2612418969634937</v>
      </c>
      <c r="K47" s="14">
        <f t="shared" si="20"/>
        <v>-0.30692432548311027</v>
      </c>
      <c r="L47" s="95">
        <f t="shared" si="20"/>
        <v>-0.42954962979457773</v>
      </c>
      <c r="M47" s="28">
        <f>AVERAGE(H47:L47)</f>
        <v>-0.33203353107125677</v>
      </c>
      <c r="N47" s="28">
        <f t="shared" ref="N47:Q47" si="21">AVERAGE(I47:M47)</f>
        <v>-0.32155659725987412</v>
      </c>
      <c r="O47" s="28">
        <f t="shared" si="21"/>
        <v>-0.33026119611446253</v>
      </c>
      <c r="P47" s="28">
        <f t="shared" si="21"/>
        <v>-0.34406505594465631</v>
      </c>
      <c r="Q47" s="28">
        <f t="shared" si="21"/>
        <v>-0.35149320203696555</v>
      </c>
    </row>
    <row r="48" spans="1:19" x14ac:dyDescent="0.2">
      <c r="B48" s="12" t="s">
        <v>22</v>
      </c>
      <c r="C48" s="30" t="s">
        <v>23</v>
      </c>
      <c r="D48" s="14">
        <f t="shared" ref="D48:L48" si="22">D46/(D21-C21)</f>
        <v>-2.9301164725457571</v>
      </c>
      <c r="E48" s="14">
        <f t="shared" si="22"/>
        <v>-1.398046398046398</v>
      </c>
      <c r="F48" s="14">
        <f t="shared" si="22"/>
        <v>-1.1803642825410929</v>
      </c>
      <c r="G48" s="14">
        <f t="shared" si="22"/>
        <v>-2.6617398648648649</v>
      </c>
      <c r="H48" s="14">
        <f t="shared" si="22"/>
        <v>7.4252873563218387</v>
      </c>
      <c r="I48" s="14">
        <f t="shared" si="22"/>
        <v>-2.9667994687915007</v>
      </c>
      <c r="J48" s="14">
        <f t="shared" si="22"/>
        <v>-1.4710854947166185</v>
      </c>
      <c r="K48" s="14">
        <f t="shared" si="22"/>
        <v>-2.997906072390069</v>
      </c>
      <c r="L48" s="95">
        <f t="shared" si="22"/>
        <v>-4.7149404216315309</v>
      </c>
    </row>
    <row r="50" spans="1:18" x14ac:dyDescent="0.2">
      <c r="A50" s="4" t="s">
        <v>1</v>
      </c>
      <c r="B50" s="5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89"/>
      <c r="M50" s="6"/>
      <c r="N50" s="6"/>
      <c r="O50" s="6"/>
      <c r="P50" s="6"/>
      <c r="Q50" s="6"/>
    </row>
    <row r="51" spans="1:18" ht="5" customHeight="1" x14ac:dyDescent="0.2"/>
    <row r="52" spans="1:18" x14ac:dyDescent="0.2">
      <c r="A52" s="4" t="s">
        <v>1</v>
      </c>
      <c r="B52" s="7" t="s">
        <v>24</v>
      </c>
      <c r="C52" s="8">
        <v>2015</v>
      </c>
      <c r="D52" s="8">
        <f t="shared" ref="D52:Q52" si="23">C52+1</f>
        <v>2016</v>
      </c>
      <c r="E52" s="8">
        <f t="shared" si="23"/>
        <v>2017</v>
      </c>
      <c r="F52" s="8">
        <f t="shared" si="23"/>
        <v>2018</v>
      </c>
      <c r="G52" s="8">
        <f t="shared" si="23"/>
        <v>2019</v>
      </c>
      <c r="H52" s="8">
        <f t="shared" si="23"/>
        <v>2020</v>
      </c>
      <c r="I52" s="8">
        <f t="shared" si="23"/>
        <v>2021</v>
      </c>
      <c r="J52" s="8">
        <f t="shared" si="23"/>
        <v>2022</v>
      </c>
      <c r="K52" s="8">
        <f t="shared" si="23"/>
        <v>2023</v>
      </c>
      <c r="L52" s="92">
        <f t="shared" si="23"/>
        <v>2024</v>
      </c>
      <c r="M52" s="9">
        <f t="shared" si="23"/>
        <v>2025</v>
      </c>
      <c r="N52" s="9">
        <f t="shared" si="23"/>
        <v>2026</v>
      </c>
      <c r="O52" s="9">
        <f t="shared" si="23"/>
        <v>2027</v>
      </c>
      <c r="P52" s="9">
        <f t="shared" si="23"/>
        <v>2028</v>
      </c>
      <c r="Q52" s="9">
        <f t="shared" si="23"/>
        <v>2029</v>
      </c>
    </row>
    <row r="53" spans="1:18" ht="5" customHeight="1" x14ac:dyDescent="0.2"/>
    <row r="54" spans="1:18" x14ac:dyDescent="0.2">
      <c r="B54" t="s">
        <v>9</v>
      </c>
      <c r="C54" s="78">
        <f>C21</f>
        <v>13880</v>
      </c>
      <c r="D54" s="78">
        <f t="shared" ref="D54:L54" si="24">D21</f>
        <v>15082</v>
      </c>
      <c r="E54" s="78">
        <f t="shared" si="24"/>
        <v>18358</v>
      </c>
      <c r="F54" s="78">
        <f t="shared" si="24"/>
        <v>20609</v>
      </c>
      <c r="G54" s="78">
        <f t="shared" si="24"/>
        <v>22977</v>
      </c>
      <c r="H54" s="78">
        <f t="shared" si="24"/>
        <v>21846</v>
      </c>
      <c r="I54" s="78">
        <f t="shared" si="24"/>
        <v>24105</v>
      </c>
      <c r="J54" s="78">
        <f t="shared" si="24"/>
        <v>29310</v>
      </c>
      <c r="K54" s="78">
        <f t="shared" si="24"/>
        <v>32653</v>
      </c>
      <c r="L54" s="98">
        <f t="shared" si="24"/>
        <v>35926</v>
      </c>
      <c r="M54" s="31">
        <f t="shared" ref="M54:Q55" si="25">M21</f>
        <v>39877.86</v>
      </c>
      <c r="N54" s="31">
        <f t="shared" si="25"/>
        <v>44264.424600000006</v>
      </c>
      <c r="O54" s="31">
        <f t="shared" si="25"/>
        <v>48248.222814000008</v>
      </c>
      <c r="P54" s="31">
        <f t="shared" si="25"/>
        <v>52108.080639120009</v>
      </c>
      <c r="Q54" s="31">
        <f t="shared" si="25"/>
        <v>54713.48467107601</v>
      </c>
      <c r="R54" s="31"/>
    </row>
    <row r="55" spans="1:18" x14ac:dyDescent="0.2">
      <c r="B55" s="12" t="s">
        <v>10</v>
      </c>
      <c r="C55" s="79" t="str">
        <f>C22</f>
        <v>--</v>
      </c>
      <c r="D55" s="79">
        <f t="shared" ref="D55:L55" si="26">D22</f>
        <v>8.6599423631123829E-2</v>
      </c>
      <c r="E55" s="79">
        <f t="shared" si="26"/>
        <v>0.21721257127701898</v>
      </c>
      <c r="F55" s="79">
        <f t="shared" si="26"/>
        <v>0.12261684279333251</v>
      </c>
      <c r="G55" s="79">
        <f t="shared" si="26"/>
        <v>0.1149012567324954</v>
      </c>
      <c r="H55" s="79">
        <f t="shared" si="26"/>
        <v>-4.92231361796579E-2</v>
      </c>
      <c r="I55" s="79">
        <f t="shared" si="26"/>
        <v>0.10340565778632249</v>
      </c>
      <c r="J55" s="79">
        <f t="shared" si="26"/>
        <v>0.21593030491599263</v>
      </c>
      <c r="K55" s="79">
        <f t="shared" si="26"/>
        <v>0.11405663596042315</v>
      </c>
      <c r="L55" s="99">
        <f t="shared" si="26"/>
        <v>0.10023581294214923</v>
      </c>
      <c r="M55" s="32">
        <f t="shared" si="25"/>
        <v>0.1100000000000001</v>
      </c>
      <c r="N55" s="32">
        <f t="shared" si="25"/>
        <v>0.1100000000000001</v>
      </c>
      <c r="O55" s="32">
        <f t="shared" si="25"/>
        <v>9.000000000000008E-2</v>
      </c>
      <c r="P55" s="32">
        <f t="shared" si="25"/>
        <v>8.0000000000000071E-2</v>
      </c>
      <c r="Q55" s="32">
        <f t="shared" si="25"/>
        <v>5.0000000000000044E-2</v>
      </c>
      <c r="R55" s="32"/>
    </row>
    <row r="57" spans="1:18" x14ac:dyDescent="0.2">
      <c r="B57" t="s">
        <v>12</v>
      </c>
      <c r="C57" s="78">
        <f>C29</f>
        <v>9064</v>
      </c>
      <c r="D57" s="78">
        <f t="shared" ref="D57:L57" si="27">D29</f>
        <v>7883</v>
      </c>
      <c r="E57" s="78">
        <f t="shared" si="27"/>
        <v>12144</v>
      </c>
      <c r="F57" s="78">
        <f t="shared" si="27"/>
        <v>12954</v>
      </c>
      <c r="G57" s="78">
        <f t="shared" si="27"/>
        <v>15001</v>
      </c>
      <c r="H57" s="78">
        <f t="shared" si="27"/>
        <v>14081</v>
      </c>
      <c r="I57" s="78">
        <f t="shared" si="27"/>
        <v>15804</v>
      </c>
      <c r="J57" s="78">
        <f t="shared" si="27"/>
        <v>18813</v>
      </c>
      <c r="K57" s="78">
        <f t="shared" si="27"/>
        <v>21000</v>
      </c>
      <c r="L57" s="98">
        <f t="shared" si="27"/>
        <v>23595</v>
      </c>
      <c r="M57" s="31">
        <f t="shared" ref="M57:Q58" si="28">M29</f>
        <v>25521.830400000003</v>
      </c>
      <c r="N57" s="31">
        <f t="shared" si="28"/>
        <v>28329.231744000004</v>
      </c>
      <c r="O57" s="31">
        <f t="shared" si="28"/>
        <v>30878.862600960005</v>
      </c>
      <c r="P57" s="31">
        <f t="shared" si="28"/>
        <v>33349.171609036806</v>
      </c>
      <c r="Q57" s="31">
        <f t="shared" si="28"/>
        <v>35016.630189488649</v>
      </c>
    </row>
    <row r="58" spans="1:18" x14ac:dyDescent="0.2">
      <c r="B58" s="12" t="s">
        <v>13</v>
      </c>
      <c r="C58" s="79">
        <f>C30</f>
        <v>0.65302593659942365</v>
      </c>
      <c r="D58" s="79">
        <f t="shared" ref="D58:L58" si="29">D30</f>
        <v>0.52267603766078774</v>
      </c>
      <c r="E58" s="79">
        <f t="shared" si="29"/>
        <v>0.66150996840614451</v>
      </c>
      <c r="F58" s="79">
        <f t="shared" si="29"/>
        <v>0.62856033771653164</v>
      </c>
      <c r="G58" s="79">
        <f t="shared" si="29"/>
        <v>0.65287026156591377</v>
      </c>
      <c r="H58" s="79">
        <f t="shared" si="29"/>
        <v>0.64455735603771858</v>
      </c>
      <c r="I58" s="79">
        <f t="shared" si="29"/>
        <v>0.65563161169881767</v>
      </c>
      <c r="J58" s="79">
        <f t="shared" si="29"/>
        <v>0.64186284544524053</v>
      </c>
      <c r="K58" s="79">
        <f t="shared" si="29"/>
        <v>0.64312620586163594</v>
      </c>
      <c r="L58" s="99">
        <f t="shared" si="29"/>
        <v>0.65676668707899566</v>
      </c>
      <c r="M58" s="32">
        <f t="shared" si="28"/>
        <v>0.64</v>
      </c>
      <c r="N58" s="32">
        <f t="shared" si="28"/>
        <v>0.64</v>
      </c>
      <c r="O58" s="32">
        <f t="shared" si="28"/>
        <v>0.64</v>
      </c>
      <c r="P58" s="32">
        <f t="shared" si="28"/>
        <v>0.64</v>
      </c>
      <c r="Q58" s="32">
        <f t="shared" si="28"/>
        <v>0.64</v>
      </c>
    </row>
    <row r="60" spans="1:18" x14ac:dyDescent="0.2">
      <c r="B60" t="s">
        <v>15</v>
      </c>
      <c r="C60" s="80">
        <f>C34</f>
        <v>2667</v>
      </c>
      <c r="D60" s="80">
        <f t="shared" ref="D60:L60" si="30">D34</f>
        <v>2021</v>
      </c>
      <c r="E60" s="80">
        <f t="shared" si="30"/>
        <v>4995</v>
      </c>
      <c r="F60" s="80">
        <f t="shared" si="30"/>
        <v>2505</v>
      </c>
      <c r="G60" s="80">
        <f t="shared" si="30"/>
        <v>2804</v>
      </c>
      <c r="H60" s="80">
        <f t="shared" si="30"/>
        <v>2924</v>
      </c>
      <c r="I60" s="80">
        <f t="shared" si="30"/>
        <v>3752</v>
      </c>
      <c r="J60" s="80">
        <f t="shared" si="30"/>
        <v>3179</v>
      </c>
      <c r="K60" s="80">
        <f t="shared" si="30"/>
        <v>3764</v>
      </c>
      <c r="L60" s="100">
        <f t="shared" si="30"/>
        <v>4173</v>
      </c>
      <c r="M60" s="33">
        <f t="shared" ref="M60:Q60" si="31">M57*M61</f>
        <v>5359.5843840000007</v>
      </c>
      <c r="N60" s="33">
        <f t="shared" si="31"/>
        <v>5949.1386662400009</v>
      </c>
      <c r="O60" s="33">
        <f t="shared" si="31"/>
        <v>6484.5611462016004</v>
      </c>
      <c r="P60" s="33">
        <f t="shared" si="31"/>
        <v>7003.3260378977293</v>
      </c>
      <c r="Q60" s="33">
        <f t="shared" si="31"/>
        <v>7353.4923397926159</v>
      </c>
    </row>
    <row r="61" spans="1:18" x14ac:dyDescent="0.2">
      <c r="B61" s="12" t="s">
        <v>16</v>
      </c>
      <c r="C61" s="82">
        <f>C35</f>
        <v>0.29649805447470817</v>
      </c>
      <c r="D61" s="82">
        <f t="shared" ref="D61:L61" si="32">D35</f>
        <v>0.2522466300549176</v>
      </c>
      <c r="E61" s="82">
        <f t="shared" si="32"/>
        <v>0.42714212416623909</v>
      </c>
      <c r="F61" s="82">
        <f t="shared" si="32"/>
        <v>0.19561143214118382</v>
      </c>
      <c r="G61" s="82">
        <f t="shared" si="32"/>
        <v>0.18839021768341843</v>
      </c>
      <c r="H61" s="82">
        <f t="shared" si="32"/>
        <v>0.212037708484409</v>
      </c>
      <c r="I61" s="82">
        <f t="shared" si="32"/>
        <v>0.23358027765672665</v>
      </c>
      <c r="J61" s="82">
        <f t="shared" si="32"/>
        <v>0.17528672254080283</v>
      </c>
      <c r="K61" s="82">
        <f t="shared" si="32"/>
        <v>0.17892285021628559</v>
      </c>
      <c r="L61" s="101">
        <f t="shared" si="32"/>
        <v>0.17448569994982438</v>
      </c>
      <c r="M61" s="32">
        <f t="shared" ref="M61:Q61" si="33">M35</f>
        <v>0.21</v>
      </c>
      <c r="N61" s="32">
        <f t="shared" si="33"/>
        <v>0.21</v>
      </c>
      <c r="O61" s="32">
        <f t="shared" si="33"/>
        <v>0.21</v>
      </c>
      <c r="P61" s="32">
        <f t="shared" si="33"/>
        <v>0.21</v>
      </c>
      <c r="Q61" s="32">
        <f t="shared" si="33"/>
        <v>0.21</v>
      </c>
    </row>
    <row r="63" spans="1:18" x14ac:dyDescent="0.2">
      <c r="B63" s="34" t="s">
        <v>25</v>
      </c>
      <c r="C63" s="83">
        <f>C57-C60</f>
        <v>6397</v>
      </c>
      <c r="D63" s="83">
        <f t="shared" ref="D63:L63" si="34">D57-D60</f>
        <v>5862</v>
      </c>
      <c r="E63" s="83">
        <f t="shared" si="34"/>
        <v>7149</v>
      </c>
      <c r="F63" s="83">
        <f t="shared" si="34"/>
        <v>10449</v>
      </c>
      <c r="G63" s="83">
        <f t="shared" si="34"/>
        <v>12197</v>
      </c>
      <c r="H63" s="83">
        <f t="shared" si="34"/>
        <v>11157</v>
      </c>
      <c r="I63" s="83">
        <f t="shared" si="34"/>
        <v>12052</v>
      </c>
      <c r="J63" s="83">
        <f t="shared" si="34"/>
        <v>15634</v>
      </c>
      <c r="K63" s="83">
        <f t="shared" si="34"/>
        <v>17236</v>
      </c>
      <c r="L63" s="102">
        <f t="shared" si="34"/>
        <v>19422</v>
      </c>
      <c r="M63" s="35">
        <f t="shared" ref="M63:Q63" si="35">M57-M60</f>
        <v>20162.246016000001</v>
      </c>
      <c r="N63" s="35">
        <f t="shared" si="35"/>
        <v>22380.093077760004</v>
      </c>
      <c r="O63" s="35">
        <f t="shared" si="35"/>
        <v>24394.301454758403</v>
      </c>
      <c r="P63" s="35">
        <f t="shared" si="35"/>
        <v>26345.845571139078</v>
      </c>
      <c r="Q63" s="36">
        <f t="shared" si="35"/>
        <v>27663.137849696031</v>
      </c>
    </row>
    <row r="65" spans="2:17" x14ac:dyDescent="0.2">
      <c r="B65" t="s">
        <v>18</v>
      </c>
      <c r="C65" s="80">
        <f>C39</f>
        <v>494</v>
      </c>
      <c r="D65" s="80">
        <f t="shared" ref="D65:L65" si="36">D39</f>
        <v>502</v>
      </c>
      <c r="E65" s="80">
        <f t="shared" si="36"/>
        <v>556</v>
      </c>
      <c r="F65" s="80">
        <f t="shared" si="36"/>
        <v>613</v>
      </c>
      <c r="G65" s="80">
        <f t="shared" si="36"/>
        <v>656</v>
      </c>
      <c r="H65" s="80">
        <f t="shared" si="36"/>
        <v>767</v>
      </c>
      <c r="I65" s="80">
        <f t="shared" si="36"/>
        <v>804</v>
      </c>
      <c r="J65" s="80">
        <f t="shared" si="36"/>
        <v>861</v>
      </c>
      <c r="K65" s="80">
        <f t="shared" si="36"/>
        <v>943</v>
      </c>
      <c r="L65" s="100">
        <f t="shared" si="36"/>
        <v>1034</v>
      </c>
      <c r="M65" s="31">
        <f t="shared" ref="M65:Q66" si="37">M39</f>
        <v>1240.2008950075715</v>
      </c>
      <c r="N65" s="31">
        <f t="shared" si="37"/>
        <v>1341.1280950503876</v>
      </c>
      <c r="O65" s="31">
        <f t="shared" si="37"/>
        <v>1432.3405709979168</v>
      </c>
      <c r="P65" s="31">
        <f t="shared" si="37"/>
        <v>1550.1717394108962</v>
      </c>
      <c r="Q65" s="31">
        <f t="shared" si="37"/>
        <v>1637.1975508478513</v>
      </c>
    </row>
    <row r="66" spans="2:17" x14ac:dyDescent="0.2">
      <c r="B66" s="12" t="s">
        <v>13</v>
      </c>
      <c r="C66" s="82">
        <f>C40</f>
        <v>3.5590778097982709E-2</v>
      </c>
      <c r="D66" s="82">
        <f t="shared" ref="D66:L66" si="38">D40</f>
        <v>3.3284710250629887E-2</v>
      </c>
      <c r="E66" s="82">
        <f t="shared" si="38"/>
        <v>3.0286523586447324E-2</v>
      </c>
      <c r="F66" s="82">
        <f t="shared" si="38"/>
        <v>2.9744286476781987E-2</v>
      </c>
      <c r="G66" s="82">
        <f t="shared" si="38"/>
        <v>2.8550289419854637E-2</v>
      </c>
      <c r="H66" s="82">
        <f t="shared" si="38"/>
        <v>3.5109402178888582E-2</v>
      </c>
      <c r="I66" s="82">
        <f t="shared" si="38"/>
        <v>3.3354075917859362E-2</v>
      </c>
      <c r="J66" s="82">
        <f t="shared" si="38"/>
        <v>2.9375639713408393E-2</v>
      </c>
      <c r="K66" s="82">
        <f t="shared" si="38"/>
        <v>2.8879429148929655E-2</v>
      </c>
      <c r="L66" s="101">
        <f t="shared" si="38"/>
        <v>2.878138395590937E-2</v>
      </c>
      <c r="M66" s="32">
        <f t="shared" si="37"/>
        <v>3.1099986182999074E-2</v>
      </c>
      <c r="N66" s="32">
        <f t="shared" si="37"/>
        <v>3.0298102983821174E-2</v>
      </c>
      <c r="O66" s="32">
        <f t="shared" si="37"/>
        <v>2.9686908397013535E-2</v>
      </c>
      <c r="P66" s="32">
        <f t="shared" si="37"/>
        <v>2.9749162133734564E-2</v>
      </c>
      <c r="Q66" s="32">
        <f t="shared" si="37"/>
        <v>2.9923108730695543E-2</v>
      </c>
    </row>
    <row r="68" spans="2:17" x14ac:dyDescent="0.2">
      <c r="B68" t="s">
        <v>20</v>
      </c>
      <c r="C68" s="80">
        <f>C43</f>
        <v>414</v>
      </c>
      <c r="D68" s="80">
        <f t="shared" ref="D68:L68" si="39">D43</f>
        <v>523</v>
      </c>
      <c r="E68" s="80">
        <f t="shared" si="39"/>
        <v>707</v>
      </c>
      <c r="F68" s="80">
        <f t="shared" si="39"/>
        <v>718</v>
      </c>
      <c r="G68" s="80">
        <f t="shared" si="39"/>
        <v>756</v>
      </c>
      <c r="H68" s="80">
        <f t="shared" si="39"/>
        <v>736</v>
      </c>
      <c r="I68" s="80">
        <f t="shared" si="39"/>
        <v>705</v>
      </c>
      <c r="J68" s="80">
        <f t="shared" si="39"/>
        <v>970</v>
      </c>
      <c r="K68" s="80">
        <f t="shared" si="39"/>
        <v>1059</v>
      </c>
      <c r="L68" s="100">
        <f t="shared" si="39"/>
        <v>1257</v>
      </c>
      <c r="M68" s="31">
        <f t="shared" ref="M68:Q69" si="40">M43</f>
        <v>1303.6268053999645</v>
      </c>
      <c r="N68" s="31">
        <f t="shared" si="40"/>
        <v>1438.1738645510613</v>
      </c>
      <c r="O68" s="31">
        <f t="shared" si="40"/>
        <v>1598.9078339668263</v>
      </c>
      <c r="P68" s="31">
        <f t="shared" si="40"/>
        <v>1727.2863049878692</v>
      </c>
      <c r="Q68" s="31">
        <f t="shared" si="40"/>
        <v>1821.487899727281</v>
      </c>
    </row>
    <row r="69" spans="2:17" x14ac:dyDescent="0.2">
      <c r="B69" s="12" t="s">
        <v>13</v>
      </c>
      <c r="C69" s="82">
        <f>C44</f>
        <v>2.9827089337175792E-2</v>
      </c>
      <c r="D69" s="82">
        <f t="shared" ref="D69:L69" si="41">D44</f>
        <v>3.4677098528046679E-2</v>
      </c>
      <c r="E69" s="82">
        <f t="shared" si="41"/>
        <v>3.8511820459745071E-2</v>
      </c>
      <c r="F69" s="82">
        <f t="shared" si="41"/>
        <v>3.4839147945072542E-2</v>
      </c>
      <c r="G69" s="82">
        <f t="shared" si="41"/>
        <v>3.2902467685076382E-2</v>
      </c>
      <c r="H69" s="82">
        <f t="shared" si="41"/>
        <v>3.3690378101254234E-2</v>
      </c>
      <c r="I69" s="82">
        <f t="shared" si="41"/>
        <v>2.924704418170504E-2</v>
      </c>
      <c r="J69" s="82">
        <f t="shared" si="41"/>
        <v>3.3094506994199933E-2</v>
      </c>
      <c r="K69" s="82">
        <f t="shared" si="41"/>
        <v>3.2431935809879645E-2</v>
      </c>
      <c r="L69" s="101">
        <f t="shared" si="41"/>
        <v>3.498858765239659E-2</v>
      </c>
      <c r="M69" s="32">
        <f t="shared" si="40"/>
        <v>3.2690490547887086E-2</v>
      </c>
      <c r="N69" s="32">
        <f t="shared" si="40"/>
        <v>3.2490513037213661E-2</v>
      </c>
      <c r="O69" s="32">
        <f t="shared" si="40"/>
        <v>3.3139206808315377E-2</v>
      </c>
      <c r="P69" s="32">
        <f t="shared" si="40"/>
        <v>3.3148146771138476E-2</v>
      </c>
      <c r="Q69" s="32">
        <f t="shared" si="40"/>
        <v>3.3291388963390241E-2</v>
      </c>
    </row>
    <row r="71" spans="2:17" x14ac:dyDescent="0.2">
      <c r="B71" t="s">
        <v>21</v>
      </c>
      <c r="C71" s="80">
        <f>C46</f>
        <v>-3531</v>
      </c>
      <c r="D71" s="80">
        <f t="shared" ref="D71:L71" si="42">D46</f>
        <v>-3522</v>
      </c>
      <c r="E71" s="80">
        <f t="shared" si="42"/>
        <v>-4580</v>
      </c>
      <c r="F71" s="80">
        <f t="shared" si="42"/>
        <v>-2657</v>
      </c>
      <c r="G71" s="80">
        <f t="shared" si="42"/>
        <v>-6303</v>
      </c>
      <c r="H71" s="80">
        <f t="shared" si="42"/>
        <v>-8398</v>
      </c>
      <c r="I71" s="80">
        <f t="shared" si="42"/>
        <v>-6702</v>
      </c>
      <c r="J71" s="80">
        <f t="shared" si="42"/>
        <v>-7657</v>
      </c>
      <c r="K71" s="80">
        <f t="shared" si="42"/>
        <v>-10022</v>
      </c>
      <c r="L71" s="100">
        <f t="shared" si="42"/>
        <v>-15432</v>
      </c>
      <c r="M71" s="31">
        <f t="shared" ref="M71:Q72" si="43">M46</f>
        <v>-13240.786667365228</v>
      </c>
      <c r="N71" s="31">
        <f t="shared" si="43"/>
        <v>-14233.517754042266</v>
      </c>
      <c r="O71" s="31">
        <f t="shared" si="43"/>
        <v>-15934.515776948741</v>
      </c>
      <c r="P71" s="31">
        <f t="shared" si="43"/>
        <v>-17928.569680267487</v>
      </c>
      <c r="Q71" s="31">
        <f t="shared" si="43"/>
        <v>-19231.417921636938</v>
      </c>
    </row>
    <row r="72" spans="2:17" x14ac:dyDescent="0.2">
      <c r="B72" s="12" t="s">
        <v>13</v>
      </c>
      <c r="C72" s="82">
        <f>C47</f>
        <v>-0.25439481268011527</v>
      </c>
      <c r="D72" s="82">
        <f t="shared" ref="D72:L72" si="44">D47</f>
        <v>-0.23352340538390134</v>
      </c>
      <c r="E72" s="82">
        <f t="shared" si="44"/>
        <v>-0.24948251443512365</v>
      </c>
      <c r="F72" s="82">
        <f t="shared" si="44"/>
        <v>-0.12892425639283808</v>
      </c>
      <c r="G72" s="82">
        <f t="shared" si="44"/>
        <v>-0.27431779605692647</v>
      </c>
      <c r="H72" s="82">
        <f t="shared" si="44"/>
        <v>-0.38441820012816991</v>
      </c>
      <c r="I72" s="82">
        <f t="shared" si="44"/>
        <v>-0.27803360298693219</v>
      </c>
      <c r="J72" s="82">
        <f t="shared" si="44"/>
        <v>-0.2612418969634937</v>
      </c>
      <c r="K72" s="82">
        <f t="shared" si="44"/>
        <v>-0.30692432548311027</v>
      </c>
      <c r="L72" s="101">
        <f t="shared" si="44"/>
        <v>-0.42954962979457773</v>
      </c>
      <c r="M72" s="32">
        <f t="shared" si="43"/>
        <v>-0.33203353107125677</v>
      </c>
      <c r="N72" s="32">
        <f t="shared" si="43"/>
        <v>-0.32155659725987412</v>
      </c>
      <c r="O72" s="32">
        <f t="shared" si="43"/>
        <v>-0.33026119611446253</v>
      </c>
      <c r="P72" s="32">
        <f t="shared" si="43"/>
        <v>-0.34406505594465631</v>
      </c>
      <c r="Q72" s="32">
        <f t="shared" si="43"/>
        <v>-0.35149320203696555</v>
      </c>
    </row>
    <row r="74" spans="2:17" x14ac:dyDescent="0.2">
      <c r="B74" s="37" t="s">
        <v>26</v>
      </c>
      <c r="C74" s="84">
        <f>C63+C65-C68-C71</f>
        <v>10008</v>
      </c>
      <c r="D74" s="84">
        <f t="shared" ref="D74:L74" si="45">D63+D65-D68-D71</f>
        <v>9363</v>
      </c>
      <c r="E74" s="84">
        <f t="shared" si="45"/>
        <v>11578</v>
      </c>
      <c r="F74" s="84">
        <f t="shared" si="45"/>
        <v>13001</v>
      </c>
      <c r="G74" s="84">
        <f t="shared" si="45"/>
        <v>18400</v>
      </c>
      <c r="H74" s="84">
        <f t="shared" si="45"/>
        <v>19586</v>
      </c>
      <c r="I74" s="84">
        <f t="shared" si="45"/>
        <v>18853</v>
      </c>
      <c r="J74" s="84">
        <f t="shared" si="45"/>
        <v>23182</v>
      </c>
      <c r="K74" s="84">
        <f t="shared" si="45"/>
        <v>27142</v>
      </c>
      <c r="L74" s="103">
        <f t="shared" si="45"/>
        <v>34631</v>
      </c>
      <c r="M74" s="38">
        <f t="shared" ref="M74:Q74" si="46">M63+M65-M68-M71</f>
        <v>33339.606772972838</v>
      </c>
      <c r="N74" s="38">
        <f t="shared" si="46"/>
        <v>36516.565062301597</v>
      </c>
      <c r="O74" s="38">
        <f t="shared" si="46"/>
        <v>40162.249968738237</v>
      </c>
      <c r="P74" s="38">
        <f t="shared" si="46"/>
        <v>44097.300685829592</v>
      </c>
      <c r="Q74" s="39">
        <f t="shared" si="46"/>
        <v>46710.265422453536</v>
      </c>
    </row>
    <row r="75" spans="2:17" x14ac:dyDescent="0.2">
      <c r="B75" s="40" t="s">
        <v>27</v>
      </c>
      <c r="C75" s="85"/>
      <c r="D75" s="41"/>
      <c r="E75" s="41"/>
      <c r="F75" s="41"/>
      <c r="G75" s="41"/>
      <c r="H75" s="41"/>
      <c r="I75" s="41"/>
      <c r="J75" s="41"/>
      <c r="K75" s="41"/>
      <c r="L75" s="43">
        <v>8570.1027962158969</v>
      </c>
      <c r="M75" s="42">
        <v>31365.08105921009</v>
      </c>
      <c r="N75" s="42">
        <v>31668.229328320085</v>
      </c>
      <c r="O75" s="42">
        <v>32107.006705158816</v>
      </c>
      <c r="P75" s="42">
        <v>32496.883332746773</v>
      </c>
      <c r="Q75" s="43">
        <v>31731.453195252227</v>
      </c>
    </row>
    <row r="77" spans="2:17" x14ac:dyDescent="0.2">
      <c r="B77" t="s">
        <v>28</v>
      </c>
      <c r="L77" s="104">
        <f>YEARFRAC(L5,L6)</f>
        <v>0.25</v>
      </c>
    </row>
    <row r="78" spans="2:17" x14ac:dyDescent="0.2">
      <c r="B78" t="s">
        <v>29</v>
      </c>
      <c r="L78" s="104">
        <f>L77/2</f>
        <v>0.125</v>
      </c>
      <c r="M78" s="44">
        <f>L77+0.5</f>
        <v>0.75</v>
      </c>
      <c r="N78" s="44">
        <f>M78+1</f>
        <v>1.75</v>
      </c>
      <c r="O78" s="44">
        <f t="shared" ref="O78:Q78" si="47">N78+1</f>
        <v>2.75</v>
      </c>
      <c r="P78" s="44">
        <f t="shared" si="47"/>
        <v>3.75</v>
      </c>
      <c r="Q78" s="44">
        <f t="shared" si="47"/>
        <v>4.75</v>
      </c>
    </row>
    <row r="80" spans="2:17" x14ac:dyDescent="0.2">
      <c r="B80" t="s">
        <v>30</v>
      </c>
      <c r="Q80" s="108">
        <v>800555.49707412068</v>
      </c>
    </row>
    <row r="81" spans="2:17" x14ac:dyDescent="0.2">
      <c r="B81" t="s">
        <v>31</v>
      </c>
      <c r="Q81" s="108">
        <v>543837.39967785042</v>
      </c>
    </row>
    <row r="82" spans="2:17" x14ac:dyDescent="0.2">
      <c r="Q82" s="55"/>
    </row>
    <row r="83" spans="2:17" x14ac:dyDescent="0.2">
      <c r="B83" t="s">
        <v>32</v>
      </c>
      <c r="Q83" s="55">
        <f>SUM(L75:Q75,Q81)</f>
        <v>711776.15609475435</v>
      </c>
    </row>
    <row r="84" spans="2:17" x14ac:dyDescent="0.2">
      <c r="B84" t="s">
        <v>33</v>
      </c>
      <c r="Q84" s="109">
        <f>Info!C7</f>
        <v>11975</v>
      </c>
    </row>
    <row r="85" spans="2:17" x14ac:dyDescent="0.2">
      <c r="B85" t="s">
        <v>34</v>
      </c>
      <c r="Q85" s="109">
        <f>Info!C8</f>
        <v>20836</v>
      </c>
    </row>
    <row r="86" spans="2:17" x14ac:dyDescent="0.2">
      <c r="B86" t="s">
        <v>35</v>
      </c>
      <c r="Q86" s="55">
        <f>Q83+Q84-Q85</f>
        <v>702915.15609475435</v>
      </c>
    </row>
    <row r="87" spans="2:17" x14ac:dyDescent="0.2">
      <c r="Q87" s="55"/>
    </row>
    <row r="88" spans="2:17" x14ac:dyDescent="0.2">
      <c r="B88" t="s">
        <v>36</v>
      </c>
      <c r="Q88" s="17">
        <f>Info!C5</f>
        <v>1728</v>
      </c>
    </row>
    <row r="89" spans="2:17" x14ac:dyDescent="0.2">
      <c r="B89" t="s">
        <v>37</v>
      </c>
      <c r="Q89" s="110">
        <f>Q86/Q88</f>
        <v>406.77960422150136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33F5-845C-9141-8B79-89ED23D97477}">
  <dimension ref="A2:H22"/>
  <sheetViews>
    <sheetView showGridLines="0" workbookViewId="0">
      <selection activeCell="B5" sqref="B5"/>
    </sheetView>
  </sheetViews>
  <sheetFormatPr baseColWidth="10" defaultColWidth="8.83203125" defaultRowHeight="16" x14ac:dyDescent="0.2"/>
  <cols>
    <col min="1" max="1" width="3.6640625" customWidth="1"/>
    <col min="6" max="6" width="12.6640625" customWidth="1"/>
  </cols>
  <sheetData>
    <row r="2" spans="1:8" s="3" customFormat="1" ht="22" x14ac:dyDescent="0.3">
      <c r="B2" s="2" t="s">
        <v>6</v>
      </c>
    </row>
    <row r="4" spans="1:8" x14ac:dyDescent="0.2">
      <c r="B4" t="s">
        <v>38</v>
      </c>
    </row>
    <row r="5" spans="1:8" x14ac:dyDescent="0.2">
      <c r="B5" t="s">
        <v>39</v>
      </c>
    </row>
    <row r="7" spans="1:8" x14ac:dyDescent="0.2">
      <c r="A7" t="s">
        <v>1</v>
      </c>
      <c r="B7" s="45" t="s">
        <v>6</v>
      </c>
      <c r="C7" s="46"/>
      <c r="D7" s="46"/>
      <c r="E7" s="46"/>
      <c r="F7" s="46"/>
    </row>
    <row r="8" spans="1:8" x14ac:dyDescent="0.2">
      <c r="B8" t="s">
        <v>40</v>
      </c>
      <c r="F8" s="25">
        <f>Info!C6</f>
        <v>550644.4800000001</v>
      </c>
    </row>
    <row r="9" spans="1:8" x14ac:dyDescent="0.2">
      <c r="B9" t="s">
        <v>41</v>
      </c>
      <c r="F9" s="47">
        <f>F8/$F$20</f>
        <v>0.96354031199805812</v>
      </c>
    </row>
    <row r="10" spans="1:8" x14ac:dyDescent="0.2">
      <c r="B10" t="s">
        <v>42</v>
      </c>
      <c r="F10" s="48">
        <f>F11+F12*F13</f>
        <v>8.4569999999999992E-2</v>
      </c>
    </row>
    <row r="11" spans="1:8" x14ac:dyDescent="0.2">
      <c r="B11" t="s">
        <v>43</v>
      </c>
      <c r="F11" s="49">
        <v>4.5999999999999999E-2</v>
      </c>
    </row>
    <row r="12" spans="1:8" x14ac:dyDescent="0.2">
      <c r="B12" t="s">
        <v>44</v>
      </c>
      <c r="F12" s="50">
        <v>0.95</v>
      </c>
    </row>
    <row r="13" spans="1:8" x14ac:dyDescent="0.2">
      <c r="B13" t="s">
        <v>45</v>
      </c>
      <c r="F13" s="49">
        <v>4.0599999999999997E-2</v>
      </c>
      <c r="H13" s="51"/>
    </row>
    <row r="15" spans="1:8" x14ac:dyDescent="0.2">
      <c r="B15" t="s">
        <v>46</v>
      </c>
      <c r="F15" s="52">
        <f>Info!C8</f>
        <v>20836</v>
      </c>
    </row>
    <row r="16" spans="1:8" x14ac:dyDescent="0.2">
      <c r="B16" t="s">
        <v>47</v>
      </c>
      <c r="F16" s="47">
        <f>F15/$F$20</f>
        <v>3.6459688001941895E-2</v>
      </c>
    </row>
    <row r="17" spans="1:7" x14ac:dyDescent="0.2">
      <c r="B17" t="s">
        <v>48</v>
      </c>
      <c r="F17" s="49">
        <f>1233*2/F15</f>
        <v>0.1183528508350931</v>
      </c>
      <c r="G17" s="53"/>
    </row>
    <row r="18" spans="1:7" x14ac:dyDescent="0.2">
      <c r="B18" t="s">
        <v>14</v>
      </c>
      <c r="F18" s="49">
        <v>0.21</v>
      </c>
    </row>
    <row r="20" spans="1:7" x14ac:dyDescent="0.2">
      <c r="B20" t="s">
        <v>11</v>
      </c>
      <c r="F20" s="25">
        <f>F8+F15</f>
        <v>571480.4800000001</v>
      </c>
    </row>
    <row r="22" spans="1:7" x14ac:dyDescent="0.2">
      <c r="A22" t="s">
        <v>1</v>
      </c>
      <c r="B22" t="s">
        <v>6</v>
      </c>
      <c r="F22" s="48">
        <f>F9*F10+(F16*F17*(1-F18))</f>
        <v>8.4895539517990184E-2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BE8D-3D2A-6543-83BA-04D5D4E6897A}">
  <dimension ref="B6:M56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44" sqref="M44"/>
    </sheetView>
  </sheetViews>
  <sheetFormatPr baseColWidth="10" defaultRowHeight="16" x14ac:dyDescent="0.2"/>
  <cols>
    <col min="2" max="2" width="38" bestFit="1" customWidth="1"/>
  </cols>
  <sheetData>
    <row r="6" spans="2:13" x14ac:dyDescent="0.2">
      <c r="B6" s="60" t="s">
        <v>60</v>
      </c>
      <c r="C6" s="69">
        <v>2015</v>
      </c>
      <c r="D6" s="69">
        <v>2016</v>
      </c>
      <c r="E6" s="69">
        <v>2017</v>
      </c>
      <c r="F6" s="69">
        <v>2018</v>
      </c>
      <c r="G6" s="69">
        <v>2019</v>
      </c>
      <c r="H6" s="69">
        <v>2020</v>
      </c>
      <c r="I6" s="69">
        <v>2021</v>
      </c>
      <c r="J6" s="69">
        <v>2022</v>
      </c>
      <c r="K6" s="69">
        <v>2023</v>
      </c>
      <c r="L6" s="69">
        <v>2024</v>
      </c>
      <c r="M6" s="69" t="s">
        <v>86</v>
      </c>
    </row>
    <row r="7" spans="2:13" x14ac:dyDescent="0.2">
      <c r="B7" s="64" t="s">
        <v>79</v>
      </c>
      <c r="C7" s="75">
        <v>13880</v>
      </c>
      <c r="D7" s="75">
        <v>15082</v>
      </c>
      <c r="E7" s="75">
        <v>18358</v>
      </c>
      <c r="F7" s="75">
        <v>20609</v>
      </c>
      <c r="G7" s="75">
        <v>22977</v>
      </c>
      <c r="H7" s="75">
        <v>21846</v>
      </c>
      <c r="I7" s="75">
        <v>24105</v>
      </c>
      <c r="J7" s="75">
        <v>29310</v>
      </c>
      <c r="K7" s="75">
        <v>32653</v>
      </c>
      <c r="L7" s="75">
        <v>35926</v>
      </c>
      <c r="M7" s="77">
        <f>(L7/C7)^(1/9)-1</f>
        <v>0.11145285147493711</v>
      </c>
    </row>
    <row r="8" spans="2:13" x14ac:dyDescent="0.2">
      <c r="B8" s="63"/>
      <c r="C8" s="71"/>
      <c r="D8" s="71"/>
      <c r="E8" s="71"/>
      <c r="F8" s="71"/>
      <c r="G8" s="71"/>
      <c r="H8" s="71"/>
      <c r="I8" s="71"/>
      <c r="J8" s="71"/>
      <c r="K8" s="71"/>
      <c r="L8" s="71"/>
    </row>
    <row r="9" spans="2:13" x14ac:dyDescent="0.2">
      <c r="B9" s="56" t="s">
        <v>61</v>
      </c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2:13" x14ac:dyDescent="0.2">
      <c r="B10" s="56" t="s">
        <v>80</v>
      </c>
      <c r="C10" s="71">
        <v>2079</v>
      </c>
      <c r="D10" s="71">
        <v>2226</v>
      </c>
      <c r="E10" s="71">
        <v>2628</v>
      </c>
      <c r="F10" s="71">
        <v>3170</v>
      </c>
      <c r="G10" s="71">
        <v>3444</v>
      </c>
      <c r="H10" s="71">
        <v>3785</v>
      </c>
      <c r="I10" s="71">
        <v>4240</v>
      </c>
      <c r="J10" s="71">
        <v>4990</v>
      </c>
      <c r="K10" s="71">
        <v>5831</v>
      </c>
      <c r="L10" s="71">
        <v>6264</v>
      </c>
    </row>
    <row r="11" spans="2:13" x14ac:dyDescent="0.2">
      <c r="B11" s="56" t="s">
        <v>81</v>
      </c>
      <c r="C11" s="71">
        <v>872</v>
      </c>
      <c r="D11" s="71">
        <v>869</v>
      </c>
      <c r="E11" s="71">
        <v>922</v>
      </c>
      <c r="F11" s="71">
        <v>988</v>
      </c>
      <c r="G11" s="71">
        <v>1105</v>
      </c>
      <c r="H11" s="71">
        <v>971</v>
      </c>
      <c r="I11" s="71">
        <v>1136</v>
      </c>
      <c r="J11" s="71">
        <v>1336</v>
      </c>
      <c r="K11" s="71">
        <v>1341</v>
      </c>
      <c r="L11" s="71">
        <v>1560</v>
      </c>
    </row>
    <row r="12" spans="2:13" x14ac:dyDescent="0.2">
      <c r="B12" s="56" t="s">
        <v>82</v>
      </c>
      <c r="C12" s="71">
        <v>474</v>
      </c>
      <c r="D12" s="71">
        <v>538</v>
      </c>
      <c r="E12" s="71">
        <v>620</v>
      </c>
      <c r="F12" s="71">
        <v>686</v>
      </c>
      <c r="G12" s="71">
        <v>721</v>
      </c>
      <c r="H12" s="71">
        <v>727</v>
      </c>
      <c r="I12" s="71">
        <v>730</v>
      </c>
      <c r="J12" s="71">
        <v>743</v>
      </c>
      <c r="K12" s="71">
        <v>736</v>
      </c>
      <c r="L12" s="71">
        <v>778</v>
      </c>
    </row>
    <row r="13" spans="2:13" x14ac:dyDescent="0.2">
      <c r="B13" s="56" t="s">
        <v>83</v>
      </c>
      <c r="C13" s="71">
        <v>336</v>
      </c>
      <c r="D13" s="71">
        <v>389</v>
      </c>
      <c r="E13" s="71">
        <v>409</v>
      </c>
      <c r="F13" s="71">
        <v>446</v>
      </c>
      <c r="G13" s="71">
        <v>454</v>
      </c>
      <c r="H13" s="71">
        <v>408</v>
      </c>
      <c r="I13" s="71">
        <v>403</v>
      </c>
      <c r="J13" s="71">
        <v>505</v>
      </c>
      <c r="K13" s="71">
        <v>545</v>
      </c>
      <c r="L13" s="71">
        <v>635</v>
      </c>
    </row>
    <row r="14" spans="2:13" x14ac:dyDescent="0.2">
      <c r="B14" s="54" t="s">
        <v>65</v>
      </c>
      <c r="C14" s="71">
        <v>494</v>
      </c>
      <c r="D14" s="71">
        <v>502</v>
      </c>
      <c r="E14" s="71">
        <v>556</v>
      </c>
      <c r="F14" s="71">
        <v>613</v>
      </c>
      <c r="G14" s="71">
        <v>656</v>
      </c>
      <c r="H14" s="71">
        <v>767</v>
      </c>
      <c r="I14" s="71">
        <v>804</v>
      </c>
      <c r="J14" s="71">
        <v>861</v>
      </c>
      <c r="K14" s="71">
        <v>943</v>
      </c>
      <c r="L14" s="71">
        <v>1034</v>
      </c>
    </row>
    <row r="15" spans="2:13" x14ac:dyDescent="0.2">
      <c r="B15" s="56" t="s">
        <v>62</v>
      </c>
      <c r="C15" s="71">
        <v>547</v>
      </c>
      <c r="D15" s="71">
        <v>796</v>
      </c>
      <c r="E15" s="71">
        <v>1060</v>
      </c>
      <c r="F15" s="71">
        <v>1145</v>
      </c>
      <c r="G15" s="71">
        <v>1196</v>
      </c>
      <c r="H15" s="71">
        <v>1096</v>
      </c>
      <c r="I15" s="71">
        <v>985</v>
      </c>
      <c r="J15" s="71">
        <v>1194</v>
      </c>
      <c r="K15" s="71">
        <v>1330</v>
      </c>
      <c r="L15" s="71">
        <v>1598</v>
      </c>
    </row>
    <row r="16" spans="2:13" x14ac:dyDescent="0.2">
      <c r="B16" s="56" t="s">
        <v>84</v>
      </c>
      <c r="C16" s="71">
        <v>14</v>
      </c>
      <c r="D16" s="71">
        <f>2+1877</f>
        <v>1879</v>
      </c>
      <c r="E16" s="71">
        <v>19</v>
      </c>
      <c r="F16" s="71">
        <v>607</v>
      </c>
      <c r="G16" s="71">
        <v>400</v>
      </c>
      <c r="H16" s="71">
        <v>11</v>
      </c>
      <c r="I16" s="71">
        <v>3</v>
      </c>
      <c r="J16" s="71">
        <v>868</v>
      </c>
      <c r="K16" s="71">
        <v>927</v>
      </c>
      <c r="L16" s="71">
        <v>462</v>
      </c>
    </row>
    <row r="17" spans="2:12" x14ac:dyDescent="0.2">
      <c r="B17" s="62" t="s">
        <v>63</v>
      </c>
      <c r="C17" s="75">
        <f>SUM(C10:C16)</f>
        <v>4816</v>
      </c>
      <c r="D17" s="75">
        <f t="shared" ref="D17:L17" si="0">SUM(D10:D16)</f>
        <v>7199</v>
      </c>
      <c r="E17" s="75">
        <f t="shared" si="0"/>
        <v>6214</v>
      </c>
      <c r="F17" s="75">
        <f t="shared" si="0"/>
        <v>7655</v>
      </c>
      <c r="G17" s="75">
        <f t="shared" si="0"/>
        <v>7976</v>
      </c>
      <c r="H17" s="75">
        <f t="shared" si="0"/>
        <v>7765</v>
      </c>
      <c r="I17" s="75">
        <f t="shared" si="0"/>
        <v>8301</v>
      </c>
      <c r="J17" s="75">
        <f t="shared" si="0"/>
        <v>10497</v>
      </c>
      <c r="K17" s="75">
        <f t="shared" si="0"/>
        <v>11653</v>
      </c>
      <c r="L17" s="75">
        <f t="shared" si="0"/>
        <v>12331</v>
      </c>
    </row>
    <row r="18" spans="2:12" x14ac:dyDescent="0.2">
      <c r="B18" s="64" t="s">
        <v>64</v>
      </c>
      <c r="C18" s="75">
        <f>C7-C17</f>
        <v>9064</v>
      </c>
      <c r="D18" s="75">
        <f t="shared" ref="D18:L18" si="1">D7-D17</f>
        <v>7883</v>
      </c>
      <c r="E18" s="75">
        <f t="shared" si="1"/>
        <v>12144</v>
      </c>
      <c r="F18" s="75">
        <f t="shared" si="1"/>
        <v>12954</v>
      </c>
      <c r="G18" s="75">
        <f t="shared" si="1"/>
        <v>15001</v>
      </c>
      <c r="H18" s="75">
        <f t="shared" si="1"/>
        <v>14081</v>
      </c>
      <c r="I18" s="75">
        <f t="shared" si="1"/>
        <v>15804</v>
      </c>
      <c r="J18" s="75">
        <f t="shared" si="1"/>
        <v>18813</v>
      </c>
      <c r="K18" s="75">
        <f t="shared" si="1"/>
        <v>21000</v>
      </c>
      <c r="L18" s="75">
        <f t="shared" si="1"/>
        <v>23595</v>
      </c>
    </row>
    <row r="19" spans="2:12" x14ac:dyDescent="0.2">
      <c r="B19" s="61" t="s">
        <v>65</v>
      </c>
      <c r="C19" s="71">
        <f>C14</f>
        <v>494</v>
      </c>
      <c r="D19" s="71">
        <f t="shared" ref="D19:L19" si="2">D14</f>
        <v>502</v>
      </c>
      <c r="E19" s="71">
        <f t="shared" si="2"/>
        <v>556</v>
      </c>
      <c r="F19" s="71">
        <f t="shared" si="2"/>
        <v>613</v>
      </c>
      <c r="G19" s="71">
        <f t="shared" si="2"/>
        <v>656</v>
      </c>
      <c r="H19" s="71">
        <f t="shared" si="2"/>
        <v>767</v>
      </c>
      <c r="I19" s="71">
        <f t="shared" si="2"/>
        <v>804</v>
      </c>
      <c r="J19" s="71">
        <f t="shared" si="2"/>
        <v>861</v>
      </c>
      <c r="K19" s="71">
        <f t="shared" si="2"/>
        <v>943</v>
      </c>
      <c r="L19" s="71">
        <f t="shared" si="2"/>
        <v>1034</v>
      </c>
    </row>
    <row r="20" spans="2:12" x14ac:dyDescent="0.2">
      <c r="B20" s="64" t="s">
        <v>66</v>
      </c>
      <c r="C20" s="75">
        <f>C18+C19</f>
        <v>9558</v>
      </c>
      <c r="D20" s="75">
        <f t="shared" ref="D20:L20" si="3">D18+D19</f>
        <v>8385</v>
      </c>
      <c r="E20" s="75">
        <f t="shared" si="3"/>
        <v>12700</v>
      </c>
      <c r="F20" s="75">
        <f t="shared" si="3"/>
        <v>13567</v>
      </c>
      <c r="G20" s="75">
        <f t="shared" si="3"/>
        <v>15657</v>
      </c>
      <c r="H20" s="75">
        <f t="shared" si="3"/>
        <v>14848</v>
      </c>
      <c r="I20" s="75">
        <f t="shared" si="3"/>
        <v>16608</v>
      </c>
      <c r="J20" s="75">
        <f t="shared" si="3"/>
        <v>19674</v>
      </c>
      <c r="K20" s="75">
        <f t="shared" si="3"/>
        <v>21943</v>
      </c>
      <c r="L20" s="75">
        <f t="shared" si="3"/>
        <v>24629</v>
      </c>
    </row>
    <row r="21" spans="2:12" x14ac:dyDescent="0.2">
      <c r="B21" s="56"/>
    </row>
    <row r="22" spans="2:12" x14ac:dyDescent="0.2">
      <c r="B22" s="56" t="s">
        <v>67</v>
      </c>
      <c r="C22" s="71">
        <v>-3</v>
      </c>
      <c r="D22" s="71">
        <v>-427</v>
      </c>
      <c r="E22" s="71">
        <v>-563</v>
      </c>
      <c r="F22" s="71">
        <v>-612</v>
      </c>
      <c r="G22" s="71">
        <v>-533</v>
      </c>
      <c r="H22" s="71">
        <v>-516</v>
      </c>
      <c r="I22" s="71">
        <v>-513</v>
      </c>
      <c r="J22" s="71">
        <v>-538</v>
      </c>
      <c r="K22" s="71">
        <v>-644</v>
      </c>
      <c r="L22" s="71">
        <v>-641</v>
      </c>
    </row>
    <row r="23" spans="2:12" x14ac:dyDescent="0.2">
      <c r="B23" s="56" t="s">
        <v>85</v>
      </c>
      <c r="C23" s="71">
        <v>-66</v>
      </c>
      <c r="D23" s="71">
        <v>556</v>
      </c>
      <c r="E23" s="71">
        <v>113</v>
      </c>
      <c r="F23" s="71">
        <v>464</v>
      </c>
      <c r="G23" s="71">
        <v>416</v>
      </c>
      <c r="H23" s="71">
        <v>225</v>
      </c>
      <c r="I23" s="71">
        <v>772</v>
      </c>
      <c r="J23" s="71">
        <v>-139</v>
      </c>
      <c r="K23" s="71">
        <v>681</v>
      </c>
      <c r="L23" s="71">
        <v>962</v>
      </c>
    </row>
    <row r="24" spans="2:12" x14ac:dyDescent="0.2">
      <c r="B24" s="56" t="s">
        <v>68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</row>
    <row r="25" spans="2:12" x14ac:dyDescent="0.2">
      <c r="B25" s="62" t="s">
        <v>69</v>
      </c>
      <c r="C25" s="75">
        <f>SUM(C22:C23)</f>
        <v>-69</v>
      </c>
      <c r="D25" s="75">
        <f t="shared" ref="D25:L25" si="4">SUM(D22:D23)</f>
        <v>129</v>
      </c>
      <c r="E25" s="75">
        <f t="shared" si="4"/>
        <v>-450</v>
      </c>
      <c r="F25" s="75">
        <f t="shared" si="4"/>
        <v>-148</v>
      </c>
      <c r="G25" s="75">
        <f t="shared" si="4"/>
        <v>-117</v>
      </c>
      <c r="H25" s="75">
        <f t="shared" si="4"/>
        <v>-291</v>
      </c>
      <c r="I25" s="75">
        <f t="shared" si="4"/>
        <v>259</v>
      </c>
      <c r="J25" s="75">
        <f t="shared" si="4"/>
        <v>-677</v>
      </c>
      <c r="K25" s="75">
        <f t="shared" si="4"/>
        <v>37</v>
      </c>
      <c r="L25" s="75">
        <f t="shared" si="4"/>
        <v>321</v>
      </c>
    </row>
    <row r="26" spans="2:12" x14ac:dyDescent="0.2">
      <c r="B26" s="62" t="s">
        <v>70</v>
      </c>
      <c r="C26" s="75">
        <f>C18+C25</f>
        <v>8995</v>
      </c>
      <c r="D26" s="75">
        <f t="shared" ref="D26:L26" si="5">D18+D25</f>
        <v>8012</v>
      </c>
      <c r="E26" s="75">
        <f t="shared" si="5"/>
        <v>11694</v>
      </c>
      <c r="F26" s="75">
        <f t="shared" si="5"/>
        <v>12806</v>
      </c>
      <c r="G26" s="75">
        <f t="shared" si="5"/>
        <v>14884</v>
      </c>
      <c r="H26" s="75">
        <f t="shared" si="5"/>
        <v>13790</v>
      </c>
      <c r="I26" s="75">
        <f t="shared" si="5"/>
        <v>16063</v>
      </c>
      <c r="J26" s="75">
        <f t="shared" si="5"/>
        <v>18136</v>
      </c>
      <c r="K26" s="75">
        <f t="shared" si="5"/>
        <v>21037</v>
      </c>
      <c r="L26" s="75">
        <f t="shared" si="5"/>
        <v>23916</v>
      </c>
    </row>
    <row r="27" spans="2:12" x14ac:dyDescent="0.2">
      <c r="B27" s="56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2:12" x14ac:dyDescent="0.2">
      <c r="B28" s="56" t="s">
        <v>71</v>
      </c>
      <c r="C28" s="71">
        <v>2667</v>
      </c>
      <c r="D28" s="71">
        <v>2021</v>
      </c>
      <c r="E28" s="71">
        <v>4995</v>
      </c>
      <c r="F28" s="71">
        <v>2505</v>
      </c>
      <c r="G28" s="71">
        <v>2804</v>
      </c>
      <c r="H28" s="71">
        <v>2924</v>
      </c>
      <c r="I28" s="71">
        <v>3752</v>
      </c>
      <c r="J28" s="71">
        <v>3179</v>
      </c>
      <c r="K28" s="71">
        <v>3764</v>
      </c>
      <c r="L28" s="71">
        <v>4173</v>
      </c>
    </row>
    <row r="29" spans="2:12" x14ac:dyDescent="0.2">
      <c r="B29" s="64" t="s">
        <v>72</v>
      </c>
      <c r="C29" s="75">
        <f>C26-C28</f>
        <v>6328</v>
      </c>
      <c r="D29" s="75">
        <f t="shared" ref="D29:L29" si="6">D26-D28</f>
        <v>5991</v>
      </c>
      <c r="E29" s="75">
        <f t="shared" si="6"/>
        <v>6699</v>
      </c>
      <c r="F29" s="75">
        <f t="shared" si="6"/>
        <v>10301</v>
      </c>
      <c r="G29" s="75">
        <f t="shared" si="6"/>
        <v>12080</v>
      </c>
      <c r="H29" s="75">
        <f t="shared" si="6"/>
        <v>10866</v>
      </c>
      <c r="I29" s="75">
        <f t="shared" si="6"/>
        <v>12311</v>
      </c>
      <c r="J29" s="75">
        <f t="shared" si="6"/>
        <v>14957</v>
      </c>
      <c r="K29" s="75">
        <f t="shared" si="6"/>
        <v>17273</v>
      </c>
      <c r="L29" s="75">
        <f t="shared" si="6"/>
        <v>19743</v>
      </c>
    </row>
    <row r="30" spans="2:12" x14ac:dyDescent="0.2">
      <c r="B30" s="56" t="s">
        <v>73</v>
      </c>
      <c r="C30" s="72">
        <f>C29/C31</f>
        <v>2.5754985754985755</v>
      </c>
      <c r="D30" s="72">
        <f t="shared" ref="D30:L30" si="7">D29/D31</f>
        <v>2.4817729908864954</v>
      </c>
      <c r="E30" s="72">
        <f t="shared" si="7"/>
        <v>2.7970772442588725</v>
      </c>
      <c r="F30" s="72">
        <f t="shared" si="7"/>
        <v>4.4229282954057538</v>
      </c>
      <c r="G30" s="72">
        <f t="shared" si="7"/>
        <v>5.316901408450704</v>
      </c>
      <c r="H30" s="72">
        <f t="shared" si="7"/>
        <v>4.8879892037786776</v>
      </c>
      <c r="I30" s="72">
        <f t="shared" si="7"/>
        <v>5.6265996343692875</v>
      </c>
      <c r="J30" s="72">
        <f t="shared" si="7"/>
        <v>7.0023408239700373</v>
      </c>
      <c r="K30" s="72">
        <f t="shared" si="7"/>
        <v>8.2844124700239803</v>
      </c>
      <c r="L30" s="72">
        <f t="shared" si="7"/>
        <v>9.7304090685066527</v>
      </c>
    </row>
    <row r="31" spans="2:12" x14ac:dyDescent="0.2">
      <c r="B31" s="56" t="s">
        <v>74</v>
      </c>
      <c r="C31" s="4">
        <v>2457</v>
      </c>
      <c r="D31" s="4">
        <v>2414</v>
      </c>
      <c r="E31" s="4">
        <v>2395</v>
      </c>
      <c r="F31" s="4">
        <v>2329</v>
      </c>
      <c r="G31" s="4">
        <v>2272</v>
      </c>
      <c r="H31" s="4">
        <v>2223</v>
      </c>
      <c r="I31" s="4">
        <v>2188</v>
      </c>
      <c r="J31" s="4">
        <v>2136</v>
      </c>
      <c r="K31" s="4">
        <v>2085</v>
      </c>
      <c r="L31" s="4">
        <v>2029</v>
      </c>
    </row>
    <row r="33" spans="2:13" x14ac:dyDescent="0.2">
      <c r="B33" s="56" t="s">
        <v>75</v>
      </c>
      <c r="C33" s="77">
        <f>C18/C7</f>
        <v>0.65302593659942365</v>
      </c>
      <c r="D33" s="77">
        <f t="shared" ref="D33:L33" si="8">D18/D7</f>
        <v>0.52267603766078774</v>
      </c>
      <c r="E33" s="77">
        <f t="shared" si="8"/>
        <v>0.66150996840614451</v>
      </c>
      <c r="F33" s="77">
        <f t="shared" si="8"/>
        <v>0.62856033771653164</v>
      </c>
      <c r="G33" s="77">
        <f t="shared" si="8"/>
        <v>0.65287026156591377</v>
      </c>
      <c r="H33" s="77">
        <f t="shared" si="8"/>
        <v>0.64455735603771858</v>
      </c>
      <c r="I33" s="77">
        <f t="shared" si="8"/>
        <v>0.65563161169881767</v>
      </c>
      <c r="J33" s="77">
        <f t="shared" si="8"/>
        <v>0.64186284544524053</v>
      </c>
      <c r="K33" s="77">
        <f t="shared" si="8"/>
        <v>0.64312620586163594</v>
      </c>
      <c r="L33" s="77">
        <f t="shared" si="8"/>
        <v>0.65676668707899566</v>
      </c>
    </row>
    <row r="34" spans="2:13" x14ac:dyDescent="0.2">
      <c r="B34" s="56"/>
    </row>
    <row r="35" spans="2:13" x14ac:dyDescent="0.2">
      <c r="B35" s="56" t="s">
        <v>76</v>
      </c>
      <c r="C35" s="77">
        <f>C29/C7</f>
        <v>0.45590778097982709</v>
      </c>
      <c r="D35" s="77">
        <f t="shared" ref="D35:L35" si="9">D29/D7</f>
        <v>0.39722848428590374</v>
      </c>
      <c r="E35" s="77">
        <f t="shared" si="9"/>
        <v>0.36490903148491122</v>
      </c>
      <c r="F35" s="77">
        <f t="shared" si="9"/>
        <v>0.49983017128439033</v>
      </c>
      <c r="G35" s="77">
        <f t="shared" si="9"/>
        <v>0.52574313443878662</v>
      </c>
      <c r="H35" s="77">
        <f t="shared" si="9"/>
        <v>0.49739082669596263</v>
      </c>
      <c r="I35" s="77">
        <f t="shared" si="9"/>
        <v>0.51072391619995849</v>
      </c>
      <c r="J35" s="77">
        <f t="shared" si="9"/>
        <v>0.51030365063118388</v>
      </c>
      <c r="K35" s="77">
        <f t="shared" si="9"/>
        <v>0.52898661684990655</v>
      </c>
      <c r="L35" s="77">
        <f t="shared" si="9"/>
        <v>0.54954628959527918</v>
      </c>
    </row>
    <row r="36" spans="2:13" x14ac:dyDescent="0.2">
      <c r="B36" s="56" t="s">
        <v>77</v>
      </c>
      <c r="C36" s="77">
        <f>C28/C26</f>
        <v>0.29649805447470817</v>
      </c>
      <c r="D36" s="77">
        <f t="shared" ref="D36:L36" si="10">D28/D26</f>
        <v>0.2522466300549176</v>
      </c>
      <c r="E36" s="77">
        <f t="shared" si="10"/>
        <v>0.42714212416623909</v>
      </c>
      <c r="F36" s="77">
        <f t="shared" si="10"/>
        <v>0.19561143214118382</v>
      </c>
      <c r="G36" s="77">
        <f t="shared" si="10"/>
        <v>0.18839021768341843</v>
      </c>
      <c r="H36" s="77">
        <f t="shared" si="10"/>
        <v>0.212037708484409</v>
      </c>
      <c r="I36" s="77">
        <f t="shared" si="10"/>
        <v>0.23358027765672665</v>
      </c>
      <c r="J36" s="77">
        <f t="shared" si="10"/>
        <v>0.17528672254080283</v>
      </c>
      <c r="K36" s="77">
        <f t="shared" si="10"/>
        <v>0.17892285021628559</v>
      </c>
      <c r="L36" s="77">
        <f t="shared" si="10"/>
        <v>0.17448569994982438</v>
      </c>
    </row>
    <row r="38" spans="2:13" x14ac:dyDescent="0.2">
      <c r="B38" s="65" t="s">
        <v>87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3" x14ac:dyDescent="0.2">
      <c r="B39" s="66" t="s">
        <v>88</v>
      </c>
    </row>
    <row r="40" spans="2:13" x14ac:dyDescent="0.2">
      <c r="B40" t="s">
        <v>89</v>
      </c>
      <c r="C40" s="71">
        <f>C19</f>
        <v>494</v>
      </c>
      <c r="D40" s="71">
        <f t="shared" ref="D40:L40" si="11">D19</f>
        <v>502</v>
      </c>
      <c r="E40" s="71">
        <f t="shared" si="11"/>
        <v>556</v>
      </c>
      <c r="F40" s="71">
        <f t="shared" si="11"/>
        <v>613</v>
      </c>
      <c r="G40" s="71">
        <f t="shared" si="11"/>
        <v>656</v>
      </c>
      <c r="H40" s="71">
        <f t="shared" si="11"/>
        <v>767</v>
      </c>
      <c r="I40" s="71">
        <f t="shared" si="11"/>
        <v>804</v>
      </c>
      <c r="J40" s="71">
        <f t="shared" si="11"/>
        <v>861</v>
      </c>
      <c r="K40" s="71">
        <f t="shared" si="11"/>
        <v>943</v>
      </c>
      <c r="L40" s="71">
        <f t="shared" si="11"/>
        <v>1034</v>
      </c>
    </row>
    <row r="42" spans="2:13" x14ac:dyDescent="0.2">
      <c r="B42" s="58" t="s">
        <v>92</v>
      </c>
    </row>
    <row r="43" spans="2:13" x14ac:dyDescent="0.2">
      <c r="B43" s="67" t="s">
        <v>93</v>
      </c>
      <c r="C43" s="71">
        <v>378</v>
      </c>
      <c r="D43" s="71">
        <v>391</v>
      </c>
      <c r="E43" s="71">
        <v>94</v>
      </c>
      <c r="F43" s="71">
        <v>-223</v>
      </c>
      <c r="G43" s="71">
        <v>-1533</v>
      </c>
      <c r="H43" s="71">
        <v>1858</v>
      </c>
      <c r="I43" s="71">
        <v>-468</v>
      </c>
      <c r="J43" s="71">
        <v>-397</v>
      </c>
      <c r="K43" s="71">
        <v>-160</v>
      </c>
      <c r="L43" s="71">
        <v>-2175</v>
      </c>
    </row>
    <row r="44" spans="2:13" x14ac:dyDescent="0.2">
      <c r="B44" s="67" t="s">
        <v>94</v>
      </c>
      <c r="C44" s="71">
        <v>-19</v>
      </c>
      <c r="D44" s="71">
        <v>-65</v>
      </c>
      <c r="E44" s="71">
        <v>-54</v>
      </c>
      <c r="F44" s="71">
        <v>-70</v>
      </c>
      <c r="G44" s="71">
        <v>-333</v>
      </c>
      <c r="H44" s="71">
        <v>-43</v>
      </c>
      <c r="I44" s="71">
        <v>-343</v>
      </c>
      <c r="J44" s="71">
        <v>-97</v>
      </c>
      <c r="K44" s="71">
        <v>-250</v>
      </c>
      <c r="L44" s="71">
        <v>-237</v>
      </c>
    </row>
    <row r="45" spans="2:13" x14ac:dyDescent="0.2">
      <c r="B45" s="67" t="s">
        <v>95</v>
      </c>
      <c r="C45" s="71">
        <v>-2970</v>
      </c>
      <c r="D45" s="71">
        <v>-3508</v>
      </c>
      <c r="E45" s="71">
        <v>-4628</v>
      </c>
      <c r="F45" s="71">
        <v>-4682</v>
      </c>
      <c r="G45" s="71">
        <v>-6430</v>
      </c>
      <c r="H45" s="71">
        <v>-8081</v>
      </c>
      <c r="I45" s="71">
        <v>-7510</v>
      </c>
      <c r="J45" s="71">
        <v>-9351</v>
      </c>
      <c r="K45" s="71">
        <v>-11014</v>
      </c>
      <c r="L45" s="71">
        <v>-14067</v>
      </c>
    </row>
    <row r="46" spans="2:13" x14ac:dyDescent="0.2">
      <c r="B46" s="67" t="s">
        <v>96</v>
      </c>
      <c r="C46" s="71">
        <v>-41</v>
      </c>
      <c r="D46" s="71">
        <v>-315</v>
      </c>
      <c r="E46" s="71">
        <v>-252</v>
      </c>
      <c r="F46" s="71">
        <v>-160</v>
      </c>
      <c r="G46" s="71">
        <v>-310</v>
      </c>
      <c r="H46" s="71">
        <v>-402</v>
      </c>
      <c r="I46" s="71">
        <v>-147</v>
      </c>
      <c r="J46" s="71">
        <v>-666</v>
      </c>
      <c r="K46" s="71">
        <v>-24</v>
      </c>
      <c r="L46" s="71">
        <v>-199</v>
      </c>
    </row>
    <row r="47" spans="2:13" x14ac:dyDescent="0.2">
      <c r="B47" s="67" t="s">
        <v>78</v>
      </c>
      <c r="C47" s="71">
        <v>-13</v>
      </c>
      <c r="D47" s="71">
        <v>43</v>
      </c>
      <c r="E47" s="71">
        <v>-30</v>
      </c>
      <c r="F47" s="71">
        <v>3</v>
      </c>
      <c r="G47" s="71">
        <v>-24</v>
      </c>
      <c r="H47" s="71">
        <v>21</v>
      </c>
      <c r="I47" s="71">
        <v>88</v>
      </c>
      <c r="J47" s="71">
        <v>67</v>
      </c>
      <c r="K47" s="71">
        <v>34</v>
      </c>
      <c r="L47" s="71">
        <v>109</v>
      </c>
    </row>
    <row r="48" spans="2:13" x14ac:dyDescent="0.2">
      <c r="B48" s="67" t="s">
        <v>97</v>
      </c>
      <c r="C48" s="71">
        <v>-552</v>
      </c>
      <c r="D48" s="71">
        <v>-302</v>
      </c>
      <c r="E48" s="71">
        <v>-176</v>
      </c>
      <c r="F48" s="71">
        <v>262</v>
      </c>
      <c r="G48" s="71">
        <v>1931</v>
      </c>
      <c r="H48" s="71">
        <v>-2384</v>
      </c>
      <c r="I48" s="71">
        <v>679</v>
      </c>
      <c r="J48" s="71">
        <v>1256</v>
      </c>
      <c r="K48" s="71">
        <v>-194</v>
      </c>
      <c r="L48" s="71">
        <v>1841</v>
      </c>
    </row>
    <row r="49" spans="2:12" x14ac:dyDescent="0.2">
      <c r="B49" s="67" t="s">
        <v>98</v>
      </c>
      <c r="C49" s="71">
        <v>118</v>
      </c>
      <c r="D49" s="71">
        <v>277</v>
      </c>
      <c r="E49" s="71">
        <v>465</v>
      </c>
      <c r="F49" s="71">
        <v>1761</v>
      </c>
      <c r="G49" s="71">
        <v>627</v>
      </c>
      <c r="H49" s="71">
        <v>923</v>
      </c>
      <c r="I49" s="71">
        <v>929</v>
      </c>
      <c r="J49" s="71">
        <v>1055</v>
      </c>
      <c r="K49" s="71">
        <v>1291</v>
      </c>
      <c r="L49" s="71">
        <v>-676</v>
      </c>
    </row>
    <row r="50" spans="2:12" x14ac:dyDescent="0.2">
      <c r="B50" s="67" t="s">
        <v>99</v>
      </c>
      <c r="C50" s="71">
        <v>-432</v>
      </c>
      <c r="D50" s="71">
        <v>-43</v>
      </c>
      <c r="E50" s="71">
        <v>1</v>
      </c>
      <c r="F50" s="71">
        <v>452</v>
      </c>
      <c r="G50" s="71">
        <v>-231</v>
      </c>
      <c r="H50" s="71">
        <v>-290</v>
      </c>
      <c r="I50" s="71">
        <v>70</v>
      </c>
      <c r="J50" s="71">
        <v>476</v>
      </c>
      <c r="K50" s="71">
        <v>295</v>
      </c>
      <c r="L50" s="71">
        <v>-28</v>
      </c>
    </row>
    <row r="51" spans="2:12" x14ac:dyDescent="0.2">
      <c r="C51" s="55"/>
      <c r="D51" s="55"/>
      <c r="E51" s="55"/>
      <c r="F51" s="55"/>
      <c r="G51" s="55"/>
      <c r="H51" s="55"/>
      <c r="I51" s="55"/>
      <c r="J51" s="55"/>
      <c r="K51" s="71"/>
      <c r="L51" s="71"/>
    </row>
    <row r="52" spans="2:12" ht="17" thickBot="1" x14ac:dyDescent="0.25">
      <c r="B52" s="68" t="s">
        <v>100</v>
      </c>
      <c r="C52" s="74">
        <f>SUM(C43:C50)</f>
        <v>-3531</v>
      </c>
      <c r="D52" s="74">
        <f>SUM(D43:D50)</f>
        <v>-3522</v>
      </c>
      <c r="E52" s="74">
        <f t="shared" ref="E52:K52" si="12">SUM(E43:E50)</f>
        <v>-4580</v>
      </c>
      <c r="F52" s="74">
        <f t="shared" si="12"/>
        <v>-2657</v>
      </c>
      <c r="G52" s="74">
        <f t="shared" si="12"/>
        <v>-6303</v>
      </c>
      <c r="H52" s="74">
        <f t="shared" si="12"/>
        <v>-8398</v>
      </c>
      <c r="I52" s="74">
        <f t="shared" si="12"/>
        <v>-6702</v>
      </c>
      <c r="J52" s="74">
        <f t="shared" si="12"/>
        <v>-7657</v>
      </c>
      <c r="K52" s="74">
        <f t="shared" si="12"/>
        <v>-10022</v>
      </c>
      <c r="L52" s="74">
        <f>SUM(L43:L50)</f>
        <v>-15432</v>
      </c>
    </row>
    <row r="53" spans="2:12" ht="17" thickTop="1" x14ac:dyDescent="0.2">
      <c r="B53" s="68"/>
      <c r="C53" s="73"/>
      <c r="D53" s="73"/>
      <c r="E53" s="73"/>
      <c r="F53" s="73"/>
      <c r="G53" s="73"/>
      <c r="H53" s="73"/>
      <c r="I53" s="73"/>
      <c r="J53" s="73"/>
      <c r="K53" s="73"/>
      <c r="L53" s="73"/>
    </row>
    <row r="55" spans="2:12" x14ac:dyDescent="0.2">
      <c r="B55" s="66" t="s">
        <v>90</v>
      </c>
    </row>
    <row r="56" spans="2:12" x14ac:dyDescent="0.2">
      <c r="B56" t="s">
        <v>91</v>
      </c>
      <c r="C56" s="71">
        <v>-414</v>
      </c>
      <c r="D56" s="71">
        <v>-523</v>
      </c>
      <c r="E56" s="71">
        <v>-707</v>
      </c>
      <c r="F56" s="71">
        <v>-718</v>
      </c>
      <c r="G56" s="71">
        <v>-756</v>
      </c>
      <c r="H56" s="71">
        <v>-736</v>
      </c>
      <c r="I56" s="71">
        <v>-705</v>
      </c>
      <c r="J56" s="71">
        <v>-970</v>
      </c>
      <c r="K56" s="71">
        <v>-1059</v>
      </c>
      <c r="L56" s="71">
        <v>-1257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DCF</vt:lpstr>
      <vt:lpstr>WACC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Mutlu</dc:creator>
  <cp:lastModifiedBy>Ihsan Mutlu</cp:lastModifiedBy>
  <dcterms:created xsi:type="dcterms:W3CDTF">2024-12-30T10:37:32Z</dcterms:created>
  <dcterms:modified xsi:type="dcterms:W3CDTF">2024-12-30T13:16:50Z</dcterms:modified>
</cp:coreProperties>
</file>