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PhD\2- Biomass Article\ES&amp;T\files for submission\"/>
    </mc:Choice>
  </mc:AlternateContent>
  <xr:revisionPtr revIDLastSave="0" documentId="13_ncr:1_{CC671B9A-91F3-4B20-AA84-1DC864B8B4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missions (act+FD)" sheetId="1" r:id="rId1"/>
    <sheet name="Emissions from Litter Waste +FD" sheetId="3" r:id="rId2"/>
    <sheet name="Waste From Stocks" sheetId="4" r:id="rId3"/>
    <sheet name="Waste Supply + Litter (act+fd)" sheetId="5" r:id="rId4"/>
    <sheet name="Emissions from WT" sheetId="2" r:id="rId5"/>
    <sheet name="Durables" sheetId="7" r:id="rId6"/>
    <sheet name="Waste Use (act+fd)" sheetId="6" r:id="rId7"/>
    <sheet name="Non-Durabl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6" l="1"/>
  <c r="I21" i="6"/>
  <c r="C19" i="2" l="1"/>
  <c r="I17" i="6" l="1"/>
  <c r="I18" i="6"/>
  <c r="I19" i="6"/>
  <c r="I20" i="6"/>
  <c r="I22" i="6"/>
  <c r="B14" i="5" l="1"/>
  <c r="E16" i="5"/>
  <c r="E14" i="5"/>
  <c r="D16" i="5"/>
  <c r="D14" i="5"/>
  <c r="O10" i="3"/>
  <c r="B10" i="3"/>
  <c r="N10" i="3" l="1"/>
  <c r="M10" i="3"/>
  <c r="L10" i="3"/>
  <c r="K10" i="3"/>
  <c r="J10" i="3"/>
  <c r="I10" i="3"/>
  <c r="H10" i="3"/>
  <c r="G10" i="3"/>
  <c r="F10" i="3"/>
  <c r="E10" i="3"/>
  <c r="D10" i="3"/>
  <c r="C10" i="3"/>
  <c r="C16" i="7"/>
  <c r="D16" i="7"/>
  <c r="E16" i="7"/>
  <c r="F16" i="7"/>
  <c r="G16" i="7"/>
  <c r="H16" i="7"/>
  <c r="I16" i="7"/>
  <c r="J16" i="7"/>
  <c r="K16" i="7"/>
  <c r="L16" i="7"/>
  <c r="M16" i="7"/>
  <c r="N16" i="7"/>
  <c r="B16" i="7"/>
  <c r="H2" i="5"/>
  <c r="AK3" i="8" l="1"/>
  <c r="N7" i="8"/>
  <c r="M7" i="8"/>
  <c r="L7" i="8"/>
  <c r="K7" i="8"/>
  <c r="J7" i="8"/>
  <c r="I7" i="8"/>
  <c r="H7" i="8"/>
  <c r="G7" i="8"/>
  <c r="F7" i="8"/>
  <c r="E7" i="8"/>
  <c r="D7" i="8"/>
  <c r="C7" i="8"/>
  <c r="B7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D2" i="8"/>
  <c r="C2" i="8"/>
  <c r="B2" i="8"/>
  <c r="N15" i="7"/>
  <c r="M15" i="7"/>
  <c r="L15" i="7"/>
  <c r="D15" i="7"/>
  <c r="C15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E15" i="7" s="1"/>
  <c r="P12" i="7"/>
  <c r="Q12" i="7"/>
  <c r="R12" i="7"/>
  <c r="F15" i="7" s="1"/>
  <c r="S12" i="7"/>
  <c r="G15" i="7" s="1"/>
  <c r="T12" i="7"/>
  <c r="U12" i="7"/>
  <c r="H15" i="7" s="1"/>
  <c r="V12" i="7"/>
  <c r="I15" i="7" s="1"/>
  <c r="W12" i="7"/>
  <c r="J15" i="7" s="1"/>
  <c r="X12" i="7"/>
  <c r="Y12" i="7"/>
  <c r="K15" i="7" s="1"/>
  <c r="Z12" i="7"/>
  <c r="AA12" i="7"/>
  <c r="AB12" i="7"/>
  <c r="AC12" i="7"/>
  <c r="AD12" i="7"/>
  <c r="AE12" i="7"/>
  <c r="AF12" i="7"/>
  <c r="AG12" i="7"/>
  <c r="AH12" i="7"/>
  <c r="AI12" i="7"/>
  <c r="AJ12" i="7"/>
  <c r="AK12" i="7"/>
  <c r="O15" i="7" s="1"/>
  <c r="B12" i="7"/>
  <c r="B15" i="7" s="1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D2" i="7"/>
  <c r="C2" i="7"/>
  <c r="B2" i="7"/>
  <c r="H22" i="6"/>
  <c r="G22" i="6"/>
  <c r="F22" i="6"/>
  <c r="E22" i="6"/>
  <c r="D22" i="6"/>
  <c r="C22" i="6"/>
  <c r="B22" i="6"/>
  <c r="H21" i="6"/>
  <c r="G21" i="6"/>
  <c r="F21" i="6"/>
  <c r="E21" i="6"/>
  <c r="D21" i="6"/>
  <c r="C21" i="6"/>
  <c r="B21" i="6"/>
  <c r="H20" i="6"/>
  <c r="G20" i="6"/>
  <c r="F20" i="6"/>
  <c r="E20" i="6"/>
  <c r="D20" i="6"/>
  <c r="C20" i="6"/>
  <c r="B20" i="6"/>
  <c r="H19" i="6"/>
  <c r="G19" i="6"/>
  <c r="F19" i="6"/>
  <c r="E19" i="6"/>
  <c r="D19" i="6"/>
  <c r="C19" i="6"/>
  <c r="B19" i="6"/>
  <c r="H18" i="6"/>
  <c r="G18" i="6"/>
  <c r="F18" i="6"/>
  <c r="E18" i="6"/>
  <c r="D18" i="6"/>
  <c r="C18" i="6"/>
  <c r="B18" i="6"/>
  <c r="H17" i="6"/>
  <c r="G17" i="6"/>
  <c r="G23" i="6" s="1"/>
  <c r="F17" i="6"/>
  <c r="E17" i="6"/>
  <c r="D17" i="6"/>
  <c r="C17" i="6"/>
  <c r="B17" i="6"/>
  <c r="H16" i="6"/>
  <c r="H23" i="6" s="1"/>
  <c r="G16" i="6"/>
  <c r="F16" i="6"/>
  <c r="F23" i="6" s="1"/>
  <c r="E16" i="6"/>
  <c r="E23" i="6" s="1"/>
  <c r="D16" i="6"/>
  <c r="D23" i="6" s="1"/>
  <c r="C16" i="6"/>
  <c r="C23" i="6" s="1"/>
  <c r="B16" i="6"/>
  <c r="B23" i="6" s="1"/>
  <c r="O14" i="5"/>
  <c r="N14" i="5"/>
  <c r="M14" i="5"/>
  <c r="K15" i="5"/>
  <c r="J14" i="5"/>
  <c r="I14" i="5"/>
  <c r="O15" i="5"/>
  <c r="B15" i="5"/>
  <c r="C15" i="5"/>
  <c r="D15" i="5"/>
  <c r="E15" i="5"/>
  <c r="F15" i="5"/>
  <c r="G15" i="5"/>
  <c r="H15" i="5"/>
  <c r="I15" i="5"/>
  <c r="J15" i="5"/>
  <c r="L15" i="5"/>
  <c r="M15" i="5"/>
  <c r="N15" i="5"/>
  <c r="C10" i="5"/>
  <c r="D10" i="5"/>
  <c r="E10" i="5"/>
  <c r="F10" i="5"/>
  <c r="G10" i="5"/>
  <c r="H10" i="5"/>
  <c r="I10" i="5"/>
  <c r="C14" i="5" s="1"/>
  <c r="J10" i="5"/>
  <c r="K10" i="5"/>
  <c r="L10" i="5"/>
  <c r="M10" i="5"/>
  <c r="N10" i="5"/>
  <c r="O10" i="5"/>
  <c r="P10" i="5"/>
  <c r="Q10" i="5"/>
  <c r="R10" i="5"/>
  <c r="F14" i="5" s="1"/>
  <c r="S10" i="5"/>
  <c r="G14" i="5" s="1"/>
  <c r="T10" i="5"/>
  <c r="U10" i="5"/>
  <c r="H14" i="5" s="1"/>
  <c r="V10" i="5"/>
  <c r="W10" i="5"/>
  <c r="X10" i="5"/>
  <c r="Y10" i="5"/>
  <c r="Z10" i="5"/>
  <c r="AA10" i="5"/>
  <c r="K14" i="5" s="1"/>
  <c r="AB10" i="5"/>
  <c r="AC10" i="5"/>
  <c r="L14" i="5" s="1"/>
  <c r="AD10" i="5"/>
  <c r="AE10" i="5"/>
  <c r="AF10" i="5"/>
  <c r="AG10" i="5"/>
  <c r="AH10" i="5"/>
  <c r="AI10" i="5"/>
  <c r="AJ10" i="5"/>
  <c r="AK10" i="5"/>
  <c r="B10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T2" i="5"/>
  <c r="S2" i="5"/>
  <c r="R2" i="5"/>
  <c r="Q2" i="5"/>
  <c r="P2" i="5"/>
  <c r="O2" i="5"/>
  <c r="N2" i="5"/>
  <c r="M2" i="5"/>
  <c r="L2" i="5"/>
  <c r="K2" i="5"/>
  <c r="J2" i="5"/>
  <c r="I2" i="5"/>
  <c r="G2" i="5"/>
  <c r="F2" i="5"/>
  <c r="D2" i="5"/>
  <c r="C2" i="5"/>
  <c r="B2" i="5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D2" i="3"/>
  <c r="C2" i="3"/>
  <c r="B2" i="3"/>
  <c r="G17" i="2"/>
  <c r="E17" i="2"/>
  <c r="I16" i="2"/>
  <c r="G16" i="2"/>
  <c r="E16" i="2"/>
  <c r="C16" i="2"/>
  <c r="I15" i="2"/>
  <c r="G15" i="2"/>
  <c r="E15" i="2"/>
  <c r="C15" i="2"/>
  <c r="I14" i="2"/>
  <c r="G14" i="2"/>
  <c r="G18" i="2" s="1"/>
  <c r="E14" i="2"/>
  <c r="C14" i="2"/>
  <c r="U6" i="2"/>
  <c r="T6" i="2"/>
  <c r="I17" i="2" s="1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17" i="2" s="1"/>
  <c r="O14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N10" i="1"/>
  <c r="M10" i="1"/>
  <c r="L10" i="1"/>
  <c r="K10" i="1"/>
  <c r="J10" i="1"/>
  <c r="I10" i="1"/>
  <c r="H10" i="1"/>
  <c r="G10" i="1"/>
  <c r="F10" i="1"/>
  <c r="E10" i="1"/>
  <c r="C10" i="1"/>
  <c r="B10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D2" i="1"/>
  <c r="C2" i="1"/>
  <c r="B2" i="1"/>
  <c r="L14" i="1" l="1"/>
  <c r="M14" i="1"/>
  <c r="K14" i="1"/>
  <c r="G14" i="1"/>
  <c r="I14" i="1"/>
  <c r="F14" i="1"/>
  <c r="C14" i="1"/>
  <c r="H14" i="1"/>
  <c r="E14" i="1"/>
  <c r="D14" i="1"/>
  <c r="J14" i="1"/>
  <c r="B14" i="1"/>
  <c r="N14" i="1"/>
  <c r="D16" i="2"/>
  <c r="J14" i="2"/>
  <c r="D15" i="2"/>
  <c r="F15" i="2"/>
  <c r="J15" i="2"/>
  <c r="F16" i="2"/>
  <c r="H16" i="2"/>
  <c r="D17" i="2"/>
  <c r="H17" i="2"/>
  <c r="D14" i="2"/>
  <c r="F14" i="2"/>
  <c r="C18" i="2"/>
  <c r="D18" i="2" s="1"/>
  <c r="H14" i="2"/>
  <c r="E18" i="2"/>
  <c r="I18" i="2"/>
  <c r="D19" i="2" l="1"/>
  <c r="K14" i="2"/>
  <c r="H15" i="2"/>
  <c r="K15" i="2" s="1"/>
  <c r="F17" i="2"/>
  <c r="F19" i="2" s="1"/>
  <c r="J17" i="2"/>
  <c r="K17" i="2" s="1"/>
  <c r="J16" i="2"/>
  <c r="K16" i="2" s="1"/>
  <c r="H19" i="2" l="1"/>
  <c r="J19" i="2"/>
  <c r="E19" i="2"/>
</calcChain>
</file>

<file path=xl/sharedStrings.xml><?xml version="1.0" encoding="utf-8"?>
<sst xmlns="http://schemas.openxmlformats.org/spreadsheetml/2006/main" count="332" uniqueCount="91">
  <si>
    <t>AGRICULTURE</t>
  </si>
  <si>
    <t>Manuf. Food. Prods.</t>
  </si>
  <si>
    <t>Livestock</t>
  </si>
  <si>
    <t>Animal Prods.</t>
  </si>
  <si>
    <t>Forestry</t>
  </si>
  <si>
    <t>Manuf. Biomass Prods.</t>
  </si>
  <si>
    <t>Other secs</t>
  </si>
  <si>
    <t>Biofuels, charcoal, rubber</t>
  </si>
  <si>
    <t>Het. Mach.</t>
  </si>
  <si>
    <t>Electricity, Water, Gas</t>
  </si>
  <si>
    <t>Services</t>
  </si>
  <si>
    <t xml:space="preserve">Recycling </t>
  </si>
  <si>
    <t>Waste Treatment</t>
  </si>
  <si>
    <t>Final Demand</t>
  </si>
  <si>
    <t xml:space="preserve">Sugar crops </t>
  </si>
  <si>
    <t>Other sectors</t>
  </si>
  <si>
    <t>CH4</t>
  </si>
  <si>
    <t>CO</t>
  </si>
  <si>
    <t>Carbon dioxide, biogenic</t>
  </si>
  <si>
    <t>Other Emissions</t>
  </si>
  <si>
    <t>Agriculture</t>
  </si>
  <si>
    <t>Manufactured Food Products</t>
  </si>
  <si>
    <t>Animal Products</t>
  </si>
  <si>
    <t>Manufactured Biomass Products</t>
  </si>
  <si>
    <t>Heterogeneous Machinery</t>
  </si>
  <si>
    <t>Electricty, Water, and Biogas</t>
  </si>
  <si>
    <t>Recycling</t>
  </si>
  <si>
    <t>Waste treatment services</t>
  </si>
  <si>
    <t>TOTAL</t>
  </si>
  <si>
    <t>(Biogenic carbon fluxes from global agricultural production and consumption)</t>
  </si>
  <si>
    <t>incineration</t>
  </si>
  <si>
    <t>biogasification and land application</t>
  </si>
  <si>
    <t>composting and land application</t>
  </si>
  <si>
    <t>waste water treatment</t>
  </si>
  <si>
    <t>landfill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</si>
  <si>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</si>
  <si>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</si>
  <si>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</si>
  <si>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</si>
  <si>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</si>
  <si>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</si>
  <si>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</si>
  <si>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</si>
  <si>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</si>
  <si>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</si>
  <si>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</si>
  <si>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</si>
  <si>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</si>
  <si>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</si>
  <si>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</si>
  <si>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</si>
  <si>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</si>
  <si>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</si>
  <si>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</si>
  <si>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</si>
  <si>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Benzo-[a]-pyrene</t>
  </si>
  <si>
    <t>Benzo-[b]-fluoranthene</t>
  </si>
  <si>
    <t>Benzo-[k]-fluoranthene</t>
  </si>
  <si>
    <t>Indeno-[1,2,3-cd]-pyrene</t>
  </si>
  <si>
    <t>HCB</t>
  </si>
  <si>
    <t>% of total</t>
  </si>
  <si>
    <t>biogasification, composting, and land application</t>
  </si>
  <si>
    <t>total of gas</t>
  </si>
  <si>
    <t>Total</t>
  </si>
  <si>
    <t>Textile</t>
  </si>
  <si>
    <t>Wood</t>
  </si>
  <si>
    <t>Paper</t>
  </si>
  <si>
    <t>Construction materials and mining waste (excl. unused mining material)</t>
  </si>
  <si>
    <t>Food</t>
  </si>
  <si>
    <t>Manure</t>
  </si>
  <si>
    <t>Sewage</t>
  </si>
  <si>
    <t>LITTER</t>
  </si>
  <si>
    <t>Manure (conventional treatment)</t>
  </si>
  <si>
    <t>Wood material for treatment, Re-processing of secondary wood material into new wood material</t>
  </si>
  <si>
    <t>Secondary paper for treatment, Re-processing of secondary paper into new pulp</t>
  </si>
  <si>
    <t>Secondary construction material for treatment, Re-processing of secondary construction material into aggregates</t>
  </si>
  <si>
    <t>Oils and hazardous materials</t>
  </si>
  <si>
    <t>Products of forestry; logging and related services (02)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</si>
  <si>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</si>
  <si>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</si>
  <si>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</si>
  <si>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</si>
  <si>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Paper and paper products</t>
  </si>
  <si>
    <t>Printed matter and recorded media (22)</t>
  </si>
  <si>
    <t>Rubber and plastic products (25)</t>
  </si>
  <si>
    <t>Furniture; other manufactured goods n.e.c. (36)</t>
  </si>
  <si>
    <t>DURABLES</t>
  </si>
  <si>
    <t>NON-DURABLES</t>
  </si>
  <si>
    <t>Biofuels, charcoal</t>
  </si>
  <si>
    <t>MANURE</t>
  </si>
  <si>
    <t>TOTAL - MANURE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</si>
</sst>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E+00"/>
    <numFmt numFmtId="165" formatCode="0.0000E+00"/>
    <numFmt numFmtId="166" formatCode="0.00000E+00"/>
    <numFmt numFmtId="168" formatCode="0.000000E+00"/>
    <numFmt numFmtId="169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49" fontId="3" fillId="0" borderId="0" xfId="0" applyNumberFormat="1" applyFont="1" applyFill="1" applyBorder="1"/>
    <xf numFmtId="164" fontId="0" fillId="0" borderId="0" xfId="0" applyNumberFormat="1" applyFill="1" applyBorder="1"/>
    <xf numFmtId="11" fontId="0" fillId="0" borderId="0" xfId="0" applyNumberForma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11" fontId="2" fillId="0" borderId="0" xfId="0" applyNumberFormat="1" applyFont="1" applyFill="1" applyBorder="1"/>
    <xf numFmtId="165" fontId="0" fillId="0" borderId="0" xfId="0" applyNumberFormat="1" applyFill="1" applyBorder="1"/>
    <xf numFmtId="0" fontId="1" fillId="0" borderId="0" xfId="0" applyFont="1" applyFill="1" applyBorder="1"/>
    <xf numFmtId="1" fontId="0" fillId="0" borderId="0" xfId="0" applyNumberFormat="1" applyFill="1" applyBorder="1"/>
    <xf numFmtId="11" fontId="3" fillId="0" borderId="0" xfId="0" applyNumberFormat="1" applyFont="1" applyFill="1" applyBorder="1"/>
    <xf numFmtId="168" fontId="0" fillId="0" borderId="0" xfId="0" applyNumberFormat="1" applyFill="1" applyBorder="1"/>
    <xf numFmtId="0" fontId="1" fillId="0" borderId="0" xfId="0" applyFont="1" applyFill="1"/>
    <xf numFmtId="0" fontId="3" fillId="0" borderId="0" xfId="0" applyFont="1" applyFill="1"/>
    <xf numFmtId="165" fontId="3" fillId="0" borderId="0" xfId="0" applyNumberFormat="1" applyFont="1" applyFill="1"/>
    <xf numFmtId="11" fontId="4" fillId="0" borderId="0" xfId="0" applyNumberFormat="1" applyFont="1" applyFill="1" applyBorder="1"/>
    <xf numFmtId="0" fontId="4" fillId="0" borderId="0" xfId="0" applyFont="1" applyFill="1" applyBorder="1"/>
    <xf numFmtId="165" fontId="2" fillId="0" borderId="0" xfId="0" applyNumberFormat="1" applyFont="1" applyFill="1" applyBorder="1"/>
    <xf numFmtId="166" fontId="4" fillId="0" borderId="0" xfId="0" applyNumberFormat="1" applyFont="1" applyFill="1" applyBorder="1"/>
    <xf numFmtId="166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5" fontId="3" fillId="0" borderId="0" xfId="0" applyNumberFormat="1" applyFont="1" applyFill="1" applyBorder="1"/>
    <xf numFmtId="2" fontId="3" fillId="0" borderId="0" xfId="0" applyNumberFormat="1" applyFont="1" applyFill="1" applyBorder="1"/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" fontId="3" fillId="0" borderId="0" xfId="0" applyNumberFormat="1" applyFont="1" applyFill="1" applyBorder="1"/>
    <xf numFmtId="169" fontId="0" fillId="0" borderId="0" xfId="0" applyNumberFormat="1" applyFill="1" applyBorder="1"/>
    <xf numFmtId="9" fontId="0" fillId="0" borderId="0" xfId="0" applyNumberFormat="1" applyFill="1" applyBorder="1"/>
    <xf numFmtId="2" fontId="0" fillId="0" borderId="0" xfId="0" applyNumberFormat="1" applyFill="1" applyBorder="1"/>
    <xf numFmtId="166" fontId="3" fillId="0" borderId="0" xfId="0" applyNumberFormat="1" applyFont="1" applyFill="1" applyBorder="1"/>
    <xf numFmtId="0" fontId="2" fillId="0" borderId="0" xfId="0" quotePrefix="1" applyFont="1" applyFill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"/>
  <sheetViews>
    <sheetView tabSelected="1" workbookViewId="0">
      <selection activeCell="E16" sqref="A1:XFD1048576"/>
    </sheetView>
  </sheetViews>
  <sheetFormatPr defaultRowHeight="15" x14ac:dyDescent="0.25"/>
  <cols>
    <col min="1" max="1" width="9.140625" style="2"/>
    <col min="2" max="14" width="11.5703125" style="2" bestFit="1" customWidth="1"/>
    <col min="15" max="15" width="10.5703125" style="2" customWidth="1"/>
    <col min="16" max="16384" width="9.140625" style="2"/>
  </cols>
  <sheetData>
    <row r="1" spans="1:37" ht="45" x14ac:dyDescent="0.25">
      <c r="A1" s="3"/>
      <c r="B1" s="7" t="s">
        <v>0</v>
      </c>
      <c r="C1" s="7"/>
      <c r="D1" s="7"/>
      <c r="E1" s="7"/>
      <c r="F1" s="7"/>
      <c r="G1" s="7"/>
      <c r="H1" s="7"/>
      <c r="I1" s="8" t="s">
        <v>1</v>
      </c>
      <c r="J1" s="8"/>
      <c r="K1" s="8"/>
      <c r="L1" s="8"/>
      <c r="M1" s="3" t="s">
        <v>2</v>
      </c>
      <c r="N1" s="8" t="s">
        <v>3</v>
      </c>
      <c r="O1" s="8"/>
      <c r="P1" s="8"/>
      <c r="Q1" s="8"/>
      <c r="R1" s="3" t="s">
        <v>4</v>
      </c>
      <c r="S1" s="8" t="s">
        <v>5</v>
      </c>
      <c r="T1" s="8"/>
      <c r="U1" s="3" t="s">
        <v>6</v>
      </c>
      <c r="V1" s="9" t="s">
        <v>7</v>
      </c>
      <c r="W1" s="7" t="s">
        <v>8</v>
      </c>
      <c r="X1" s="7"/>
      <c r="Y1" s="7" t="s">
        <v>9</v>
      </c>
      <c r="Z1" s="7"/>
      <c r="AA1" s="7"/>
      <c r="AB1" s="8" t="s">
        <v>10</v>
      </c>
      <c r="AC1" s="8"/>
      <c r="AD1" s="8"/>
      <c r="AE1" s="8"/>
      <c r="AF1" s="8"/>
      <c r="AG1" s="8"/>
      <c r="AH1" s="8"/>
      <c r="AI1" s="2" t="s">
        <v>11</v>
      </c>
      <c r="AJ1" s="2" t="s">
        <v>12</v>
      </c>
      <c r="AK1" s="2" t="s">
        <v>13</v>
      </c>
    </row>
    <row r="2" spans="1:37" x14ac:dyDescent="0.25">
      <c r="A2" s="3"/>
      <c r="B2" s="3" t="str">
        <f ca="1">IFERROR(__xludf.DUMMYFUNCTION("ARRAY_CONSTRAIN(ARRAYFORMULA(UNIQUE(D2:D165)), 35, 1)"),"Cereals")</f>
        <v>Cereals</v>
      </c>
      <c r="C2" s="3" t="str">
        <f ca="1">IFERROR(__xludf.DUMMYFUNCTION("""COMPUTED_VALUE"""),"Vegetables, fruit, nuts, pulses, spices")</f>
        <v>Vegetables, fruit, nuts, pulses, spices</v>
      </c>
      <c r="D2" s="3" t="str">
        <f ca="1">IFERROR(__xludf.DUMMYFUNCTION("""COMPUTED_VALUE"""),"Oil crops")</f>
        <v>Oil crops</v>
      </c>
      <c r="E2" s="3" t="s">
        <v>14</v>
      </c>
      <c r="F2" s="3" t="str">
        <f ca="1">IFERROR(__xludf.DUMMYFUNCTION("""COMPUTED_VALUE"""),"Fibre crops")</f>
        <v>Fibre crops</v>
      </c>
      <c r="G2" s="3" t="str">
        <f ca="1">IFERROR(__xludf.DUMMYFUNCTION("""COMPUTED_VALUE"""),"Roots and tubers")</f>
        <v>Roots and tubers</v>
      </c>
      <c r="H2" s="3" t="str">
        <f ca="1">IFERROR(__xludf.DUMMYFUNCTION("""COMPUTED_VALUE"""),"Tobacco")</f>
        <v>Tobacco</v>
      </c>
      <c r="I2" s="3" t="str">
        <f ca="1">IFERROR(__xludf.DUMMYFUNCTION("""COMPUTED_VALUE"""),"Vegetable oils, oil cakes")</f>
        <v>Vegetable oils, oil cakes</v>
      </c>
      <c r="J2" s="3" t="str">
        <f ca="1">IFERROR(__xludf.DUMMYFUNCTION("""COMPUTED_VALUE"""),"Processed food products")</f>
        <v>Processed food products</v>
      </c>
      <c r="K2" s="3" t="str">
        <f ca="1">IFERROR(__xludf.DUMMYFUNCTION("""COMPUTED_VALUE"""),"Coffee, tea, cocoa, ")</f>
        <v xml:space="preserve">Coffee, tea, cocoa, </v>
      </c>
      <c r="L2" s="3" t="str">
        <f ca="1">IFERROR(__xludf.DUMMYFUNCTION("""COMPUTED_VALUE"""),"Alcohol")</f>
        <v>Alcohol</v>
      </c>
      <c r="M2" s="3" t="str">
        <f ca="1">IFERROR(__xludf.DUMMYFUNCTION("""COMPUTED_VALUE"""),"Live animals")</f>
        <v>Live animals</v>
      </c>
      <c r="N2" s="10" t="str">
        <f ca="1">IFERROR(__xludf.DUMMYFUNCTION("""COMPUTED_VALUE"""),"Milk, Eggs, and Honey")</f>
        <v>Milk, Eggs, and Honey</v>
      </c>
      <c r="O2" s="3" t="str">
        <f ca="1">IFERROR(__xludf.DUMMYFUNCTION("""COMPUTED_VALUE"""),"Hides, skins, wool")</f>
        <v>Hides, skins, wool</v>
      </c>
      <c r="P2" s="3" t="str">
        <f ca="1">IFERROR(__xludf.DUMMYFUNCTION("""COMPUTED_VALUE"""),"Manure")</f>
        <v>Manure</v>
      </c>
      <c r="Q2" s="3" t="str">
        <f ca="1">IFERROR(__xludf.DUMMYFUNCTION("""COMPUTED_VALUE"""),"Meat, Animal Fats, and Fish")</f>
        <v>Meat, Animal Fats, and Fish</v>
      </c>
      <c r="R2" s="3" t="str">
        <f ca="1">IFERROR(__xludf.DUMMYFUNCTION("""COMPUTED_VALUE"""),"Wood products")</f>
        <v>Wood products</v>
      </c>
      <c r="S2" s="3" t="str">
        <f ca="1">IFERROR(__xludf.DUMMYFUNCTION("""COMPUTED_VALUE"""),"Textiles and Wearing apparel")</f>
        <v>Textiles and Wearing apparel</v>
      </c>
      <c r="T2" s="3" t="str">
        <f ca="1">IFERROR(__xludf.DUMMYFUNCTION("""COMPUTED_VALUE"""),"Paper and Pulp")</f>
        <v>Paper and Pulp</v>
      </c>
      <c r="U2" s="3" t="s">
        <v>15</v>
      </c>
      <c r="V2" s="3" t="str">
        <f ca="1">IFERROR(__xludf.DUMMYFUNCTION("""COMPUTED_VALUE"""),"biofuels, charcoal, rubber")</f>
        <v>biofuels, charcoal, rubber</v>
      </c>
      <c r="W2" s="3" t="str">
        <f ca="1">IFERROR(__xludf.DUMMYFUNCTION("""COMPUTED_VALUE"""),"Transport Vehicles")</f>
        <v>Transport Vehicles</v>
      </c>
      <c r="X2" s="3" t="str">
        <f ca="1">IFERROR(__xludf.DUMMYFUNCTION("""COMPUTED_VALUE"""),"Heterogeneous Machinery")</f>
        <v>Heterogeneous Machinery</v>
      </c>
      <c r="Y2" s="3" t="str">
        <f ca="1">IFERROR(__xludf.DUMMYFUNCTION("""COMPUTED_VALUE"""),"Electricity Production and Services")</f>
        <v>Electricity Production and Services</v>
      </c>
      <c r="Z2" s="3" t="str">
        <f ca="1">IFERROR(__xludf.DUMMYFUNCTION("""COMPUTED_VALUE"""),"Secondary Gases and Services")</f>
        <v>Secondary Gases and Services</v>
      </c>
      <c r="AA2" s="3" t="str">
        <f ca="1">IFERROR(__xludf.DUMMYFUNCTION("""COMPUTED_VALUE"""),"Water Services")</f>
        <v>Water Services</v>
      </c>
      <c r="AB2" s="3" t="str">
        <f ca="1">IFERROR(__xludf.DUMMYFUNCTION("""COMPUTED_VALUE"""),"Construction ")</f>
        <v xml:space="preserve">Construction </v>
      </c>
      <c r="AC2" s="3" t="str">
        <f ca="1">IFERROR(__xludf.DUMMYFUNCTION("""COMPUTED_VALUE"""),"Wholesale and retail trade ")</f>
        <v xml:space="preserve">Wholesale and retail trade </v>
      </c>
      <c r="AD2" s="3" t="str">
        <f ca="1">IFERROR(__xludf.DUMMYFUNCTION("""COMPUTED_VALUE"""),"Hotels and restaurants ")</f>
        <v xml:space="preserve">Hotels and restaurants </v>
      </c>
      <c r="AE2" s="3" t="str">
        <f ca="1">IFERROR(__xludf.DUMMYFUNCTION("""COMPUTED_VALUE"""),"Transport, storage and communications ")</f>
        <v xml:space="preserve">Transport, storage and communications </v>
      </c>
      <c r="AF2" s="3" t="str">
        <f ca="1">IFERROR(__xludf.DUMMYFUNCTION("""COMPUTED_VALUE"""),"Financial and Insurance Activities ")</f>
        <v xml:space="preserve">Financial and Insurance Activities </v>
      </c>
      <c r="AG2" s="3" t="str">
        <f ca="1">IFERROR(__xludf.DUMMYFUNCTION("""COMPUTED_VALUE"""),"Real estate, renting and business activities ")</f>
        <v xml:space="preserve">Real estate, renting and business activities </v>
      </c>
      <c r="AH2" s="3" t="str">
        <f ca="1">IFERROR(__xludf.DUMMYFUNCTION("""COMPUTED_VALUE"""),"Public Services")</f>
        <v>Public Services</v>
      </c>
      <c r="AI2" s="3" t="str">
        <f ca="1">IFERROR(__xludf.DUMMYFUNCTION("""COMPUTED_VALUE"""),"Recycling")</f>
        <v>Recycling</v>
      </c>
      <c r="AJ2" s="3" t="str">
        <f ca="1">IFERROR(__xludf.DUMMYFUNCTION("""COMPUTED_VALUE"""),"Waste treatment services")</f>
        <v>Waste treatment services</v>
      </c>
      <c r="AK2" s="2" t="s">
        <v>13</v>
      </c>
    </row>
    <row r="3" spans="1:37" x14ac:dyDescent="0.25">
      <c r="A3" s="4" t="s">
        <v>16</v>
      </c>
      <c r="B3" s="6">
        <v>32074167.859125301</v>
      </c>
      <c r="C3" s="6">
        <v>9769.6602893488198</v>
      </c>
      <c r="D3" s="6">
        <v>10592.3181138854</v>
      </c>
      <c r="E3" s="6">
        <v>1102.9457988990901</v>
      </c>
      <c r="F3" s="6">
        <v>599.31372368221798</v>
      </c>
      <c r="G3" s="6">
        <v>369.82995279011999</v>
      </c>
      <c r="H3" s="6">
        <v>19988.0822033845</v>
      </c>
      <c r="I3" s="6">
        <v>917.31998549843604</v>
      </c>
      <c r="J3" s="6">
        <v>7617.4791093939702</v>
      </c>
      <c r="K3" s="6">
        <v>17357.916360793701</v>
      </c>
      <c r="L3" s="6">
        <v>9814.4461170597497</v>
      </c>
      <c r="M3" s="6">
        <v>42711404.408666097</v>
      </c>
      <c r="N3" s="6">
        <v>27937287.545274802</v>
      </c>
      <c r="O3" s="6">
        <v>228911.537706806</v>
      </c>
      <c r="P3" s="6">
        <v>6429.8026634288999</v>
      </c>
      <c r="Q3" s="6">
        <v>10639.821409786</v>
      </c>
      <c r="R3" s="6">
        <v>12958.268089818101</v>
      </c>
      <c r="S3" s="6">
        <v>6858.2894067080597</v>
      </c>
      <c r="T3" s="6">
        <v>10728.8027185349</v>
      </c>
      <c r="U3" s="6">
        <v>85838452.951688707</v>
      </c>
      <c r="V3" s="6">
        <v>110806.368109573</v>
      </c>
      <c r="W3" s="6">
        <v>54822.057169683903</v>
      </c>
      <c r="X3" s="6">
        <v>19395.332008743299</v>
      </c>
      <c r="Y3" s="6">
        <v>877420.26362900203</v>
      </c>
      <c r="Z3" s="6">
        <v>6847.3193142310201</v>
      </c>
      <c r="AA3" s="6">
        <v>576632.91679803305</v>
      </c>
      <c r="AB3" s="6">
        <v>16152.8656595665</v>
      </c>
      <c r="AC3" s="6">
        <v>177868.34928239201</v>
      </c>
      <c r="AD3" s="6">
        <v>277831.53116202401</v>
      </c>
      <c r="AE3" s="6">
        <v>93671.782273175995</v>
      </c>
      <c r="AF3" s="6">
        <v>21784.888658914399</v>
      </c>
      <c r="AG3" s="6">
        <v>78286.906023428804</v>
      </c>
      <c r="AH3" s="6">
        <v>385195.13844548602</v>
      </c>
      <c r="AI3" s="6">
        <v>44468.389997670703</v>
      </c>
      <c r="AJ3" s="6">
        <v>25566030.023138899</v>
      </c>
    </row>
    <row r="4" spans="1:37" x14ac:dyDescent="0.25">
      <c r="A4" s="4" t="s">
        <v>17</v>
      </c>
      <c r="B4" s="6">
        <v>253573.78869350901</v>
      </c>
      <c r="C4" s="6">
        <v>120137.71332608099</v>
      </c>
      <c r="D4" s="6">
        <v>114360.20087375</v>
      </c>
      <c r="E4" s="6">
        <v>34835.035254251598</v>
      </c>
      <c r="F4" s="6">
        <v>11947.379709410799</v>
      </c>
      <c r="G4" s="6">
        <v>10252.0696566891</v>
      </c>
      <c r="H4" s="6">
        <v>37890.443321690997</v>
      </c>
      <c r="I4" s="6">
        <v>14021.078092773399</v>
      </c>
      <c r="J4" s="6">
        <v>100310.36426811</v>
      </c>
      <c r="K4" s="6">
        <v>85442.996468728597</v>
      </c>
      <c r="L4" s="6">
        <v>78327.937585053907</v>
      </c>
      <c r="M4" s="6">
        <v>24813.508574728501</v>
      </c>
      <c r="N4" s="6">
        <v>27318.5399744678</v>
      </c>
      <c r="O4" s="6">
        <v>5782.6035634876498</v>
      </c>
      <c r="P4" s="6">
        <v>71447.696493119904</v>
      </c>
      <c r="Q4" s="6">
        <v>63491.875199972899</v>
      </c>
      <c r="R4" s="6">
        <v>358318.64777396002</v>
      </c>
      <c r="S4" s="6">
        <v>37108.288886841299</v>
      </c>
      <c r="T4" s="6">
        <v>229477.91446138301</v>
      </c>
      <c r="U4" s="6">
        <v>29760826.540797301</v>
      </c>
      <c r="V4" s="6">
        <v>643461.13476923003</v>
      </c>
      <c r="W4" s="6">
        <v>284839.898363196</v>
      </c>
      <c r="X4" s="6">
        <v>117380.021887966</v>
      </c>
      <c r="Y4" s="6">
        <v>1116676.9006177899</v>
      </c>
      <c r="Z4" s="6">
        <v>8666.8143297697807</v>
      </c>
      <c r="AA4" s="6">
        <v>168968.19849329701</v>
      </c>
      <c r="AB4" s="6">
        <v>460319.14741541399</v>
      </c>
      <c r="AC4" s="6">
        <v>1198022.9210822701</v>
      </c>
      <c r="AD4" s="6">
        <v>200727.944072613</v>
      </c>
      <c r="AE4" s="6">
        <v>2644465.3841234501</v>
      </c>
      <c r="AF4" s="6">
        <v>116590.687984066</v>
      </c>
      <c r="AG4" s="6">
        <v>2067942.9454429699</v>
      </c>
      <c r="AH4" s="6">
        <v>1540874.1297384801</v>
      </c>
      <c r="AI4" s="6">
        <v>160894.92308508599</v>
      </c>
      <c r="AJ4" s="6">
        <v>71787.937674335</v>
      </c>
    </row>
    <row r="5" spans="1:37" x14ac:dyDescent="0.25">
      <c r="A5" s="4" t="s">
        <v>18</v>
      </c>
      <c r="B5" s="6">
        <v>551807.35218288796</v>
      </c>
      <c r="C5" s="6">
        <v>144479.653956378</v>
      </c>
      <c r="D5" s="6">
        <v>326919.46102818701</v>
      </c>
      <c r="E5" s="6">
        <v>47099.886844448003</v>
      </c>
      <c r="F5" s="6">
        <v>27834.324905606201</v>
      </c>
      <c r="G5" s="6">
        <v>4310.4706322277998</v>
      </c>
      <c r="H5" s="6">
        <v>89588.526996143002</v>
      </c>
      <c r="I5" s="6">
        <v>28708.973206596202</v>
      </c>
      <c r="J5" s="6">
        <v>379165.08487955102</v>
      </c>
      <c r="K5" s="6">
        <v>237324.267580874</v>
      </c>
      <c r="L5" s="6">
        <v>306188.60950640199</v>
      </c>
      <c r="M5" s="6">
        <v>47065.8706484211</v>
      </c>
      <c r="N5" s="6">
        <v>31687.955685518999</v>
      </c>
      <c r="O5" s="6">
        <v>24623.173292376901</v>
      </c>
      <c r="P5" s="6">
        <v>506728650.10510898</v>
      </c>
      <c r="Q5" s="6">
        <v>115525.67772752899</v>
      </c>
      <c r="R5" s="6">
        <v>196378.764122416</v>
      </c>
      <c r="S5" s="6">
        <v>95382.1047006187</v>
      </c>
      <c r="T5" s="6">
        <v>63985773.3275581</v>
      </c>
      <c r="U5" s="6">
        <v>2237926.3284622799</v>
      </c>
      <c r="V5" s="6">
        <v>1667364.5160995</v>
      </c>
      <c r="W5" s="6">
        <v>641323.13058367604</v>
      </c>
      <c r="X5" s="6">
        <v>442384.96828288701</v>
      </c>
      <c r="Y5" s="6">
        <v>10989116.8456288</v>
      </c>
      <c r="Z5" s="6">
        <v>46011.592054062698</v>
      </c>
      <c r="AA5" s="6">
        <v>5395144.7511099903</v>
      </c>
      <c r="AB5" s="6">
        <v>2805343.5643222802</v>
      </c>
      <c r="AC5" s="6">
        <v>6228484.4835202601</v>
      </c>
      <c r="AD5" s="6">
        <v>274105934.41991103</v>
      </c>
      <c r="AE5" s="6">
        <v>12795528.510578601</v>
      </c>
      <c r="AF5" s="6">
        <v>390912.25629125698</v>
      </c>
      <c r="AG5" s="6">
        <v>9606453.8281675391</v>
      </c>
      <c r="AH5" s="6">
        <v>181994032.40163901</v>
      </c>
      <c r="AI5" s="6">
        <v>140179.63144429101</v>
      </c>
      <c r="AJ5" s="6">
        <v>155485238.93041101</v>
      </c>
    </row>
    <row r="6" spans="1:37" x14ac:dyDescent="0.25">
      <c r="A6" s="4" t="s">
        <v>19</v>
      </c>
      <c r="B6" s="6">
        <v>223.47503070529899</v>
      </c>
      <c r="C6" s="6">
        <v>111.448486382236</v>
      </c>
      <c r="D6" s="6">
        <v>80.810137762905697</v>
      </c>
      <c r="E6" s="6">
        <v>7.4294918008642901</v>
      </c>
      <c r="F6" s="6">
        <v>14.550720838175099</v>
      </c>
      <c r="G6" s="6">
        <v>3.5437056690002602</v>
      </c>
      <c r="H6" s="6">
        <v>22.948322979821601</v>
      </c>
      <c r="I6" s="6">
        <v>5.6847128164789096</v>
      </c>
      <c r="J6" s="6">
        <v>74.3237850387397</v>
      </c>
      <c r="K6" s="6">
        <v>47.071823789240902</v>
      </c>
      <c r="L6" s="6">
        <v>36.495997274819203</v>
      </c>
      <c r="M6" s="6">
        <v>13.1851960408619</v>
      </c>
      <c r="N6" s="6">
        <v>8.3989740801699302</v>
      </c>
      <c r="O6" s="6">
        <v>4.6816681743584203</v>
      </c>
      <c r="P6" s="6">
        <v>70.880939839287194</v>
      </c>
      <c r="Q6" s="6">
        <v>26.400305409276701</v>
      </c>
      <c r="R6" s="6">
        <v>48.249316651388597</v>
      </c>
      <c r="S6" s="6">
        <v>40.190157824225999</v>
      </c>
      <c r="T6" s="6">
        <v>58.059160959804402</v>
      </c>
      <c r="U6" s="6">
        <v>27830.2195066229</v>
      </c>
      <c r="V6" s="6">
        <v>134.92128102493899</v>
      </c>
      <c r="W6" s="6">
        <v>177.09001463569501</v>
      </c>
      <c r="X6" s="6">
        <v>8.7359538901225999</v>
      </c>
      <c r="Y6" s="6">
        <v>1.0713455116450199</v>
      </c>
      <c r="Z6" s="6">
        <v>4.0393126554796398E-2</v>
      </c>
      <c r="AA6" s="6">
        <v>8.8436157821541208</v>
      </c>
      <c r="AB6" s="6">
        <v>18.470323351615001</v>
      </c>
      <c r="AC6" s="6">
        <v>77.920221822446194</v>
      </c>
      <c r="AD6" s="6">
        <v>89.461936917601605</v>
      </c>
      <c r="AE6" s="6">
        <v>105.337684644688</v>
      </c>
      <c r="AF6" s="6">
        <v>8.6546464034646</v>
      </c>
      <c r="AG6" s="6">
        <v>104.418180031334</v>
      </c>
      <c r="AH6" s="6">
        <v>405.82944911296602</v>
      </c>
      <c r="AI6" s="6">
        <v>20.808307199335701</v>
      </c>
      <c r="AJ6" s="6">
        <v>31.4387616510522</v>
      </c>
    </row>
    <row r="8" spans="1:37" x14ac:dyDescent="0.25">
      <c r="D8" s="2" t="s">
        <v>29</v>
      </c>
    </row>
    <row r="9" spans="1:37" x14ac:dyDescent="0.25">
      <c r="B9" s="3" t="s">
        <v>20</v>
      </c>
      <c r="C9" s="3" t="s">
        <v>21</v>
      </c>
      <c r="D9" s="3" t="s">
        <v>2</v>
      </c>
      <c r="E9" s="3" t="s">
        <v>22</v>
      </c>
      <c r="F9" s="3" t="s">
        <v>4</v>
      </c>
      <c r="G9" s="3" t="s">
        <v>23</v>
      </c>
      <c r="H9" s="3" t="s">
        <v>15</v>
      </c>
      <c r="I9" s="3" t="s">
        <v>7</v>
      </c>
      <c r="J9" s="3" t="s">
        <v>24</v>
      </c>
      <c r="K9" s="3" t="s">
        <v>25</v>
      </c>
      <c r="L9" s="3" t="s">
        <v>10</v>
      </c>
      <c r="M9" s="3" t="s">
        <v>26</v>
      </c>
      <c r="N9" s="3" t="s">
        <v>27</v>
      </c>
      <c r="O9" s="3" t="s">
        <v>13</v>
      </c>
    </row>
    <row r="10" spans="1:37" x14ac:dyDescent="0.25">
      <c r="A10" s="4" t="s">
        <v>16</v>
      </c>
      <c r="B10" s="5">
        <f>SUM(B3:H3)</f>
        <v>32116590.009207293</v>
      </c>
      <c r="C10" s="5">
        <f>SUM(I3:L3)</f>
        <v>35707.161572745856</v>
      </c>
      <c r="D10" s="5">
        <v>71600000</v>
      </c>
      <c r="E10" s="5">
        <f>SUM(N3:Q3)</f>
        <v>28183268.707054824</v>
      </c>
      <c r="F10" s="5">
        <f>SUM(R3)</f>
        <v>12958.268089818101</v>
      </c>
      <c r="G10" s="5">
        <f>SUM(S3:T3)</f>
        <v>17587.092125242962</v>
      </c>
      <c r="H10" s="5">
        <f>U3</f>
        <v>85838452.951688707</v>
      </c>
      <c r="I10" s="5">
        <f>V3</f>
        <v>110806.368109573</v>
      </c>
      <c r="J10" s="5">
        <f>W3+X3</f>
        <v>74217.389178427198</v>
      </c>
      <c r="K10" s="5">
        <f>Y3+Z3+AA3</f>
        <v>1460900.499741266</v>
      </c>
      <c r="L10" s="5">
        <f>SUM(AB3:AH3)</f>
        <v>1050791.4615049877</v>
      </c>
      <c r="M10" s="5">
        <f>AI3</f>
        <v>44468.389997670703</v>
      </c>
      <c r="N10" s="5">
        <f>AJ3</f>
        <v>25566030.023138899</v>
      </c>
      <c r="O10" s="6">
        <v>4835742.3636380499</v>
      </c>
    </row>
    <row r="11" spans="1:37" x14ac:dyDescent="0.25">
      <c r="A11" s="4" t="s">
        <v>17</v>
      </c>
      <c r="B11" s="5">
        <f t="shared" ref="B11:B13" si="0">SUM(B4:H4)</f>
        <v>582996.6308353825</v>
      </c>
      <c r="C11" s="5">
        <f t="shared" ref="C11:C13" si="1">SUM(I4:L4)</f>
        <v>278102.37641466589</v>
      </c>
      <c r="D11" s="5">
        <f t="shared" ref="D11:D13" si="2">M4</f>
        <v>24813.508574728501</v>
      </c>
      <c r="E11" s="5">
        <f t="shared" ref="E11:E13" si="3">SUM(N4:Q4)</f>
        <v>168040.71523104823</v>
      </c>
      <c r="F11" s="5">
        <f t="shared" ref="F11:F13" si="4">SUM(R4)</f>
        <v>358318.64777396002</v>
      </c>
      <c r="G11" s="5">
        <f t="shared" ref="G11:G13" si="5">SUM(S4:T4)</f>
        <v>266586.20334822428</v>
      </c>
      <c r="H11" s="5">
        <f t="shared" ref="H11:I11" si="6">U4</f>
        <v>29760826.540797301</v>
      </c>
      <c r="I11" s="5">
        <f t="shared" si="6"/>
        <v>643461.13476923003</v>
      </c>
      <c r="J11" s="5">
        <f t="shared" ref="J11:J13" si="7">W4+X4</f>
        <v>402219.92025116202</v>
      </c>
      <c r="K11" s="5">
        <f t="shared" ref="K11:K13" si="8">Y4+Z4+AA4</f>
        <v>1294311.9134408566</v>
      </c>
      <c r="L11" s="5">
        <f t="shared" ref="L11:L13" si="9">SUM(AB4:AH4)</f>
        <v>8228943.1598592633</v>
      </c>
      <c r="M11" s="5">
        <f t="shared" ref="M11:N11" si="10">AI4</f>
        <v>160894.92308508599</v>
      </c>
      <c r="N11" s="5">
        <f t="shared" si="10"/>
        <v>71787.937674335</v>
      </c>
      <c r="O11" s="6">
        <v>37218140.176466897</v>
      </c>
    </row>
    <row r="12" spans="1:37" x14ac:dyDescent="0.25">
      <c r="A12" s="4" t="s">
        <v>18</v>
      </c>
      <c r="B12" s="5">
        <f t="shared" si="0"/>
        <v>1192039.6765458779</v>
      </c>
      <c r="C12" s="5">
        <f t="shared" si="1"/>
        <v>951386.93517342326</v>
      </c>
      <c r="D12" s="5">
        <v>2310000000</v>
      </c>
      <c r="E12" s="5">
        <f t="shared" si="3"/>
        <v>506900486.91181439</v>
      </c>
      <c r="F12" s="5">
        <f t="shared" si="4"/>
        <v>196378.764122416</v>
      </c>
      <c r="G12" s="5">
        <f t="shared" si="5"/>
        <v>64081155.432258718</v>
      </c>
      <c r="H12" s="5">
        <f t="shared" ref="H12:I12" si="11">U5</f>
        <v>2237926.3284622799</v>
      </c>
      <c r="I12" s="5">
        <f t="shared" si="11"/>
        <v>1667364.5160995</v>
      </c>
      <c r="J12" s="5">
        <f t="shared" si="7"/>
        <v>1083708.0988665631</v>
      </c>
      <c r="K12" s="5">
        <f t="shared" si="8"/>
        <v>16430273.188792855</v>
      </c>
      <c r="L12" s="5">
        <f t="shared" si="9"/>
        <v>487926689.46442997</v>
      </c>
      <c r="M12" s="5">
        <f t="shared" ref="M12:N12" si="12">AI5</f>
        <v>140179.63144429101</v>
      </c>
      <c r="N12" s="5">
        <f t="shared" si="12"/>
        <v>155485238.93041101</v>
      </c>
      <c r="O12" s="6">
        <v>986010526.583004</v>
      </c>
    </row>
    <row r="13" spans="1:37" x14ac:dyDescent="0.25">
      <c r="A13" s="4" t="s">
        <v>19</v>
      </c>
      <c r="B13" s="5">
        <f t="shared" si="0"/>
        <v>464.20589613830197</v>
      </c>
      <c r="C13" s="5">
        <f t="shared" si="1"/>
        <v>163.57631891927872</v>
      </c>
      <c r="D13" s="5">
        <f t="shared" si="2"/>
        <v>13.1851960408619</v>
      </c>
      <c r="E13" s="5">
        <f t="shared" si="3"/>
        <v>110.36188750309223</v>
      </c>
      <c r="F13" s="5">
        <f t="shared" si="4"/>
        <v>48.249316651388597</v>
      </c>
      <c r="G13" s="5">
        <f t="shared" si="5"/>
        <v>98.249318784030407</v>
      </c>
      <c r="H13" s="5">
        <f t="shared" ref="H13:I13" si="13">U6</f>
        <v>27830.2195066229</v>
      </c>
      <c r="I13" s="5">
        <f t="shared" si="13"/>
        <v>134.92128102493899</v>
      </c>
      <c r="J13" s="5">
        <f t="shared" si="7"/>
        <v>185.82596852581761</v>
      </c>
      <c r="K13" s="5">
        <f t="shared" si="8"/>
        <v>9.9553544203539364</v>
      </c>
      <c r="L13" s="5">
        <f t="shared" si="9"/>
        <v>810.09244228411546</v>
      </c>
      <c r="M13" s="5">
        <f t="shared" ref="M13:N13" si="14">AI6</f>
        <v>20.808307199335701</v>
      </c>
      <c r="N13" s="5">
        <f t="shared" si="14"/>
        <v>31.4387616510522</v>
      </c>
      <c r="O13" s="6">
        <v>7579.6456230035001</v>
      </c>
    </row>
    <row r="14" spans="1:37" s="6" customFormat="1" x14ac:dyDescent="0.25">
      <c r="A14" s="10" t="s">
        <v>28</v>
      </c>
      <c r="B14" s="6">
        <f>SUM(B10:B13)</f>
        <v>33892090.522484697</v>
      </c>
      <c r="C14" s="6">
        <f t="shared" ref="C14:O14" si="15">SUM(C10:C13)</f>
        <v>1265360.0494797542</v>
      </c>
      <c r="D14" s="6">
        <f t="shared" si="15"/>
        <v>2381624826.6937704</v>
      </c>
      <c r="E14" s="6">
        <f t="shared" si="15"/>
        <v>535251906.69598776</v>
      </c>
      <c r="F14" s="6">
        <f t="shared" si="15"/>
        <v>567703.9293028455</v>
      </c>
      <c r="G14" s="6">
        <f t="shared" si="15"/>
        <v>64365426.977050968</v>
      </c>
      <c r="H14" s="6">
        <f t="shared" si="15"/>
        <v>117865036.04045489</v>
      </c>
      <c r="I14" s="6">
        <f t="shared" si="15"/>
        <v>2421766.9402593281</v>
      </c>
      <c r="J14" s="6">
        <f t="shared" si="15"/>
        <v>1560331.2342646781</v>
      </c>
      <c r="K14" s="6">
        <f t="shared" si="15"/>
        <v>19185495.557329398</v>
      </c>
      <c r="L14" s="6">
        <f t="shared" si="15"/>
        <v>497207234.17823648</v>
      </c>
      <c r="M14" s="6">
        <f t="shared" si="15"/>
        <v>345563.75283424702</v>
      </c>
      <c r="N14" s="6">
        <f t="shared" si="15"/>
        <v>181123088.32998589</v>
      </c>
      <c r="O14" s="6">
        <f t="shared" si="15"/>
        <v>1028071988.768732</v>
      </c>
    </row>
  </sheetData>
  <mergeCells count="7">
    <mergeCell ref="AB1:AH1"/>
    <mergeCell ref="B1:H1"/>
    <mergeCell ref="I1:L1"/>
    <mergeCell ref="N1:Q1"/>
    <mergeCell ref="S1:T1"/>
    <mergeCell ref="W1:X1"/>
    <mergeCell ref="Y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42B2-7A4C-46A6-93DC-E6056FEA4270}">
  <dimension ref="A1:AK12"/>
  <sheetViews>
    <sheetView workbookViewId="0">
      <selection activeCell="Q15" sqref="A1:XFD1048576"/>
    </sheetView>
  </sheetViews>
  <sheetFormatPr defaultRowHeight="15" x14ac:dyDescent="0.25"/>
  <cols>
    <col min="1" max="14" width="9.140625" style="2"/>
    <col min="15" max="15" width="12.5703125" style="2" bestFit="1" customWidth="1"/>
    <col min="16" max="16384" width="9.140625" style="2"/>
  </cols>
  <sheetData>
    <row r="1" spans="1:37" ht="45" x14ac:dyDescent="0.25">
      <c r="A1" s="3"/>
      <c r="B1" s="7" t="s">
        <v>0</v>
      </c>
      <c r="C1" s="7"/>
      <c r="D1" s="7"/>
      <c r="E1" s="7"/>
      <c r="F1" s="7"/>
      <c r="G1" s="7"/>
      <c r="H1" s="7"/>
      <c r="I1" s="8" t="s">
        <v>1</v>
      </c>
      <c r="J1" s="8"/>
      <c r="K1" s="8"/>
      <c r="L1" s="8"/>
      <c r="M1" s="3" t="s">
        <v>2</v>
      </c>
      <c r="N1" s="8" t="s">
        <v>3</v>
      </c>
      <c r="O1" s="8"/>
      <c r="P1" s="8"/>
      <c r="Q1" s="8"/>
      <c r="R1" s="3" t="s">
        <v>4</v>
      </c>
      <c r="S1" s="8" t="s">
        <v>5</v>
      </c>
      <c r="T1" s="8"/>
      <c r="U1" s="3" t="s">
        <v>6</v>
      </c>
      <c r="V1" s="9" t="s">
        <v>7</v>
      </c>
      <c r="W1" s="7" t="s">
        <v>8</v>
      </c>
      <c r="X1" s="7"/>
      <c r="Y1" s="7" t="s">
        <v>9</v>
      </c>
      <c r="Z1" s="7"/>
      <c r="AA1" s="7"/>
      <c r="AB1" s="8" t="s">
        <v>10</v>
      </c>
      <c r="AC1" s="8"/>
      <c r="AD1" s="8"/>
      <c r="AE1" s="8"/>
      <c r="AF1" s="8"/>
      <c r="AG1" s="8"/>
      <c r="AH1" s="8"/>
      <c r="AI1" s="2" t="s">
        <v>11</v>
      </c>
      <c r="AJ1" s="2" t="s">
        <v>12</v>
      </c>
      <c r="AK1" s="2" t="s">
        <v>13</v>
      </c>
    </row>
    <row r="2" spans="1:37" x14ac:dyDescent="0.25">
      <c r="A2" s="3"/>
      <c r="B2" s="3" t="str">
        <f ca="1">IFERROR(__xludf.DUMMYFUNCTION("ARRAY_CONSTRAIN(ARRAYFORMULA(UNIQUE(D2:D165)), 35, 1)"),"Cereals")</f>
        <v>Cereals</v>
      </c>
      <c r="C2" s="3" t="str">
        <f ca="1">IFERROR(__xludf.DUMMYFUNCTION("""COMPUTED_VALUE"""),"Vegetables, fruit, nuts, pulses, spices")</f>
        <v>Vegetables, fruit, nuts, pulses, spices</v>
      </c>
      <c r="D2" s="3" t="str">
        <f ca="1">IFERROR(__xludf.DUMMYFUNCTION("""COMPUTED_VALUE"""),"Oil crops")</f>
        <v>Oil crops</v>
      </c>
      <c r="E2" s="3" t="s">
        <v>14</v>
      </c>
      <c r="F2" s="3" t="str">
        <f ca="1">IFERROR(__xludf.DUMMYFUNCTION("""COMPUTED_VALUE"""),"Fibre crops")</f>
        <v>Fibre crops</v>
      </c>
      <c r="G2" s="3" t="str">
        <f ca="1">IFERROR(__xludf.DUMMYFUNCTION("""COMPUTED_VALUE"""),"Roots and tubers")</f>
        <v>Roots and tubers</v>
      </c>
      <c r="H2" s="3" t="str">
        <f ca="1">IFERROR(__xludf.DUMMYFUNCTION("""COMPUTED_VALUE"""),"Tobacco")</f>
        <v>Tobacco</v>
      </c>
      <c r="I2" s="3" t="str">
        <f ca="1">IFERROR(__xludf.DUMMYFUNCTION("""COMPUTED_VALUE"""),"Vegetable oils, oil cakes")</f>
        <v>Vegetable oils, oil cakes</v>
      </c>
      <c r="J2" s="3" t="str">
        <f ca="1">IFERROR(__xludf.DUMMYFUNCTION("""COMPUTED_VALUE"""),"Processed food products")</f>
        <v>Processed food products</v>
      </c>
      <c r="K2" s="3" t="str">
        <f ca="1">IFERROR(__xludf.DUMMYFUNCTION("""COMPUTED_VALUE"""),"Coffee, tea, cocoa, ")</f>
        <v xml:space="preserve">Coffee, tea, cocoa, </v>
      </c>
      <c r="L2" s="3" t="str">
        <f ca="1">IFERROR(__xludf.DUMMYFUNCTION("""COMPUTED_VALUE"""),"Alcohol")</f>
        <v>Alcohol</v>
      </c>
      <c r="M2" s="3" t="str">
        <f ca="1">IFERROR(__xludf.DUMMYFUNCTION("""COMPUTED_VALUE"""),"Live animals")</f>
        <v>Live animals</v>
      </c>
      <c r="N2" s="10" t="str">
        <f ca="1">IFERROR(__xludf.DUMMYFUNCTION("""COMPUTED_VALUE"""),"Milk, Eggs, and Honey")</f>
        <v>Milk, Eggs, and Honey</v>
      </c>
      <c r="O2" s="3" t="str">
        <f ca="1">IFERROR(__xludf.DUMMYFUNCTION("""COMPUTED_VALUE"""),"Hides, skins, wool")</f>
        <v>Hides, skins, wool</v>
      </c>
      <c r="P2" s="3" t="str">
        <f ca="1">IFERROR(__xludf.DUMMYFUNCTION("""COMPUTED_VALUE"""),"Manure")</f>
        <v>Manure</v>
      </c>
      <c r="Q2" s="3" t="str">
        <f ca="1">IFERROR(__xludf.DUMMYFUNCTION("""COMPUTED_VALUE"""),"Meat, Animal Fats, and Fish")</f>
        <v>Meat, Animal Fats, and Fish</v>
      </c>
      <c r="R2" s="3" t="str">
        <f ca="1">IFERROR(__xludf.DUMMYFUNCTION("""COMPUTED_VALUE"""),"Wood products")</f>
        <v>Wood products</v>
      </c>
      <c r="S2" s="3" t="str">
        <f ca="1">IFERROR(__xludf.DUMMYFUNCTION("""COMPUTED_VALUE"""),"Textiles and Wearing apparel")</f>
        <v>Textiles and Wearing apparel</v>
      </c>
      <c r="T2" s="3" t="str">
        <f ca="1">IFERROR(__xludf.DUMMYFUNCTION("""COMPUTED_VALUE"""),"Paper and Pulp")</f>
        <v>Paper and Pulp</v>
      </c>
      <c r="U2" s="3" t="s">
        <v>15</v>
      </c>
      <c r="V2" s="3" t="str">
        <f ca="1">IFERROR(__xludf.DUMMYFUNCTION("""COMPUTED_VALUE"""),"biofuels, charcoal, rubber")</f>
        <v>biofuels, charcoal, rubber</v>
      </c>
      <c r="W2" s="3" t="str">
        <f ca="1">IFERROR(__xludf.DUMMYFUNCTION("""COMPUTED_VALUE"""),"Transport Vehicles")</f>
        <v>Transport Vehicles</v>
      </c>
      <c r="X2" s="3" t="str">
        <f ca="1">IFERROR(__xludf.DUMMYFUNCTION("""COMPUTED_VALUE"""),"Heterogeneous Machinery")</f>
        <v>Heterogeneous Machinery</v>
      </c>
      <c r="Y2" s="3" t="str">
        <f ca="1">IFERROR(__xludf.DUMMYFUNCTION("""COMPUTED_VALUE"""),"Electricity Production and Services")</f>
        <v>Electricity Production and Services</v>
      </c>
      <c r="Z2" s="3" t="str">
        <f ca="1">IFERROR(__xludf.DUMMYFUNCTION("""COMPUTED_VALUE"""),"Secondary Gases and Services")</f>
        <v>Secondary Gases and Services</v>
      </c>
      <c r="AA2" s="3" t="str">
        <f ca="1">IFERROR(__xludf.DUMMYFUNCTION("""COMPUTED_VALUE"""),"Water Services")</f>
        <v>Water Services</v>
      </c>
      <c r="AB2" s="3" t="str">
        <f ca="1">IFERROR(__xludf.DUMMYFUNCTION("""COMPUTED_VALUE"""),"Construction ")</f>
        <v xml:space="preserve">Construction </v>
      </c>
      <c r="AC2" s="3" t="str">
        <f ca="1">IFERROR(__xludf.DUMMYFUNCTION("""COMPUTED_VALUE"""),"Wholesale and retail trade ")</f>
        <v xml:space="preserve">Wholesale and retail trade </v>
      </c>
      <c r="AD2" s="3" t="str">
        <f ca="1">IFERROR(__xludf.DUMMYFUNCTION("""COMPUTED_VALUE"""),"Hotels and restaurants ")</f>
        <v xml:space="preserve">Hotels and restaurants </v>
      </c>
      <c r="AE2" s="3" t="str">
        <f ca="1">IFERROR(__xludf.DUMMYFUNCTION("""COMPUTED_VALUE"""),"Transport, storage and communications ")</f>
        <v xml:space="preserve">Transport, storage and communications </v>
      </c>
      <c r="AF2" s="3" t="str">
        <f ca="1">IFERROR(__xludf.DUMMYFUNCTION("""COMPUTED_VALUE"""),"Financial and Insurance Activities ")</f>
        <v xml:space="preserve">Financial and Insurance Activities </v>
      </c>
      <c r="AG2" s="3" t="str">
        <f ca="1">IFERROR(__xludf.DUMMYFUNCTION("""COMPUTED_VALUE"""),"Real estate, renting and business activities ")</f>
        <v xml:space="preserve">Real estate, renting and business activities </v>
      </c>
      <c r="AH2" s="3" t="str">
        <f ca="1">IFERROR(__xludf.DUMMYFUNCTION("""COMPUTED_VALUE"""),"Public Services")</f>
        <v>Public Services</v>
      </c>
      <c r="AI2" s="3" t="str">
        <f ca="1">IFERROR(__xludf.DUMMYFUNCTION("""COMPUTED_VALUE"""),"Recycling")</f>
        <v>Recycling</v>
      </c>
      <c r="AJ2" s="3" t="str">
        <f ca="1">IFERROR(__xludf.DUMMYFUNCTION("""COMPUTED_VALUE"""),"Waste treatment services")</f>
        <v>Waste treatment services</v>
      </c>
      <c r="AK2" s="2" t="s">
        <v>13</v>
      </c>
    </row>
    <row r="3" spans="1:37" x14ac:dyDescent="0.25">
      <c r="A3" s="4" t="s">
        <v>16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</row>
    <row r="4" spans="1:37" s="6" customFormat="1" x14ac:dyDescent="0.25">
      <c r="A4" s="14" t="s">
        <v>17</v>
      </c>
      <c r="B4" s="6">
        <v>0.19104283067449601</v>
      </c>
      <c r="C4" s="6">
        <v>6.9329755622945404E-4</v>
      </c>
      <c r="D4" s="6">
        <v>1.4294783594137701E-5</v>
      </c>
      <c r="E4" s="6">
        <v>2.9994881013029601E-6</v>
      </c>
      <c r="F4" s="6">
        <v>5.2564382851614801E-6</v>
      </c>
      <c r="G4" s="6">
        <v>2.0195059885477599E-4</v>
      </c>
      <c r="H4" s="6">
        <v>8.3618056528039098E-3</v>
      </c>
      <c r="I4" s="6">
        <v>3.9037321492329098</v>
      </c>
      <c r="J4" s="6">
        <v>21.732555435773499</v>
      </c>
      <c r="K4" s="6">
        <v>10.631974006480499</v>
      </c>
      <c r="L4" s="6">
        <v>2.0066418195061901</v>
      </c>
      <c r="M4" s="6">
        <v>1.2060382126286801E-3</v>
      </c>
      <c r="N4" s="6">
        <v>1.29161798692489</v>
      </c>
      <c r="O4" s="6">
        <v>3.7003203624515001E-2</v>
      </c>
      <c r="P4" s="6">
        <v>0</v>
      </c>
      <c r="Q4" s="6">
        <v>5.2655559964698897</v>
      </c>
      <c r="R4" s="6">
        <v>3.1183120234865799E-2</v>
      </c>
      <c r="S4" s="6">
        <v>1.3355713441917501E-2</v>
      </c>
      <c r="T4" s="6">
        <v>3.5604813353568902E-3</v>
      </c>
      <c r="U4" s="6">
        <v>2.1431877530214902E-2</v>
      </c>
      <c r="V4" s="6">
        <v>3.0603454194234598</v>
      </c>
      <c r="W4" s="6">
        <v>9.6851816263352805E-2</v>
      </c>
      <c r="X4" s="6">
        <v>6.1382385804138904E-3</v>
      </c>
      <c r="Y4" s="6">
        <v>9.2201597344252905E-4</v>
      </c>
      <c r="Z4" s="6">
        <v>4.2068234843916697E-4</v>
      </c>
      <c r="AA4" s="6">
        <v>2.1282328057646298E-3</v>
      </c>
      <c r="AB4" s="6">
        <v>7.0752161028027599E-3</v>
      </c>
      <c r="AC4" s="6">
        <v>3.2402691296059898E-4</v>
      </c>
      <c r="AD4" s="6">
        <v>135.60508167963599</v>
      </c>
      <c r="AE4" s="6">
        <v>5.4549046932189703E-4</v>
      </c>
      <c r="AF4" s="6">
        <v>7.4341319298854404E-3</v>
      </c>
      <c r="AG4" s="6">
        <v>1.1532679265052101E-2</v>
      </c>
      <c r="AH4" s="6">
        <v>35.741109519153298</v>
      </c>
      <c r="AI4" s="6">
        <v>2.4818196262649402E-3</v>
      </c>
      <c r="AJ4" s="6">
        <v>3.0309304633862997E-4</v>
      </c>
      <c r="AK4" s="6">
        <v>542.94055566725103</v>
      </c>
    </row>
    <row r="5" spans="1:37" s="6" customFormat="1" x14ac:dyDescent="0.25">
      <c r="A5" s="14" t="s">
        <v>18</v>
      </c>
      <c r="B5" s="6">
        <v>5892.0307086307803</v>
      </c>
      <c r="C5" s="6">
        <v>18.937908150669902</v>
      </c>
      <c r="D5" s="6">
        <v>0.44096309665191602</v>
      </c>
      <c r="E5" s="6">
        <v>8.9916046931436497E-2</v>
      </c>
      <c r="F5" s="6">
        <v>0.15848699644733</v>
      </c>
      <c r="G5" s="6">
        <v>4.4199494506954498</v>
      </c>
      <c r="H5" s="6">
        <v>255.76795455273199</v>
      </c>
      <c r="I5" s="6">
        <v>120397.934695302</v>
      </c>
      <c r="J5" s="6">
        <v>670280.633189891</v>
      </c>
      <c r="K5" s="6">
        <v>327909.499114034</v>
      </c>
      <c r="L5" s="6">
        <v>61807.455410967697</v>
      </c>
      <c r="M5" s="6">
        <v>28.964660716082001</v>
      </c>
      <c r="N5" s="6">
        <v>39834.1846547893</v>
      </c>
      <c r="O5" s="6">
        <v>1135.4242141447</v>
      </c>
      <c r="P5" s="6">
        <v>0</v>
      </c>
      <c r="Q5" s="6">
        <v>162390.681802996</v>
      </c>
      <c r="R5" s="6">
        <v>1059.1874491997</v>
      </c>
      <c r="S5" s="6">
        <v>184.89462816199901</v>
      </c>
      <c r="T5" s="6">
        <v>100.636607999463</v>
      </c>
      <c r="U5" s="6">
        <v>621.18875163426105</v>
      </c>
      <c r="V5" s="6">
        <v>93852.075677311004</v>
      </c>
      <c r="W5" s="6">
        <v>2959.6097812059102</v>
      </c>
      <c r="X5" s="6">
        <v>184.54143553125999</v>
      </c>
      <c r="Y5" s="6">
        <v>13.7256383013831</v>
      </c>
      <c r="Z5" s="6">
        <v>5.8464814655696102</v>
      </c>
      <c r="AA5" s="6">
        <v>1.6063097545721901</v>
      </c>
      <c r="AB5" s="6">
        <v>94.964035367336194</v>
      </c>
      <c r="AC5" s="6">
        <v>4.1412579838368098</v>
      </c>
      <c r="AD5" s="6">
        <v>4182373.2643168699</v>
      </c>
      <c r="AE5" s="6">
        <v>10.789109209046</v>
      </c>
      <c r="AF5" s="6">
        <v>229.015825951485</v>
      </c>
      <c r="AG5" s="6">
        <v>345.19590154107601</v>
      </c>
      <c r="AH5" s="6">
        <v>1102321.4008758101</v>
      </c>
      <c r="AI5" s="6">
        <v>68.344415221446894</v>
      </c>
      <c r="AJ5" s="6">
        <v>2.9715436294224</v>
      </c>
      <c r="AK5" s="6">
        <v>16745322.5010978</v>
      </c>
    </row>
    <row r="6" spans="1:37" x14ac:dyDescent="0.25">
      <c r="A6" s="4" t="s">
        <v>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7" x14ac:dyDescent="0.25">
      <c r="A7" s="3" t="s">
        <v>28</v>
      </c>
      <c r="B7" s="6">
        <v>5892.2217514614604</v>
      </c>
      <c r="C7" s="6">
        <v>18.938601448226098</v>
      </c>
      <c r="D7" s="6">
        <v>0.44097739143551001</v>
      </c>
      <c r="E7" s="6">
        <v>8.9919046419537796E-2</v>
      </c>
      <c r="F7" s="6">
        <v>0.158492252885615</v>
      </c>
      <c r="G7" s="6">
        <v>4.4201514012942997</v>
      </c>
      <c r="H7" s="6">
        <v>361.465158922331</v>
      </c>
      <c r="I7" s="6">
        <v>120401.83842745201</v>
      </c>
      <c r="J7" s="6">
        <v>670302.36574532697</v>
      </c>
      <c r="K7" s="6">
        <v>327920.131088041</v>
      </c>
      <c r="L7" s="6">
        <v>61809.462052787203</v>
      </c>
      <c r="M7" s="6">
        <v>28.965866754294598</v>
      </c>
      <c r="N7" s="6">
        <v>39835.476272776301</v>
      </c>
      <c r="O7" s="6">
        <v>1135.4612173483299</v>
      </c>
      <c r="P7" s="6">
        <v>0</v>
      </c>
      <c r="Q7" s="6">
        <v>162395.947358993</v>
      </c>
      <c r="R7" s="6">
        <v>1059.2186323199301</v>
      </c>
      <c r="S7" s="6">
        <v>184.907983875441</v>
      </c>
      <c r="T7" s="6">
        <v>100.64016848079901</v>
      </c>
      <c r="U7" s="6">
        <v>621.21018351179202</v>
      </c>
      <c r="V7" s="6">
        <v>93749.447180166506</v>
      </c>
      <c r="W7" s="6">
        <v>2959.7066330221701</v>
      </c>
      <c r="X7" s="6">
        <v>184.54757376984</v>
      </c>
      <c r="Y7" s="6">
        <v>13.726560317356499</v>
      </c>
      <c r="Z7" s="6">
        <v>5.8469021479180503</v>
      </c>
      <c r="AA7" s="6">
        <v>1.60843798737796</v>
      </c>
      <c r="AB7" s="6">
        <v>94.971110583439</v>
      </c>
      <c r="AC7" s="6">
        <v>4.1415820107497696</v>
      </c>
      <c r="AD7" s="6">
        <v>4182508.8693985501</v>
      </c>
      <c r="AE7" s="6">
        <v>10.7896546995153</v>
      </c>
      <c r="AF7" s="6">
        <v>229.02326008341501</v>
      </c>
      <c r="AG7" s="6">
        <v>345.20743422034099</v>
      </c>
      <c r="AH7" s="6">
        <v>1102357.14198533</v>
      </c>
      <c r="AI7" s="6">
        <v>68.346897041073206</v>
      </c>
      <c r="AJ7" s="6">
        <v>2.9718467224687402</v>
      </c>
      <c r="AK7" s="6">
        <v>16745322.5010978</v>
      </c>
    </row>
    <row r="9" spans="1:37" x14ac:dyDescent="0.25">
      <c r="B9" s="3" t="s">
        <v>20</v>
      </c>
      <c r="C9" s="3" t="s">
        <v>21</v>
      </c>
      <c r="D9" s="3" t="s">
        <v>2</v>
      </c>
      <c r="E9" s="3" t="s">
        <v>22</v>
      </c>
      <c r="F9" s="3" t="s">
        <v>4</v>
      </c>
      <c r="G9" s="3" t="s">
        <v>23</v>
      </c>
      <c r="H9" s="3" t="s">
        <v>15</v>
      </c>
      <c r="I9" s="3" t="s">
        <v>7</v>
      </c>
      <c r="J9" s="3" t="s">
        <v>24</v>
      </c>
      <c r="K9" s="3" t="s">
        <v>25</v>
      </c>
      <c r="L9" s="3" t="s">
        <v>10</v>
      </c>
      <c r="M9" s="3" t="s">
        <v>26</v>
      </c>
      <c r="N9" s="3" t="s">
        <v>27</v>
      </c>
      <c r="O9" s="3" t="s">
        <v>13</v>
      </c>
    </row>
    <row r="10" spans="1:37" x14ac:dyDescent="0.25">
      <c r="A10" s="3" t="s">
        <v>28</v>
      </c>
      <c r="B10" s="6">
        <f>SUM(B7:H7)</f>
        <v>6277.7350519240526</v>
      </c>
      <c r="C10" s="6">
        <f t="shared" ref="C10" si="0">SUM(I7:L7)</f>
        <v>1180433.7973136073</v>
      </c>
      <c r="D10" s="6">
        <f>M7</f>
        <v>28.965866754294598</v>
      </c>
      <c r="E10" s="6">
        <f t="shared" ref="E10" si="1">SUM(N7:Q7)</f>
        <v>203366.88484911763</v>
      </c>
      <c r="F10" s="6">
        <f t="shared" ref="F10" si="2">SUM(R7)</f>
        <v>1059.2186323199301</v>
      </c>
      <c r="G10" s="6">
        <f t="shared" ref="G10" si="3">SUM(S7:T7)</f>
        <v>285.54815235624</v>
      </c>
      <c r="H10" s="6">
        <f t="shared" ref="H10" si="4">U7</f>
        <v>621.21018351179202</v>
      </c>
      <c r="I10" s="6">
        <f t="shared" ref="I10" si="5">V7</f>
        <v>93749.447180166506</v>
      </c>
      <c r="J10" s="6">
        <f t="shared" ref="J10" si="6">W7+X7</f>
        <v>3144.2542067920099</v>
      </c>
      <c r="K10" s="6">
        <f t="shared" ref="K10" si="7">Y7+Z7+AA7</f>
        <v>21.18190045265251</v>
      </c>
      <c r="L10" s="6">
        <f t="shared" ref="L10" si="8">SUM(AB7:AH7)</f>
        <v>5285550.1444254778</v>
      </c>
      <c r="M10" s="6">
        <f t="shared" ref="M10" si="9">AI7</f>
        <v>68.346897041073206</v>
      </c>
      <c r="N10" s="6">
        <f t="shared" ref="N10" si="10">AJ7</f>
        <v>2.9718467224687402</v>
      </c>
      <c r="O10" s="15">
        <f>SUM(AK7)</f>
        <v>16745322.5010978</v>
      </c>
    </row>
    <row r="12" spans="1:37" x14ac:dyDescent="0.25">
      <c r="B12" s="6"/>
    </row>
  </sheetData>
  <mergeCells count="7">
    <mergeCell ref="AB1:AH1"/>
    <mergeCell ref="B1:H1"/>
    <mergeCell ref="I1:L1"/>
    <mergeCell ref="N1:Q1"/>
    <mergeCell ref="S1:T1"/>
    <mergeCell ref="W1:X1"/>
    <mergeCell ref="Y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75E6-F661-4909-86BA-0F0B146FC890}">
  <dimension ref="A1:B5"/>
  <sheetViews>
    <sheetView workbookViewId="0">
      <selection activeCell="B2" sqref="A1:B5"/>
    </sheetView>
  </sheetViews>
  <sheetFormatPr defaultRowHeight="15" x14ac:dyDescent="0.25"/>
  <cols>
    <col min="2" max="2" width="10.5703125" bestFit="1" customWidth="1"/>
  </cols>
  <sheetData>
    <row r="1" spans="1:2" x14ac:dyDescent="0.25">
      <c r="A1" s="1"/>
      <c r="B1" s="16" t="s">
        <v>63</v>
      </c>
    </row>
    <row r="2" spans="1:2" x14ac:dyDescent="0.25">
      <c r="A2" s="17" t="s">
        <v>64</v>
      </c>
      <c r="B2" s="18">
        <v>9475080.6310888398</v>
      </c>
    </row>
    <row r="3" spans="1:2" x14ac:dyDescent="0.25">
      <c r="A3" s="17" t="s">
        <v>65</v>
      </c>
      <c r="B3" s="18">
        <v>48799569.925123103</v>
      </c>
    </row>
    <row r="4" spans="1:2" x14ac:dyDescent="0.25">
      <c r="A4" s="17" t="s">
        <v>66</v>
      </c>
      <c r="B4" s="18">
        <v>40207427.565509804</v>
      </c>
    </row>
    <row r="5" spans="1:2" x14ac:dyDescent="0.25">
      <c r="A5" s="17" t="s">
        <v>67</v>
      </c>
      <c r="B5" s="18">
        <v>139337570.18936899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BE2-90BE-42C5-B11A-ED4905DBE648}">
  <dimension ref="A1:AK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10" sqref="A1:XFD1048576"/>
    </sheetView>
  </sheetViews>
  <sheetFormatPr defaultRowHeight="15" x14ac:dyDescent="0.25"/>
  <cols>
    <col min="1" max="1" width="15.140625" style="2" customWidth="1"/>
    <col min="2" max="4" width="11.5703125" style="2" bestFit="1" customWidth="1"/>
    <col min="5" max="5" width="12.7109375" style="2" bestFit="1" customWidth="1"/>
    <col min="6" max="13" width="11.5703125" style="2" bestFit="1" customWidth="1"/>
    <col min="14" max="15" width="12.85546875" style="2" bestFit="1" customWidth="1"/>
    <col min="16" max="17" width="12.5703125" style="2" bestFit="1" customWidth="1"/>
    <col min="18" max="16384" width="9.140625" style="2"/>
  </cols>
  <sheetData>
    <row r="1" spans="1:37" ht="30" x14ac:dyDescent="0.25">
      <c r="A1" s="3"/>
      <c r="B1" s="7" t="s">
        <v>0</v>
      </c>
      <c r="C1" s="7"/>
      <c r="D1" s="7"/>
      <c r="E1" s="7"/>
      <c r="F1" s="7"/>
      <c r="G1" s="7"/>
      <c r="H1" s="7"/>
      <c r="I1" s="8" t="s">
        <v>1</v>
      </c>
      <c r="J1" s="8"/>
      <c r="K1" s="8"/>
      <c r="L1" s="8"/>
      <c r="M1" s="3" t="s">
        <v>2</v>
      </c>
      <c r="N1" s="8" t="s">
        <v>3</v>
      </c>
      <c r="O1" s="8"/>
      <c r="P1" s="8"/>
      <c r="Q1" s="8"/>
      <c r="R1" s="3" t="s">
        <v>4</v>
      </c>
      <c r="S1" s="8" t="s">
        <v>5</v>
      </c>
      <c r="T1" s="8"/>
      <c r="U1" s="3" t="s">
        <v>6</v>
      </c>
      <c r="V1" s="9" t="s">
        <v>88</v>
      </c>
      <c r="W1" s="7" t="s">
        <v>8</v>
      </c>
      <c r="X1" s="7"/>
      <c r="Y1" s="7" t="s">
        <v>9</v>
      </c>
      <c r="Z1" s="7"/>
      <c r="AA1" s="7"/>
      <c r="AB1" s="8" t="s">
        <v>10</v>
      </c>
      <c r="AC1" s="8"/>
      <c r="AD1" s="8"/>
      <c r="AE1" s="8"/>
      <c r="AF1" s="8"/>
      <c r="AG1" s="8"/>
      <c r="AH1" s="8"/>
      <c r="AI1" s="2" t="s">
        <v>11</v>
      </c>
      <c r="AJ1" s="2" t="s">
        <v>12</v>
      </c>
      <c r="AK1" s="2" t="s">
        <v>13</v>
      </c>
    </row>
    <row r="2" spans="1:37" x14ac:dyDescent="0.25">
      <c r="A2" s="3"/>
      <c r="B2" s="3" t="str">
        <f ca="1">IFERROR(__xludf.DUMMYFUNCTION("ARRAY_CONSTRAIN(ARRAYFORMULA(UNIQUE(D2:D165)), 35, 1)"),"Cereals")</f>
        <v>Cereals</v>
      </c>
      <c r="C2" s="3" t="str">
        <f ca="1">IFERROR(__xludf.DUMMYFUNCTION("""COMPUTED_VALUE"""),"Vegetables, fruit, nuts, pulses, spices")</f>
        <v>Vegetables, fruit, nuts, pulses, spices</v>
      </c>
      <c r="D2" s="3" t="str">
        <f ca="1">IFERROR(__xludf.DUMMYFUNCTION("""COMPUTED_VALUE"""),"Oil crops")</f>
        <v>Oil crops</v>
      </c>
      <c r="E2" s="3" t="s">
        <v>14</v>
      </c>
      <c r="F2" s="3" t="str">
        <f ca="1">IFERROR(__xludf.DUMMYFUNCTION("""COMPUTED_VALUE"""),"Fibre crops")</f>
        <v>Fibre crops</v>
      </c>
      <c r="G2" s="3" t="str">
        <f ca="1">IFERROR(__xludf.DUMMYFUNCTION("""COMPUTED_VALUE"""),"Roots and tubers")</f>
        <v>Roots and tubers</v>
      </c>
      <c r="H2" s="3" t="str">
        <f ca="1">IFERROR(__xludf.DUMMYFUNCTION("""COMPUTED_VALUE"""),"Tobacco and Rubber")</f>
        <v>Tobacco and Rubber</v>
      </c>
      <c r="I2" s="3" t="str">
        <f ca="1">IFERROR(__xludf.DUMMYFUNCTION("""COMPUTED_VALUE"""),"Vegetable oils, oil cakes")</f>
        <v>Vegetable oils, oil cakes</v>
      </c>
      <c r="J2" s="3" t="str">
        <f ca="1">IFERROR(__xludf.DUMMYFUNCTION("""COMPUTED_VALUE"""),"Processed food products")</f>
        <v>Processed food products</v>
      </c>
      <c r="K2" s="3" t="str">
        <f ca="1">IFERROR(__xludf.DUMMYFUNCTION("""COMPUTED_VALUE"""),"Coffee, tea, cocoa, ")</f>
        <v xml:space="preserve">Coffee, tea, cocoa, </v>
      </c>
      <c r="L2" s="3" t="str">
        <f ca="1">IFERROR(__xludf.DUMMYFUNCTION("""COMPUTED_VALUE"""),"Alcohol")</f>
        <v>Alcohol</v>
      </c>
      <c r="M2" s="3" t="str">
        <f ca="1">IFERROR(__xludf.DUMMYFUNCTION("""COMPUTED_VALUE"""),"Live animals")</f>
        <v>Live animals</v>
      </c>
      <c r="N2" s="10" t="str">
        <f ca="1">IFERROR(__xludf.DUMMYFUNCTION("""COMPUTED_VALUE"""),"Milk, Eggs, and Honey")</f>
        <v>Milk, Eggs, and Honey</v>
      </c>
      <c r="O2" s="3" t="str">
        <f ca="1">IFERROR(__xludf.DUMMYFUNCTION("""COMPUTED_VALUE"""),"Hides, skins, wool")</f>
        <v>Hides, skins, wool</v>
      </c>
      <c r="P2" s="3" t="str">
        <f ca="1">IFERROR(__xludf.DUMMYFUNCTION("""COMPUTED_VALUE"""),"Manure")</f>
        <v>Manure</v>
      </c>
      <c r="Q2" s="3" t="str">
        <f ca="1">IFERROR(__xludf.DUMMYFUNCTION("""COMPUTED_VALUE"""),"Meat, Animal Fats, and Fish")</f>
        <v>Meat, Animal Fats, and Fish</v>
      </c>
      <c r="R2" s="3" t="str">
        <f ca="1">IFERROR(__xludf.DUMMYFUNCTION("""COMPUTED_VALUE"""),"Wood products")</f>
        <v>Wood products</v>
      </c>
      <c r="S2" s="3" t="str">
        <f ca="1">IFERROR(__xludf.DUMMYFUNCTION("""COMPUTED_VALUE"""),"Textiles and Wearing apparel")</f>
        <v>Textiles and Wearing apparel</v>
      </c>
      <c r="T2" s="3" t="str">
        <f ca="1">IFERROR(__xludf.DUMMYFUNCTION("""COMPUTED_VALUE"""),"Paper and Pulp")</f>
        <v>Paper and Pulp</v>
      </c>
      <c r="U2" s="3" t="s">
        <v>15</v>
      </c>
      <c r="V2" s="3" t="str">
        <f ca="1">IFERROR(__xludf.DUMMYFUNCTION("""COMPUTED_VALUE"""),"biofuels, charcoal, rubber")</f>
        <v>biofuels, charcoal, rubber</v>
      </c>
      <c r="W2" s="3" t="str">
        <f ca="1">IFERROR(__xludf.DUMMYFUNCTION("""COMPUTED_VALUE"""),"Transport Vehicles")</f>
        <v>Transport Vehicles</v>
      </c>
      <c r="X2" s="3" t="str">
        <f ca="1">IFERROR(__xludf.DUMMYFUNCTION("""COMPUTED_VALUE"""),"Heterogeneous Machinery")</f>
        <v>Heterogeneous Machinery</v>
      </c>
      <c r="Y2" s="3" t="str">
        <f ca="1">IFERROR(__xludf.DUMMYFUNCTION("""COMPUTED_VALUE"""),"Electricity Production and Services")</f>
        <v>Electricity Production and Services</v>
      </c>
      <c r="Z2" s="3" t="str">
        <f ca="1">IFERROR(__xludf.DUMMYFUNCTION("""COMPUTED_VALUE"""),"Secondary Gases and Services")</f>
        <v>Secondary Gases and Services</v>
      </c>
      <c r="AA2" s="3" t="str">
        <f ca="1">IFERROR(__xludf.DUMMYFUNCTION("""COMPUTED_VALUE"""),"Water Services")</f>
        <v>Water Services</v>
      </c>
      <c r="AB2" s="3" t="str">
        <f ca="1">IFERROR(__xludf.DUMMYFUNCTION("""COMPUTED_VALUE"""),"Construction ")</f>
        <v xml:space="preserve">Construction </v>
      </c>
      <c r="AC2" s="3" t="str">
        <f ca="1">IFERROR(__xludf.DUMMYFUNCTION("""COMPUTED_VALUE"""),"Wholesale and retail trade ")</f>
        <v xml:space="preserve">Wholesale and retail trade </v>
      </c>
      <c r="AD2" s="3" t="str">
        <f ca="1">IFERROR(__xludf.DUMMYFUNCTION("""COMPUTED_VALUE"""),"Hotels and restaurants ")</f>
        <v xml:space="preserve">Hotels and restaurants </v>
      </c>
      <c r="AE2" s="3" t="str">
        <f ca="1">IFERROR(__xludf.DUMMYFUNCTION("""COMPUTED_VALUE"""),"Transport, storage and communications ")</f>
        <v xml:space="preserve">Transport, storage and communications </v>
      </c>
      <c r="AF2" s="3" t="str">
        <f ca="1">IFERROR(__xludf.DUMMYFUNCTION("""COMPUTED_VALUE"""),"Financial and Insurance Activities ")</f>
        <v xml:space="preserve">Financial and Insurance Activities </v>
      </c>
      <c r="AG2" s="3" t="str">
        <f ca="1">IFERROR(__xludf.DUMMYFUNCTION("""COMPUTED_VALUE"""),"Real estate, renting and business activities ")</f>
        <v xml:space="preserve">Real estate, renting and business activities </v>
      </c>
      <c r="AH2" s="3" t="str">
        <f ca="1">IFERROR(__xludf.DUMMYFUNCTION("""COMPUTED_VALUE"""),"Public Services")</f>
        <v>Public Services</v>
      </c>
      <c r="AI2" s="3" t="str">
        <f ca="1">IFERROR(__xludf.DUMMYFUNCTION("""COMPUTED_VALUE"""),"Recycling")</f>
        <v>Recycling</v>
      </c>
      <c r="AJ2" s="3" t="str">
        <f ca="1">IFERROR(__xludf.DUMMYFUNCTION("""COMPUTED_VALUE"""),"Waste treatment services")</f>
        <v>Waste treatment services</v>
      </c>
      <c r="AK2" s="2" t="s">
        <v>13</v>
      </c>
    </row>
    <row r="3" spans="1:37" s="6" customFormat="1" x14ac:dyDescent="0.25">
      <c r="A3" s="14" t="s">
        <v>68</v>
      </c>
      <c r="B3" s="6">
        <v>274863.903005514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10628.5834805343</v>
      </c>
      <c r="I3" s="6">
        <v>1215328.8076176599</v>
      </c>
      <c r="J3" s="6">
        <v>21471173.672710098</v>
      </c>
      <c r="K3" s="6">
        <v>4037795.5917161298</v>
      </c>
      <c r="L3" s="6">
        <v>444499.32250615698</v>
      </c>
      <c r="M3" s="6">
        <v>0</v>
      </c>
      <c r="N3" s="6">
        <v>656314.56935488596</v>
      </c>
      <c r="O3" s="6">
        <v>10887.145556859799</v>
      </c>
      <c r="P3" s="6">
        <v>0</v>
      </c>
      <c r="Q3" s="6">
        <v>3700469.0701977201</v>
      </c>
      <c r="R3" s="6">
        <v>0</v>
      </c>
      <c r="S3" s="6">
        <v>0</v>
      </c>
      <c r="T3" s="6">
        <v>0</v>
      </c>
      <c r="U3" s="6">
        <v>0</v>
      </c>
      <c r="V3" s="6">
        <v>2162599.7358071501</v>
      </c>
      <c r="W3" s="6">
        <v>0</v>
      </c>
      <c r="X3" s="6">
        <v>0</v>
      </c>
      <c r="Y3" s="6">
        <v>0</v>
      </c>
      <c r="Z3" s="6">
        <v>1.66691145282851E-3</v>
      </c>
      <c r="AA3" s="6">
        <v>707.17989012069097</v>
      </c>
      <c r="AB3" s="6">
        <v>0</v>
      </c>
      <c r="AC3" s="6">
        <v>0</v>
      </c>
      <c r="AD3" s="6">
        <v>16138503.165453</v>
      </c>
      <c r="AE3" s="6">
        <v>0</v>
      </c>
      <c r="AF3" s="6">
        <v>0</v>
      </c>
      <c r="AG3" s="6">
        <v>0</v>
      </c>
      <c r="AH3" s="6">
        <v>10866022.8215119</v>
      </c>
      <c r="AI3" s="6">
        <v>0</v>
      </c>
      <c r="AJ3" s="6">
        <v>0</v>
      </c>
      <c r="AK3" s="6">
        <v>52820061.906409197</v>
      </c>
    </row>
    <row r="4" spans="1:37" s="6" customFormat="1" x14ac:dyDescent="0.25">
      <c r="A4" s="14" t="s">
        <v>69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367917973.53760898</v>
      </c>
      <c r="N4" s="6">
        <v>184335505.730463</v>
      </c>
      <c r="O4" s="6">
        <v>1064316.5519504701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</row>
    <row r="5" spans="1:37" s="6" customFormat="1" x14ac:dyDescent="0.25">
      <c r="A5" s="14" t="s">
        <v>64</v>
      </c>
      <c r="B5" s="6">
        <v>709.91862586005698</v>
      </c>
      <c r="C5" s="6">
        <v>399.69738066639701</v>
      </c>
      <c r="D5" s="6">
        <v>132.82644697582299</v>
      </c>
      <c r="E5" s="6">
        <v>161.49543975742699</v>
      </c>
      <c r="F5" s="6">
        <v>122.94338461341999</v>
      </c>
      <c r="G5" s="6">
        <v>359.77640015295998</v>
      </c>
      <c r="H5" s="6">
        <v>115656.138166595</v>
      </c>
      <c r="I5" s="6">
        <v>20016.100118288599</v>
      </c>
      <c r="J5" s="6">
        <v>20431.826089297701</v>
      </c>
      <c r="K5" s="6">
        <v>25751.245005342498</v>
      </c>
      <c r="L5" s="6">
        <v>11349.706208138699</v>
      </c>
      <c r="M5" s="6">
        <v>575.30511270674003</v>
      </c>
      <c r="N5" s="6">
        <v>16839.868898557201</v>
      </c>
      <c r="O5" s="6">
        <v>24842.574224803298</v>
      </c>
      <c r="P5" s="6">
        <v>0</v>
      </c>
      <c r="Q5" s="6">
        <v>38440.233186040197</v>
      </c>
      <c r="R5" s="6">
        <v>17271.9294418358</v>
      </c>
      <c r="S5" s="6">
        <v>403025.74914849101</v>
      </c>
      <c r="T5" s="6">
        <v>24560.601864927499</v>
      </c>
      <c r="U5" s="6">
        <v>103559.71203474401</v>
      </c>
      <c r="V5" s="6">
        <v>176439.87640138101</v>
      </c>
      <c r="W5" s="6">
        <v>106358.294374669</v>
      </c>
      <c r="X5" s="6">
        <v>43776.492496452403</v>
      </c>
      <c r="Y5" s="6">
        <v>13221.7670462386</v>
      </c>
      <c r="Z5" s="6">
        <v>8013.7971938796099</v>
      </c>
      <c r="AA5" s="6">
        <v>2766.4646035616902</v>
      </c>
      <c r="AB5" s="6">
        <v>15510.577600096</v>
      </c>
      <c r="AC5" s="6">
        <v>110154.873838735</v>
      </c>
      <c r="AD5" s="6">
        <v>9423.9708880988092</v>
      </c>
      <c r="AE5" s="6">
        <v>19155.0245659254</v>
      </c>
      <c r="AF5" s="6">
        <v>3063.3311122485702</v>
      </c>
      <c r="AG5" s="6">
        <v>28643.089594316902</v>
      </c>
      <c r="AH5" s="6">
        <v>68481.684606378694</v>
      </c>
      <c r="AI5" s="6">
        <v>11993.920061806501</v>
      </c>
      <c r="AJ5" s="6">
        <v>15192.6007610818</v>
      </c>
      <c r="AK5" s="6">
        <v>640665.06694853096</v>
      </c>
    </row>
    <row r="6" spans="1:37" s="6" customFormat="1" x14ac:dyDescent="0.25">
      <c r="A6" s="14" t="s">
        <v>65</v>
      </c>
      <c r="B6" s="6">
        <v>231.06755826620801</v>
      </c>
      <c r="C6" s="6">
        <v>672.82523327112494</v>
      </c>
      <c r="D6" s="6">
        <v>61.318313244809801</v>
      </c>
      <c r="E6" s="6">
        <v>34.2517661763411</v>
      </c>
      <c r="F6" s="6">
        <v>29.1942213091566</v>
      </c>
      <c r="G6" s="6">
        <v>135.37463793220499</v>
      </c>
      <c r="H6" s="6">
        <v>13628.3011841077</v>
      </c>
      <c r="I6" s="6">
        <v>4723.4106027183998</v>
      </c>
      <c r="J6" s="6">
        <v>299.95639058952997</v>
      </c>
      <c r="K6" s="6">
        <v>25083.751263717299</v>
      </c>
      <c r="L6" s="6">
        <v>3244.34450567969</v>
      </c>
      <c r="M6" s="6">
        <v>67605.451118658399</v>
      </c>
      <c r="N6" s="6">
        <v>6392.4865097920901</v>
      </c>
      <c r="O6" s="6">
        <v>829.98828453432202</v>
      </c>
      <c r="P6" s="6">
        <v>0</v>
      </c>
      <c r="Q6" s="6">
        <v>4256.9663599186497</v>
      </c>
      <c r="R6" s="6">
        <v>4635176.4058196396</v>
      </c>
      <c r="S6" s="6">
        <v>3357.36011703842</v>
      </c>
      <c r="T6" s="6">
        <v>28114.8416319397</v>
      </c>
      <c r="U6" s="6">
        <v>13836.2077702519</v>
      </c>
      <c r="V6" s="6">
        <v>182960.965577308</v>
      </c>
      <c r="W6" s="6">
        <v>16870.6032438037</v>
      </c>
      <c r="X6" s="6">
        <v>6810.9316882011699</v>
      </c>
      <c r="Y6" s="6">
        <v>1236.1659170038599</v>
      </c>
      <c r="Z6" s="6">
        <v>211.965965384009</v>
      </c>
      <c r="AA6" s="6">
        <v>213.89376175936701</v>
      </c>
      <c r="AB6" s="6">
        <v>45590.689184957402</v>
      </c>
      <c r="AC6" s="6">
        <v>3348.3145125440901</v>
      </c>
      <c r="AD6" s="6">
        <v>38513.847523971097</v>
      </c>
      <c r="AE6" s="6">
        <v>5218.66256163665</v>
      </c>
      <c r="AF6" s="6">
        <v>1027.0250938033</v>
      </c>
      <c r="AG6" s="6">
        <v>7629.8824477878698</v>
      </c>
      <c r="AH6" s="6">
        <v>41997.174301703097</v>
      </c>
      <c r="AI6" s="6">
        <v>1276084.5008985901</v>
      </c>
      <c r="AJ6" s="6">
        <v>729.61281001689395</v>
      </c>
      <c r="AK6" s="6">
        <v>395546.87444929499</v>
      </c>
    </row>
    <row r="7" spans="1:37" s="6" customFormat="1" x14ac:dyDescent="0.25">
      <c r="A7" s="14" t="s">
        <v>66</v>
      </c>
      <c r="B7" s="6">
        <v>13420.691250796401</v>
      </c>
      <c r="C7" s="6">
        <v>7935.6566295635203</v>
      </c>
      <c r="D7" s="6">
        <v>2968.2855330600401</v>
      </c>
      <c r="E7" s="6">
        <v>1244.24664561448</v>
      </c>
      <c r="F7" s="6">
        <v>1892.0698072443799</v>
      </c>
      <c r="G7" s="6">
        <v>7978.7222244068498</v>
      </c>
      <c r="H7" s="6">
        <v>746828.697084449</v>
      </c>
      <c r="I7" s="6">
        <v>20417.199749374598</v>
      </c>
      <c r="J7" s="6">
        <v>7870.5150278207902</v>
      </c>
      <c r="K7" s="6">
        <v>454397.16536798701</v>
      </c>
      <c r="L7" s="6">
        <v>140947.69820150299</v>
      </c>
      <c r="M7" s="6">
        <v>1977398.92588322</v>
      </c>
      <c r="N7" s="6">
        <v>219413.69365873199</v>
      </c>
      <c r="O7" s="6">
        <v>130092.805375928</v>
      </c>
      <c r="P7" s="6">
        <v>0</v>
      </c>
      <c r="Q7" s="6">
        <v>72125.2530938251</v>
      </c>
      <c r="R7" s="6">
        <v>98415.324952227893</v>
      </c>
      <c r="S7" s="6">
        <v>899624.32084252499</v>
      </c>
      <c r="T7" s="6">
        <v>233761.86335318099</v>
      </c>
      <c r="U7" s="6">
        <v>1546656.4594864501</v>
      </c>
      <c r="V7" s="6">
        <v>985827.45485730702</v>
      </c>
      <c r="W7" s="6">
        <v>2643335.8203698602</v>
      </c>
      <c r="X7" s="6">
        <v>324705.41908528598</v>
      </c>
      <c r="Y7" s="6">
        <v>49846.082965930102</v>
      </c>
      <c r="Z7" s="6">
        <v>12198.844136269699</v>
      </c>
      <c r="AA7" s="6">
        <v>7584.2534957737198</v>
      </c>
      <c r="AB7" s="6">
        <v>808888.16840655601</v>
      </c>
      <c r="AC7" s="6">
        <v>45308.954961980598</v>
      </c>
      <c r="AD7" s="6">
        <v>1177011.08177775</v>
      </c>
      <c r="AE7" s="6">
        <v>304469.33214436198</v>
      </c>
      <c r="AF7" s="6">
        <v>291065.675647697</v>
      </c>
      <c r="AG7" s="6">
        <v>1947499.52862282</v>
      </c>
      <c r="AH7" s="6">
        <v>3497518.3912576102</v>
      </c>
      <c r="AI7" s="6">
        <v>4132917.2435196401</v>
      </c>
      <c r="AJ7" s="6">
        <v>77386.819172328207</v>
      </c>
      <c r="AK7" s="6">
        <v>9567763.2051365804</v>
      </c>
    </row>
    <row r="8" spans="1:37" s="6" customFormat="1" x14ac:dyDescent="0.25">
      <c r="A8" s="14" t="s">
        <v>67</v>
      </c>
      <c r="B8" s="6">
        <v>33.673539109948003</v>
      </c>
      <c r="C8" s="6">
        <v>29.069183991085001</v>
      </c>
      <c r="D8" s="6">
        <v>6.4422890873131298</v>
      </c>
      <c r="E8" s="6">
        <v>3.6000671106900102</v>
      </c>
      <c r="F8" s="6">
        <v>3.5445350866504999</v>
      </c>
      <c r="G8" s="6">
        <v>16.934767299577299</v>
      </c>
      <c r="H8" s="6">
        <v>1190.16927550011</v>
      </c>
      <c r="I8" s="6">
        <v>13.0646962599176</v>
      </c>
      <c r="J8" s="6">
        <v>50.908688069773497</v>
      </c>
      <c r="K8" s="6">
        <v>127.468922014686</v>
      </c>
      <c r="L8" s="6">
        <v>57.941093126577996</v>
      </c>
      <c r="M8" s="6">
        <v>44.088480881028502</v>
      </c>
      <c r="N8" s="6">
        <v>44.683047589825499</v>
      </c>
      <c r="O8" s="6">
        <v>21.035934865853498</v>
      </c>
      <c r="P8" s="6">
        <v>0</v>
      </c>
      <c r="Q8" s="6">
        <v>102.182095692077</v>
      </c>
      <c r="R8" s="6">
        <v>98.585661654202099</v>
      </c>
      <c r="S8" s="6">
        <v>118.851431448401</v>
      </c>
      <c r="T8" s="6">
        <v>184.65642813274101</v>
      </c>
      <c r="U8" s="6">
        <v>7803628.6040822202</v>
      </c>
      <c r="V8" s="6">
        <v>2546.18035689607</v>
      </c>
      <c r="W8" s="6">
        <v>11669.996584987201</v>
      </c>
      <c r="X8" s="6">
        <v>592.45428978914094</v>
      </c>
      <c r="Y8" s="6">
        <v>114.567253003199</v>
      </c>
      <c r="Z8" s="6">
        <v>39.144341633544698</v>
      </c>
      <c r="AA8" s="6">
        <v>30.220436605220002</v>
      </c>
      <c r="AB8" s="6">
        <v>439175.23925438902</v>
      </c>
      <c r="AC8" s="6">
        <v>117.588731559625</v>
      </c>
      <c r="AD8" s="6">
        <v>436.50015065899498</v>
      </c>
      <c r="AE8" s="6">
        <v>274.502974210996</v>
      </c>
      <c r="AF8" s="6">
        <v>45.944753981201401</v>
      </c>
      <c r="AG8" s="6">
        <v>646.44043498869496</v>
      </c>
      <c r="AH8" s="6">
        <v>3986.9884483454098</v>
      </c>
      <c r="AI8" s="6">
        <v>5697908.9196104603</v>
      </c>
      <c r="AJ8" s="6">
        <v>121.85473849143401</v>
      </c>
      <c r="AK8" s="6">
        <v>5714.5456754732604</v>
      </c>
    </row>
    <row r="9" spans="1:37" s="6" customFormat="1" x14ac:dyDescent="0.25">
      <c r="A9" s="14" t="s">
        <v>70</v>
      </c>
      <c r="B9" s="6">
        <v>69852.827503880995</v>
      </c>
      <c r="C9" s="6">
        <v>34.138004798154903</v>
      </c>
      <c r="D9" s="6">
        <v>13.4257818781574</v>
      </c>
      <c r="E9" s="6">
        <v>2.55454293971819</v>
      </c>
      <c r="F9" s="6">
        <v>25.834727743375801</v>
      </c>
      <c r="G9" s="6">
        <v>101.026239359976</v>
      </c>
      <c r="H9" s="6">
        <v>168.77746119374899</v>
      </c>
      <c r="I9" s="6">
        <v>979.99593284048694</v>
      </c>
      <c r="J9" s="6">
        <v>54.571139785981998</v>
      </c>
      <c r="K9" s="6">
        <v>108.016079945748</v>
      </c>
      <c r="L9" s="6">
        <v>34.831716559829502</v>
      </c>
      <c r="M9" s="6">
        <v>464820.30286322202</v>
      </c>
      <c r="N9" s="6">
        <v>415476.78486600402</v>
      </c>
      <c r="O9" s="6">
        <v>99.8101856667828</v>
      </c>
      <c r="P9" s="6">
        <v>0</v>
      </c>
      <c r="Q9" s="6">
        <v>685.54125852744005</v>
      </c>
      <c r="R9" s="6">
        <v>74.709012659814604</v>
      </c>
      <c r="S9" s="6">
        <v>216.108769331069</v>
      </c>
      <c r="T9" s="6">
        <v>20291.8049349871</v>
      </c>
      <c r="U9" s="6">
        <v>3627.89534539241</v>
      </c>
      <c r="V9" s="6">
        <v>1165491.4309107701</v>
      </c>
      <c r="W9" s="6">
        <v>726.30098430659905</v>
      </c>
      <c r="X9" s="6">
        <v>78.062542710284106</v>
      </c>
      <c r="Y9" s="6">
        <v>95.916133235230404</v>
      </c>
      <c r="Z9" s="6">
        <v>7.6500754951769601</v>
      </c>
      <c r="AA9" s="6">
        <v>194.28735700703999</v>
      </c>
      <c r="AB9" s="6">
        <v>0</v>
      </c>
      <c r="AC9" s="6">
        <v>73.410124733133301</v>
      </c>
      <c r="AD9" s="6">
        <v>5067681.9657889102</v>
      </c>
      <c r="AE9" s="6">
        <v>85.003739693875104</v>
      </c>
      <c r="AF9" s="6">
        <v>3.5409244360572401</v>
      </c>
      <c r="AG9" s="6">
        <v>209.480497099681</v>
      </c>
      <c r="AH9" s="6">
        <v>3157073.1127218301</v>
      </c>
      <c r="AI9" s="6">
        <v>30.335687501302299</v>
      </c>
      <c r="AJ9" s="6">
        <v>862718.58926840394</v>
      </c>
      <c r="AK9" s="6">
        <v>11651596.983818401</v>
      </c>
    </row>
    <row r="10" spans="1:37" s="3" customFormat="1" x14ac:dyDescent="0.25">
      <c r="A10" s="19" t="s">
        <v>28</v>
      </c>
      <c r="B10" s="10">
        <f>SUM(B3:B9)</f>
        <v>359112.08148342767</v>
      </c>
      <c r="C10" s="10">
        <f t="shared" ref="C10:AK10" si="0">SUM(C3:C9)</f>
        <v>9071.3864322902828</v>
      </c>
      <c r="D10" s="10">
        <f t="shared" si="0"/>
        <v>3182.2983642461431</v>
      </c>
      <c r="E10" s="10">
        <f t="shared" si="0"/>
        <v>1446.1484615986562</v>
      </c>
      <c r="F10" s="10">
        <f t="shared" si="0"/>
        <v>2073.5866759969826</v>
      </c>
      <c r="G10" s="10">
        <f t="shared" si="0"/>
        <v>8591.8342691515682</v>
      </c>
      <c r="H10" s="10">
        <f t="shared" si="0"/>
        <v>888100.66665237979</v>
      </c>
      <c r="I10" s="10">
        <f t="shared" si="0"/>
        <v>1261478.5787171419</v>
      </c>
      <c r="J10" s="10">
        <f t="shared" si="0"/>
        <v>21499881.45004566</v>
      </c>
      <c r="K10" s="10">
        <f t="shared" si="0"/>
        <v>4543263.2383551365</v>
      </c>
      <c r="L10" s="10">
        <f t="shared" si="0"/>
        <v>600133.84423116478</v>
      </c>
      <c r="M10" s="10">
        <f t="shared" si="0"/>
        <v>370428417.61106771</v>
      </c>
      <c r="N10" s="10">
        <f t="shared" si="0"/>
        <v>185649987.8167986</v>
      </c>
      <c r="O10" s="10">
        <f t="shared" si="0"/>
        <v>1231089.9115131286</v>
      </c>
      <c r="P10" s="10">
        <f t="shared" si="0"/>
        <v>0</v>
      </c>
      <c r="Q10" s="10">
        <f t="shared" si="0"/>
        <v>3816079.2461917233</v>
      </c>
      <c r="R10" s="10">
        <f t="shared" si="0"/>
        <v>4751036.9548880178</v>
      </c>
      <c r="S10" s="10">
        <f t="shared" si="0"/>
        <v>1306342.3903088341</v>
      </c>
      <c r="T10" s="10">
        <f t="shared" si="0"/>
        <v>306913.76821316802</v>
      </c>
      <c r="U10" s="10">
        <f t="shared" si="0"/>
        <v>9471308.8787190579</v>
      </c>
      <c r="V10" s="10">
        <f t="shared" si="0"/>
        <v>4675865.6439108122</v>
      </c>
      <c r="W10" s="10">
        <f t="shared" si="0"/>
        <v>2778961.0155576267</v>
      </c>
      <c r="X10" s="10">
        <f t="shared" si="0"/>
        <v>375963.36010243895</v>
      </c>
      <c r="Y10" s="10">
        <f t="shared" si="0"/>
        <v>64514.499315410991</v>
      </c>
      <c r="Z10" s="10">
        <f t="shared" si="0"/>
        <v>20471.403379573494</v>
      </c>
      <c r="AA10" s="10">
        <f t="shared" si="0"/>
        <v>11496.299544827727</v>
      </c>
      <c r="AB10" s="10">
        <f t="shared" si="0"/>
        <v>1309164.6744459984</v>
      </c>
      <c r="AC10" s="10">
        <f t="shared" si="0"/>
        <v>159003.14216955248</v>
      </c>
      <c r="AD10" s="10">
        <f t="shared" si="0"/>
        <v>22431570.531582385</v>
      </c>
      <c r="AE10" s="10">
        <f t="shared" si="0"/>
        <v>329202.52598582895</v>
      </c>
      <c r="AF10" s="10">
        <f t="shared" si="0"/>
        <v>295205.51753216615</v>
      </c>
      <c r="AG10" s="10">
        <f t="shared" si="0"/>
        <v>1984628.421597013</v>
      </c>
      <c r="AH10" s="10">
        <f t="shared" si="0"/>
        <v>17635080.172847766</v>
      </c>
      <c r="AI10" s="10">
        <f t="shared" si="0"/>
        <v>11118934.919777999</v>
      </c>
      <c r="AJ10" s="10">
        <f t="shared" si="0"/>
        <v>956149.47675032227</v>
      </c>
      <c r="AK10" s="10">
        <f t="shared" si="0"/>
        <v>75081348.582437485</v>
      </c>
    </row>
    <row r="11" spans="1:37" s="3" customFormat="1" x14ac:dyDescent="0.25">
      <c r="A11" s="20" t="s">
        <v>71</v>
      </c>
      <c r="B11" s="10">
        <v>12403.531878165</v>
      </c>
      <c r="C11" s="10">
        <v>162.12768370715301</v>
      </c>
      <c r="D11" s="10">
        <v>4.6189646226883498</v>
      </c>
      <c r="E11" s="10">
        <v>1.05447867849218</v>
      </c>
      <c r="F11" s="10">
        <v>2.2254704139852199</v>
      </c>
      <c r="G11" s="10">
        <v>34.660650344737803</v>
      </c>
      <c r="H11" s="10">
        <v>2788.5001142917199</v>
      </c>
      <c r="I11" s="10">
        <v>253377.519079675</v>
      </c>
      <c r="J11" s="10">
        <v>1410223.12395204</v>
      </c>
      <c r="K11" s="10">
        <v>690440.65941702598</v>
      </c>
      <c r="L11" s="10">
        <v>131930.69185985799</v>
      </c>
      <c r="M11" s="21">
        <v>235.93406576711601</v>
      </c>
      <c r="N11" s="21">
        <v>83830.788501174</v>
      </c>
      <c r="O11" s="21">
        <v>2977.9081962862301</v>
      </c>
      <c r="P11" s="21">
        <v>0</v>
      </c>
      <c r="Q11" s="21">
        <v>341768.39124182001</v>
      </c>
      <c r="R11" s="10">
        <v>86020.093617592094</v>
      </c>
      <c r="S11" s="10">
        <v>3199.8636712632701</v>
      </c>
      <c r="T11" s="10">
        <v>827.33102776239696</v>
      </c>
      <c r="U11" s="10">
        <v>8045.5779997417603</v>
      </c>
      <c r="V11" s="10">
        <v>198752.03922426299</v>
      </c>
      <c r="W11" s="10">
        <v>22920.443626464399</v>
      </c>
      <c r="X11" s="10">
        <v>1429.8116545985499</v>
      </c>
      <c r="Y11" s="10">
        <v>113.496816096766</v>
      </c>
      <c r="Z11" s="10">
        <v>45.873117008402097</v>
      </c>
      <c r="AA11" s="10">
        <v>489.00129937997502</v>
      </c>
      <c r="AB11" s="10">
        <v>2224.3612461502998</v>
      </c>
      <c r="AC11" s="10">
        <v>33.390404362400403</v>
      </c>
      <c r="AD11" s="10">
        <v>8799905.2694466691</v>
      </c>
      <c r="AE11" s="10">
        <v>90.330124522294994</v>
      </c>
      <c r="AF11" s="10">
        <v>1759.09208130307</v>
      </c>
      <c r="AG11" s="10">
        <v>2661.3790476174399</v>
      </c>
      <c r="AH11" s="10">
        <v>2336913.36568357</v>
      </c>
      <c r="AI11" s="10">
        <v>697672.00794289098</v>
      </c>
      <c r="AJ11" s="10">
        <v>28.4088151625648</v>
      </c>
      <c r="AK11" s="10">
        <v>35235409.506158918</v>
      </c>
    </row>
    <row r="13" spans="1:37" x14ac:dyDescent="0.25">
      <c r="B13" s="3" t="s">
        <v>20</v>
      </c>
      <c r="C13" s="3" t="s">
        <v>21</v>
      </c>
      <c r="D13" s="3" t="s">
        <v>2</v>
      </c>
      <c r="E13" s="3" t="s">
        <v>22</v>
      </c>
      <c r="F13" s="3" t="s">
        <v>4</v>
      </c>
      <c r="G13" s="3" t="s">
        <v>23</v>
      </c>
      <c r="H13" s="3" t="s">
        <v>15</v>
      </c>
      <c r="I13" s="3" t="s">
        <v>7</v>
      </c>
      <c r="J13" s="3" t="s">
        <v>24</v>
      </c>
      <c r="K13" s="3" t="s">
        <v>25</v>
      </c>
      <c r="L13" s="3" t="s">
        <v>10</v>
      </c>
      <c r="M13" s="3" t="s">
        <v>26</v>
      </c>
      <c r="N13" s="3" t="s">
        <v>27</v>
      </c>
      <c r="O13" s="3" t="s">
        <v>13</v>
      </c>
    </row>
    <row r="14" spans="1:37" s="23" customFormat="1" ht="13.9" customHeight="1" x14ac:dyDescent="0.25">
      <c r="A14" s="22" t="s">
        <v>90</v>
      </c>
      <c r="B14" s="23">
        <f>SUM(B10:H10)-SUM(B4:H4)</f>
        <v>1271578.0023390912</v>
      </c>
      <c r="C14" s="23">
        <f>SUM(I10:L10)</f>
        <v>27904757.111349106</v>
      </c>
      <c r="D14" s="23">
        <f>M10-M4</f>
        <v>2510444.0734587312</v>
      </c>
      <c r="E14" s="23">
        <f>SUM(N10:Q10)-SUM(N4:Q4)</f>
        <v>5297334.6920899451</v>
      </c>
      <c r="F14" s="23">
        <f>SUM(R10)</f>
        <v>4751036.9548880178</v>
      </c>
      <c r="G14" s="23">
        <f>SUM(S10:T10)</f>
        <v>1613256.1585220022</v>
      </c>
      <c r="H14" s="23">
        <f>U10</f>
        <v>9471308.8787190579</v>
      </c>
      <c r="I14" s="23">
        <f>V10</f>
        <v>4675865.6439108122</v>
      </c>
      <c r="J14" s="23">
        <f>W10+X10</f>
        <v>3154924.3756600656</v>
      </c>
      <c r="K14" s="23">
        <f>Y10+Z10+AA10</f>
        <v>96482.202239812206</v>
      </c>
      <c r="L14" s="23">
        <f>SUM(AB10:AH10)</f>
        <v>44143854.98616071</v>
      </c>
      <c r="M14" s="23">
        <f>AI10</f>
        <v>11118934.919777999</v>
      </c>
      <c r="N14" s="23">
        <f>AJ10</f>
        <v>956149.47675032227</v>
      </c>
      <c r="O14" s="23">
        <f>AK10</f>
        <v>75081348.582437485</v>
      </c>
    </row>
    <row r="15" spans="1:37" s="23" customFormat="1" x14ac:dyDescent="0.25">
      <c r="A15" s="22" t="s">
        <v>71</v>
      </c>
      <c r="B15" s="23">
        <f>SUM(B11:H11)</f>
        <v>15396.719240223778</v>
      </c>
      <c r="C15" s="23">
        <f>SUM(I11:L11)</f>
        <v>2485971.9943085993</v>
      </c>
      <c r="D15" s="23">
        <f>M11</f>
        <v>235.93406576711601</v>
      </c>
      <c r="E15" s="23">
        <f>SUM(N11:Q11)</f>
        <v>428577.0879392802</v>
      </c>
      <c r="F15" s="23">
        <f t="shared" ref="F15" si="1">SUM(R11)</f>
        <v>86020.093617592094</v>
      </c>
      <c r="G15" s="23">
        <f t="shared" ref="G15" si="2">SUM(S11:T11)</f>
        <v>4027.194699025667</v>
      </c>
      <c r="H15" s="23">
        <f t="shared" ref="H15" si="3">U11</f>
        <v>8045.5779997417603</v>
      </c>
      <c r="I15" s="23">
        <f t="shared" ref="I15" si="4">V11</f>
        <v>198752.03922426299</v>
      </c>
      <c r="J15" s="23">
        <f t="shared" ref="J15" si="5">W11+X11</f>
        <v>24350.25528106295</v>
      </c>
      <c r="K15" s="23">
        <f>Y11+Z11+AA11</f>
        <v>648.37123248514308</v>
      </c>
      <c r="L15" s="23">
        <f t="shared" ref="L15" si="6">SUM(AB11:AH11)</f>
        <v>11143587.188034194</v>
      </c>
      <c r="M15" s="23">
        <f t="shared" ref="M15" si="7">AI11</f>
        <v>697672.00794289098</v>
      </c>
      <c r="N15" s="23">
        <f t="shared" ref="N15" si="8">AJ11</f>
        <v>28.4088151625648</v>
      </c>
      <c r="O15" s="23">
        <f t="shared" ref="O15" si="9">AK11</f>
        <v>35235409.506158918</v>
      </c>
    </row>
    <row r="16" spans="1:37" x14ac:dyDescent="0.25">
      <c r="A16" s="3" t="s">
        <v>89</v>
      </c>
      <c r="D16" s="11">
        <f>M4</f>
        <v>367917973.53760898</v>
      </c>
      <c r="E16" s="15">
        <f>SUM(N4:Q4)</f>
        <v>185399822.28241348</v>
      </c>
    </row>
  </sheetData>
  <mergeCells count="7">
    <mergeCell ref="AB1:AH1"/>
    <mergeCell ref="B1:H1"/>
    <mergeCell ref="I1:L1"/>
    <mergeCell ref="N1:Q1"/>
    <mergeCell ref="S1:T1"/>
    <mergeCell ref="W1:X1"/>
    <mergeCell ref="Y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2235-6463-451C-87F9-3F993CC935C0}">
  <dimension ref="A1:U1000"/>
  <sheetViews>
    <sheetView workbookViewId="0">
      <selection activeCell="M20" sqref="M20"/>
    </sheetView>
  </sheetViews>
  <sheetFormatPr defaultColWidth="14.42578125" defaultRowHeight="15" x14ac:dyDescent="0.25"/>
  <cols>
    <col min="1" max="2" width="8.7109375" style="2" customWidth="1"/>
    <col min="3" max="3" width="10.5703125" style="2" customWidth="1"/>
    <col min="4" max="4" width="8.7109375" style="2" customWidth="1"/>
    <col min="5" max="5" width="11.140625" style="2" customWidth="1"/>
    <col min="6" max="6" width="8.7109375" style="2" customWidth="1"/>
    <col min="7" max="7" width="10.5703125" style="2" customWidth="1"/>
    <col min="8" max="8" width="8.7109375" style="2" customWidth="1"/>
    <col min="9" max="9" width="13" style="2" customWidth="1"/>
    <col min="10" max="26" width="8.7109375" style="2" customWidth="1"/>
    <col min="27" max="16384" width="14.42578125" style="2"/>
  </cols>
  <sheetData>
    <row r="1" spans="1:21" ht="14.25" customHeight="1" x14ac:dyDescent="0.25">
      <c r="B1" s="24" t="s">
        <v>30</v>
      </c>
      <c r="C1" s="25"/>
      <c r="D1" s="25"/>
      <c r="E1" s="25"/>
      <c r="F1" s="25"/>
      <c r="G1" s="25"/>
      <c r="H1" s="25"/>
      <c r="I1" s="26" t="s">
        <v>31</v>
      </c>
      <c r="J1" s="25"/>
      <c r="K1" s="25"/>
      <c r="L1" s="26" t="s">
        <v>32</v>
      </c>
      <c r="M1" s="25"/>
      <c r="N1" s="26" t="s">
        <v>33</v>
      </c>
      <c r="O1" s="25"/>
      <c r="P1" s="26" t="s">
        <v>34</v>
      </c>
      <c r="Q1" s="25"/>
      <c r="R1" s="25"/>
      <c r="S1" s="25"/>
      <c r="T1" s="25"/>
      <c r="U1" s="25"/>
    </row>
    <row r="2" spans="1:21" ht="14.25" customHeight="1" x14ac:dyDescent="0.25"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</row>
    <row r="3" spans="1:21" ht="14.25" customHeight="1" x14ac:dyDescent="0.25">
      <c r="A3" s="4" t="s">
        <v>16</v>
      </c>
      <c r="B3" s="14">
        <v>1920.35518610498</v>
      </c>
      <c r="C3" s="14">
        <v>1399.42915929382</v>
      </c>
      <c r="D3" s="14">
        <v>508.249318550917</v>
      </c>
      <c r="E3" s="14">
        <v>2326.2612067739001</v>
      </c>
      <c r="F3" s="14">
        <v>299.26263672964097</v>
      </c>
      <c r="G3" s="14">
        <v>511.21448758414198</v>
      </c>
      <c r="H3" s="14">
        <v>2646.5864670482601</v>
      </c>
      <c r="I3" s="14">
        <v>78495.684028010495</v>
      </c>
      <c r="J3" s="14">
        <v>19481.858314009201</v>
      </c>
      <c r="K3" s="14">
        <v>248533.197249274</v>
      </c>
      <c r="L3" s="14">
        <v>145820.10134500699</v>
      </c>
      <c r="M3" s="14">
        <v>30835.124303694502</v>
      </c>
      <c r="N3" s="14">
        <v>158.24770022275601</v>
      </c>
      <c r="O3" s="14">
        <v>20732.846568285899</v>
      </c>
      <c r="P3" s="14">
        <v>19355116.710728101</v>
      </c>
      <c r="Q3" s="14">
        <v>4111637.25884673</v>
      </c>
      <c r="R3" s="14">
        <v>396000.60197741003</v>
      </c>
      <c r="S3" s="14">
        <v>889.52465854984302</v>
      </c>
      <c r="T3" s="14">
        <v>846432.40957771195</v>
      </c>
      <c r="U3" s="14">
        <v>302285.09937989601</v>
      </c>
    </row>
    <row r="4" spans="1:21" ht="14.25" customHeight="1" x14ac:dyDescent="0.25">
      <c r="A4" s="4" t="s">
        <v>17</v>
      </c>
      <c r="B4" s="14">
        <v>3396.4961986180401</v>
      </c>
      <c r="C4" s="14">
        <v>2480.44745680083</v>
      </c>
      <c r="D4" s="14">
        <v>1140.7784992669999</v>
      </c>
      <c r="E4" s="14">
        <v>3929.6409069288702</v>
      </c>
      <c r="F4" s="14">
        <v>649.159652499711</v>
      </c>
      <c r="G4" s="14">
        <v>1193.12197274663</v>
      </c>
      <c r="H4" s="14">
        <v>33800.742572195297</v>
      </c>
      <c r="I4" s="14">
        <v>1.4621943429411099</v>
      </c>
      <c r="J4" s="14">
        <v>0.65104458161412004</v>
      </c>
      <c r="K4" s="14">
        <v>49.087638296071802</v>
      </c>
      <c r="L4" s="14">
        <v>8.0528342096662904</v>
      </c>
      <c r="M4" s="14">
        <v>10.021791258568101</v>
      </c>
      <c r="N4" s="14">
        <v>151.23676358705899</v>
      </c>
      <c r="O4" s="14">
        <v>21544.3265984391</v>
      </c>
      <c r="P4" s="14">
        <v>749.09076857956597</v>
      </c>
      <c r="Q4" s="14">
        <v>164.801498035821</v>
      </c>
      <c r="R4" s="14">
        <v>61.098105909631897</v>
      </c>
      <c r="S4" s="14">
        <v>2390.6704666810501</v>
      </c>
      <c r="T4" s="14">
        <v>33.180992887549998</v>
      </c>
      <c r="U4" s="14">
        <v>33.869718470006397</v>
      </c>
    </row>
    <row r="5" spans="1:21" ht="14.25" customHeight="1" x14ac:dyDescent="0.25">
      <c r="A5" s="4" t="s">
        <v>18</v>
      </c>
      <c r="B5" s="14">
        <v>58156632.692193799</v>
      </c>
      <c r="C5" s="14">
        <v>15990252.4358573</v>
      </c>
      <c r="D5" s="14">
        <v>99525.134179100307</v>
      </c>
      <c r="E5" s="14">
        <v>1406436.3113277601</v>
      </c>
      <c r="F5" s="14">
        <v>4429276.1391980099</v>
      </c>
      <c r="G5" s="14">
        <v>17479591.0058599</v>
      </c>
      <c r="H5" s="14">
        <v>178726.52121516</v>
      </c>
      <c r="I5" s="14">
        <v>2474507.3360925298</v>
      </c>
      <c r="J5" s="14">
        <v>965226.360502286</v>
      </c>
      <c r="K5" s="14">
        <v>6820837.8036812805</v>
      </c>
      <c r="L5" s="14">
        <v>13676953.7306915</v>
      </c>
      <c r="M5" s="14">
        <v>5101439.9059790401</v>
      </c>
      <c r="N5" s="14">
        <v>28098.5715746325</v>
      </c>
      <c r="O5" s="14">
        <v>3700158.4032013798</v>
      </c>
      <c r="P5" s="14">
        <v>20297294.827323601</v>
      </c>
      <c r="Q5" s="14">
        <v>4324546.68844561</v>
      </c>
      <c r="R5" s="14">
        <v>0</v>
      </c>
      <c r="S5" s="14">
        <v>0</v>
      </c>
      <c r="T5" s="14">
        <v>0</v>
      </c>
      <c r="U5" s="14">
        <v>355735.06308825797</v>
      </c>
    </row>
    <row r="6" spans="1:21" ht="14.25" customHeight="1" x14ac:dyDescent="0.25">
      <c r="A6" s="4" t="s">
        <v>19</v>
      </c>
      <c r="B6" s="14">
        <f t="shared" ref="B6:U6" si="0">SUM(B7:B11)</f>
        <v>4.0555137861145498</v>
      </c>
      <c r="C6" s="14">
        <f t="shared" si="0"/>
        <v>2.3796784717403945</v>
      </c>
      <c r="D6" s="14">
        <f t="shared" si="0"/>
        <v>2.13352512934933</v>
      </c>
      <c r="E6" s="14">
        <f t="shared" si="0"/>
        <v>15.7781202027797</v>
      </c>
      <c r="F6" s="14">
        <f t="shared" si="0"/>
        <v>0.5225094866494856</v>
      </c>
      <c r="G6" s="14">
        <f t="shared" si="0"/>
        <v>1.0393465434208633</v>
      </c>
      <c r="H6" s="14">
        <f t="shared" si="0"/>
        <v>0.96039735499609913</v>
      </c>
      <c r="I6" s="14">
        <f t="shared" si="0"/>
        <v>2.5890657379722045E-6</v>
      </c>
      <c r="J6" s="14">
        <f t="shared" si="0"/>
        <v>9.3044316944277929E-7</v>
      </c>
      <c r="K6" s="14">
        <f t="shared" si="0"/>
        <v>1.3392776264771594E-4</v>
      </c>
      <c r="L6" s="14">
        <f t="shared" si="0"/>
        <v>1.8593235089263916E-5</v>
      </c>
      <c r="M6" s="14">
        <f t="shared" si="0"/>
        <v>4.9704687264972868E-5</v>
      </c>
      <c r="N6" s="14">
        <f t="shared" si="0"/>
        <v>4.2545817767325821E-2</v>
      </c>
      <c r="O6" s="14">
        <f t="shared" si="0"/>
        <v>4.520026545366381</v>
      </c>
      <c r="P6" s="14">
        <f t="shared" si="0"/>
        <v>2.459566711261093E-4</v>
      </c>
      <c r="Q6" s="14">
        <f t="shared" si="0"/>
        <v>7.1294534836883845E-5</v>
      </c>
      <c r="R6" s="14">
        <f t="shared" si="0"/>
        <v>1.3160195218382575E-4</v>
      </c>
      <c r="S6" s="14">
        <f t="shared" si="0"/>
        <v>6.3696816651369744E-3</v>
      </c>
      <c r="T6" s="14">
        <f t="shared" si="0"/>
        <v>1.1111478031146206E-5</v>
      </c>
      <c r="U6" s="14">
        <f t="shared" si="0"/>
        <v>6.2921372881930902E-5</v>
      </c>
    </row>
    <row r="7" spans="1:21" ht="14.25" customHeight="1" x14ac:dyDescent="0.25">
      <c r="A7" s="4" t="s">
        <v>55</v>
      </c>
      <c r="B7" s="12">
        <v>0.86000933246262301</v>
      </c>
      <c r="C7" s="12">
        <v>0.57774892937941302</v>
      </c>
      <c r="D7" s="12">
        <v>8.2506234469013201E-2</v>
      </c>
      <c r="E7" s="12">
        <v>0.24743043098982201</v>
      </c>
      <c r="F7" s="12">
        <v>0.12886824840595501</v>
      </c>
      <c r="G7" s="12">
        <v>0.20254919702207799</v>
      </c>
      <c r="H7" s="12">
        <v>0.28100228277817302</v>
      </c>
      <c r="I7" s="14">
        <v>4.9914756693621803E-8</v>
      </c>
      <c r="J7" s="14">
        <v>6.9481703138037701E-9</v>
      </c>
      <c r="K7" s="14">
        <v>9.1352888352702508E-6</v>
      </c>
      <c r="L7" s="14">
        <v>9.47797011406442E-7</v>
      </c>
      <c r="M7" s="14">
        <v>3.74538516558557E-6</v>
      </c>
      <c r="N7" s="12">
        <v>1.2165545134318299E-2</v>
      </c>
      <c r="O7" s="12">
        <v>1.28318881791767</v>
      </c>
      <c r="P7" s="14">
        <v>1.8367751380179601E-5</v>
      </c>
      <c r="Q7" s="14">
        <v>5.58393217735025E-6</v>
      </c>
      <c r="R7" s="14">
        <v>9.2681475688206106E-6</v>
      </c>
      <c r="S7" s="12">
        <v>4.5656690894600699E-4</v>
      </c>
      <c r="T7" s="14">
        <v>8.4384870995248596E-7</v>
      </c>
      <c r="U7" s="14">
        <v>4.3276069717297501E-6</v>
      </c>
    </row>
    <row r="8" spans="1:21" ht="14.25" customHeight="1" x14ac:dyDescent="0.25">
      <c r="A8" s="4" t="s">
        <v>56</v>
      </c>
      <c r="B8" s="12">
        <v>1.54318094454856</v>
      </c>
      <c r="C8" s="12">
        <v>0.90428241833928502</v>
      </c>
      <c r="D8" s="12">
        <v>0.813464456715283</v>
      </c>
      <c r="E8" s="12">
        <v>6.0063731130807803</v>
      </c>
      <c r="F8" s="12">
        <v>0.199390287403129</v>
      </c>
      <c r="G8" s="12">
        <v>0.39613416049533101</v>
      </c>
      <c r="H8" s="12">
        <v>0.375563820647557</v>
      </c>
      <c r="I8" s="14">
        <v>1.6703606177673499E-6</v>
      </c>
      <c r="J8" s="14">
        <v>6.1201306917765997E-7</v>
      </c>
      <c r="K8" s="14">
        <v>7.9298026512578102E-5</v>
      </c>
      <c r="L8" s="14">
        <v>1.1355260512008699E-5</v>
      </c>
      <c r="M8" s="14">
        <v>2.9041759228861199E-5</v>
      </c>
      <c r="N8" s="12">
        <v>1.8042795773458499E-2</v>
      </c>
      <c r="O8" s="12">
        <v>1.9301913679789</v>
      </c>
      <c r="P8" s="12">
        <v>1.43894212085105E-4</v>
      </c>
      <c r="Q8" s="14">
        <v>4.1427266169447799E-5</v>
      </c>
      <c r="R8" s="14">
        <v>7.7609766361771306E-5</v>
      </c>
      <c r="S8" s="12">
        <v>3.74714738652793E-3</v>
      </c>
      <c r="T8" s="14">
        <v>6.4850410368019699E-6</v>
      </c>
      <c r="U8" s="14">
        <v>3.7217422773081103E-5</v>
      </c>
    </row>
    <row r="9" spans="1:21" ht="14.25" customHeight="1" x14ac:dyDescent="0.25">
      <c r="A9" s="4" t="s">
        <v>57</v>
      </c>
      <c r="B9" s="12">
        <v>0.83749143274989701</v>
      </c>
      <c r="C9" s="12">
        <v>0.46306622200789199</v>
      </c>
      <c r="D9" s="12">
        <v>0.58539801872994801</v>
      </c>
      <c r="E9" s="12">
        <v>4.4744673465724496</v>
      </c>
      <c r="F9" s="12">
        <v>0.101018047891933</v>
      </c>
      <c r="G9" s="12">
        <v>0.22170032407999399</v>
      </c>
      <c r="H9" s="12">
        <v>0.16448325160921401</v>
      </c>
      <c r="I9" s="14">
        <v>3.1787382366681702E-8</v>
      </c>
      <c r="J9" s="14">
        <v>4.1606719797614701E-9</v>
      </c>
      <c r="K9" s="14">
        <v>5.8933218478905901E-6</v>
      </c>
      <c r="L9" s="14">
        <v>6.0828873700653504E-7</v>
      </c>
      <c r="M9" s="14">
        <v>2.3965724639065E-6</v>
      </c>
      <c r="N9" s="12">
        <v>7.3622375987850101E-3</v>
      </c>
      <c r="O9" s="12">
        <v>0.77678556428729195</v>
      </c>
      <c r="P9" s="14">
        <v>1.1760877492884299E-5</v>
      </c>
      <c r="Q9" s="14">
        <v>3.5842732508122998E-6</v>
      </c>
      <c r="R9" s="14">
        <v>5.9295647981087297E-6</v>
      </c>
      <c r="S9" s="12">
        <v>2.9179915740014698E-4</v>
      </c>
      <c r="T9" s="14">
        <v>5.4329060768861997E-7</v>
      </c>
      <c r="U9" s="14">
        <v>2.7687113454811501E-6</v>
      </c>
    </row>
    <row r="10" spans="1:21" ht="14.25" customHeight="1" x14ac:dyDescent="0.25">
      <c r="A10" s="4" t="s">
        <v>58</v>
      </c>
      <c r="B10" s="12">
        <v>0.75873392112987104</v>
      </c>
      <c r="C10" s="12">
        <v>0.41328025851660799</v>
      </c>
      <c r="D10" s="12">
        <v>0.56294533232413302</v>
      </c>
      <c r="E10" s="12">
        <v>4.3310691810260904</v>
      </c>
      <c r="F10" s="12">
        <v>8.8887425295335803E-2</v>
      </c>
      <c r="G10" s="12">
        <v>0.201650690790216</v>
      </c>
      <c r="H10" s="12">
        <v>0.12274593888771899</v>
      </c>
      <c r="I10" s="14">
        <v>8.3700298114455105E-7</v>
      </c>
      <c r="J10" s="14">
        <v>3.0732125797155403E-7</v>
      </c>
      <c r="K10" s="14">
        <v>3.9601125451977002E-5</v>
      </c>
      <c r="L10" s="14">
        <v>5.6818888288422399E-6</v>
      </c>
      <c r="M10" s="14">
        <v>1.4520970406619599E-5</v>
      </c>
      <c r="N10" s="12">
        <v>4.9752268424241401E-3</v>
      </c>
      <c r="O10" s="12">
        <v>0.52985944674476004</v>
      </c>
      <c r="P10" s="14">
        <v>7.1933830167940404E-5</v>
      </c>
      <c r="Q10" s="14">
        <v>2.0699063239273501E-5</v>
      </c>
      <c r="R10" s="14">
        <v>3.8794473455125103E-5</v>
      </c>
      <c r="S10" s="12">
        <v>1.87416821226289E-3</v>
      </c>
      <c r="T10" s="14">
        <v>3.2392976767031302E-6</v>
      </c>
      <c r="U10" s="14">
        <v>1.8607631791638899E-5</v>
      </c>
    </row>
    <row r="11" spans="1:21" ht="14.25" customHeight="1" x14ac:dyDescent="0.25">
      <c r="A11" s="4" t="s">
        <v>59</v>
      </c>
      <c r="B11" s="12">
        <v>5.6098155223598699E-2</v>
      </c>
      <c r="C11" s="12">
        <v>2.1300643497196299E-2</v>
      </c>
      <c r="D11" s="12">
        <v>8.9211087110952797E-2</v>
      </c>
      <c r="E11" s="12">
        <v>0.71878013111055505</v>
      </c>
      <c r="F11" s="12">
        <v>4.3454776531327904E-3</v>
      </c>
      <c r="G11" s="12">
        <v>1.7312171033244401E-2</v>
      </c>
      <c r="H11" s="12">
        <v>1.6602061073436099E-2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4">
        <v>1.2418339877536499E-8</v>
      </c>
      <c r="O11" s="14">
        <v>1.3484377591679501E-6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</row>
    <row r="12" spans="1:21" ht="14.25" customHeight="1" x14ac:dyDescent="0.25"/>
    <row r="13" spans="1:21" ht="14.25" customHeight="1" x14ac:dyDescent="0.25">
      <c r="C13" s="20" t="s">
        <v>30</v>
      </c>
      <c r="D13" s="27" t="s">
        <v>60</v>
      </c>
      <c r="E13" s="27" t="s">
        <v>61</v>
      </c>
      <c r="F13" s="27" t="s">
        <v>60</v>
      </c>
      <c r="G13" s="27" t="s">
        <v>33</v>
      </c>
      <c r="H13" s="27" t="s">
        <v>60</v>
      </c>
      <c r="I13" s="27" t="s">
        <v>34</v>
      </c>
      <c r="J13" s="27" t="s">
        <v>60</v>
      </c>
      <c r="K13" s="12" t="s">
        <v>62</v>
      </c>
    </row>
    <row r="14" spans="1:21" ht="14.25" customHeight="1" x14ac:dyDescent="0.25">
      <c r="B14" s="4" t="s">
        <v>16</v>
      </c>
      <c r="C14" s="28">
        <f t="shared" ref="C14:C17" si="1">SUM(B3:H3)</f>
        <v>9611.35846208566</v>
      </c>
      <c r="D14" s="29">
        <f>C14/$C$19*100</f>
        <v>5.3065341093206384E-3</v>
      </c>
      <c r="E14" s="14">
        <f t="shared" ref="E14:E17" si="2">SUM(I3:M3)</f>
        <v>523165.96523999522</v>
      </c>
      <c r="F14" s="29">
        <f>E14/$C$19*100</f>
        <v>0.28884554148438824</v>
      </c>
      <c r="G14" s="28">
        <f t="shared" ref="G14:G17" si="3">SUM(N3:O3)</f>
        <v>20891.094268508656</v>
      </c>
      <c r="H14" s="29">
        <f>G14/$C$19*100</f>
        <v>1.1534197247369926E-2</v>
      </c>
      <c r="I14" s="14">
        <f t="shared" ref="I14:I17" si="4">SUM(P3:U3)</f>
        <v>25012361.605168402</v>
      </c>
      <c r="J14" s="29">
        <f>I14/$C$19*100</f>
        <v>13.809593153358044</v>
      </c>
      <c r="K14" s="29">
        <f t="shared" ref="K14:K17" si="5">SUM(J14,H14,F14,D14)</f>
        <v>14.115279426199123</v>
      </c>
    </row>
    <row r="15" spans="1:21" ht="14.25" customHeight="1" x14ac:dyDescent="0.25">
      <c r="B15" s="4" t="s">
        <v>17</v>
      </c>
      <c r="C15" s="28">
        <f t="shared" si="1"/>
        <v>46590.387259056384</v>
      </c>
      <c r="D15" s="29">
        <f>C15/$C$19*100</f>
        <v>2.572305258740613E-2</v>
      </c>
      <c r="E15" s="14">
        <f t="shared" si="2"/>
        <v>69.275502688861422</v>
      </c>
      <c r="F15" s="29">
        <f>E15/$C$19*100</f>
        <v>3.8247748162646814E-5</v>
      </c>
      <c r="G15" s="28">
        <f t="shared" si="3"/>
        <v>21695.563362026158</v>
      </c>
      <c r="H15" s="29">
        <f>G15/$C$19*100</f>
        <v>1.1978353263554814E-2</v>
      </c>
      <c r="I15" s="14">
        <f t="shared" si="4"/>
        <v>3432.7115505636252</v>
      </c>
      <c r="J15" s="29">
        <f>I15/$C$19*100</f>
        <v>1.895236870249036E-3</v>
      </c>
      <c r="K15" s="29">
        <f t="shared" si="5"/>
        <v>3.963489046937263E-2</v>
      </c>
    </row>
    <row r="16" spans="1:21" ht="14.25" customHeight="1" x14ac:dyDescent="0.25">
      <c r="B16" s="4" t="s">
        <v>18</v>
      </c>
      <c r="C16" s="28">
        <f t="shared" si="1"/>
        <v>97740440.239831015</v>
      </c>
      <c r="D16" s="29">
        <f>C16/$C$19*100</f>
        <v>53.96354553195274</v>
      </c>
      <c r="E16" s="14">
        <f t="shared" si="2"/>
        <v>29038965.136946637</v>
      </c>
      <c r="F16" s="29">
        <f>E16/$C$19*100</f>
        <v>16.032724157199041</v>
      </c>
      <c r="G16" s="28">
        <f t="shared" si="3"/>
        <v>3728256.9747760124</v>
      </c>
      <c r="H16" s="29">
        <f>G16/$C$19*100</f>
        <v>2.0584106693143083</v>
      </c>
      <c r="I16" s="14">
        <f t="shared" si="4"/>
        <v>24977576.578857467</v>
      </c>
      <c r="J16" s="29">
        <f>I16/$C$19*100</f>
        <v>13.790387967187872</v>
      </c>
      <c r="K16" s="29">
        <f t="shared" si="5"/>
        <v>85.845068325653955</v>
      </c>
    </row>
    <row r="17" spans="2:11" ht="14.25" customHeight="1" x14ac:dyDescent="0.25">
      <c r="B17" s="4" t="s">
        <v>19</v>
      </c>
      <c r="C17" s="28">
        <f t="shared" si="1"/>
        <v>26.869090975050423</v>
      </c>
      <c r="D17" s="29">
        <f>C17/$C$19*100</f>
        <v>1.4834713355868761E-5</v>
      </c>
      <c r="E17" s="14">
        <f t="shared" si="2"/>
        <v>2.0574519390936772E-4</v>
      </c>
      <c r="F17" s="29">
        <f>E17/$C$19*100</f>
        <v>1.1359412861518952E-10</v>
      </c>
      <c r="G17" s="28">
        <f t="shared" si="3"/>
        <v>4.5625723631337065</v>
      </c>
      <c r="H17" s="29">
        <f>G17/$C$19*100</f>
        <v>2.519045145045897E-6</v>
      </c>
      <c r="I17" s="14">
        <f t="shared" si="4"/>
        <v>6.8925676741968698E-3</v>
      </c>
      <c r="J17" s="29">
        <f>I17/$C$19*100</f>
        <v>3.8054605504734868E-9</v>
      </c>
      <c r="K17" s="29">
        <f t="shared" si="5"/>
        <v>1.7357677555593747E-5</v>
      </c>
    </row>
    <row r="18" spans="2:11" ht="14.25" customHeight="1" x14ac:dyDescent="0.25">
      <c r="C18" s="5">
        <f>SUM(C14:C17)</f>
        <v>97796668.854643136</v>
      </c>
      <c r="D18" s="29">
        <f>C18/$C$19*100</f>
        <v>53.994589953362812</v>
      </c>
      <c r="E18" s="5">
        <f>SUM(E14:E17)</f>
        <v>29562200.377895065</v>
      </c>
      <c r="G18" s="5">
        <f>SUM(G14:G17)</f>
        <v>3770848.1949789105</v>
      </c>
      <c r="I18" s="5">
        <f>SUM(I14:I17)</f>
        <v>49993370.902469002</v>
      </c>
    </row>
    <row r="19" spans="2:11" ht="14.25" customHeight="1" x14ac:dyDescent="0.25">
      <c r="B19" s="4" t="s">
        <v>63</v>
      </c>
      <c r="C19" s="28">
        <f>SUM(C14:C17,E14:E17,G14:G17,I14:I17)</f>
        <v>181123088.3299861</v>
      </c>
      <c r="D19" s="29">
        <f>SUM(D14:D17)</f>
        <v>53.994589953362819</v>
      </c>
      <c r="E19" s="28">
        <f>SUM(E14:E17,G14:G17,I14:I17,K14:K17)</f>
        <v>83326519.475342944</v>
      </c>
      <c r="F19" s="29">
        <f>SUM(F14:F17)</f>
        <v>16.321607946545186</v>
      </c>
      <c r="G19" s="27"/>
      <c r="H19" s="29">
        <f>SUM(H14:H17)</f>
        <v>2.0819257388703778</v>
      </c>
      <c r="I19" s="27"/>
      <c r="J19" s="29">
        <f>SUM(J14:J17)</f>
        <v>27.601876361221628</v>
      </c>
    </row>
    <row r="20" spans="2:11" ht="14.25" customHeight="1" x14ac:dyDescent="0.25"/>
    <row r="21" spans="2:11" ht="14.25" customHeight="1" x14ac:dyDescent="0.25"/>
    <row r="22" spans="2:11" ht="14.25" customHeight="1" x14ac:dyDescent="0.25"/>
    <row r="23" spans="2:11" ht="14.25" customHeight="1" x14ac:dyDescent="0.25"/>
    <row r="24" spans="2:11" ht="14.25" customHeight="1" x14ac:dyDescent="0.25"/>
    <row r="25" spans="2:11" ht="14.25" customHeight="1" x14ac:dyDescent="0.25"/>
    <row r="26" spans="2:11" ht="14.25" customHeight="1" x14ac:dyDescent="0.25"/>
    <row r="27" spans="2:11" ht="14.25" customHeight="1" x14ac:dyDescent="0.25"/>
    <row r="28" spans="2:11" ht="14.25" customHeight="1" x14ac:dyDescent="0.25"/>
    <row r="29" spans="2:11" ht="14.25" customHeight="1" x14ac:dyDescent="0.25"/>
    <row r="30" spans="2:11" ht="14.25" customHeight="1" x14ac:dyDescent="0.25"/>
    <row r="31" spans="2:11" ht="14.25" customHeight="1" x14ac:dyDescent="0.25"/>
    <row r="32" spans="2:11" ht="14.25" customHeight="1" x14ac:dyDescent="0.25"/>
    <row r="33" s="2" customFormat="1" ht="14.25" customHeight="1" x14ac:dyDescent="0.25"/>
    <row r="34" s="2" customFormat="1" ht="14.25" customHeight="1" x14ac:dyDescent="0.25"/>
    <row r="35" s="2" customFormat="1" ht="14.25" customHeight="1" x14ac:dyDescent="0.25"/>
    <row r="36" s="2" customFormat="1" ht="14.25" customHeight="1" x14ac:dyDescent="0.25"/>
    <row r="37" s="2" customFormat="1" ht="14.25" customHeight="1" x14ac:dyDescent="0.25"/>
    <row r="38" s="2" customFormat="1" ht="14.25" customHeight="1" x14ac:dyDescent="0.25"/>
    <row r="39" s="2" customFormat="1" ht="14.25" customHeight="1" x14ac:dyDescent="0.25"/>
    <row r="40" s="2" customFormat="1" ht="14.25" customHeight="1" x14ac:dyDescent="0.25"/>
    <row r="41" s="2" customFormat="1" ht="14.25" customHeight="1" x14ac:dyDescent="0.25"/>
    <row r="42" s="2" customFormat="1" ht="14.25" customHeight="1" x14ac:dyDescent="0.25"/>
    <row r="43" s="2" customFormat="1" ht="14.25" customHeight="1" x14ac:dyDescent="0.25"/>
    <row r="44" s="2" customFormat="1" ht="14.25" customHeight="1" x14ac:dyDescent="0.25"/>
    <row r="45" s="2" customFormat="1" ht="14.25" customHeight="1" x14ac:dyDescent="0.25"/>
    <row r="46" s="2" customFormat="1" ht="14.25" customHeight="1" x14ac:dyDescent="0.25"/>
    <row r="47" s="2" customFormat="1" ht="14.25" customHeight="1" x14ac:dyDescent="0.25"/>
    <row r="48" s="2" customFormat="1" ht="14.25" customHeight="1" x14ac:dyDescent="0.25"/>
    <row r="49" s="2" customFormat="1" ht="14.25" customHeight="1" x14ac:dyDescent="0.25"/>
    <row r="50" s="2" customFormat="1" ht="14.25" customHeight="1" x14ac:dyDescent="0.25"/>
    <row r="51" s="2" customFormat="1" ht="14.25" customHeight="1" x14ac:dyDescent="0.25"/>
    <row r="52" s="2" customFormat="1" ht="14.25" customHeight="1" x14ac:dyDescent="0.25"/>
    <row r="53" s="2" customFormat="1" ht="14.25" customHeight="1" x14ac:dyDescent="0.25"/>
    <row r="54" s="2" customFormat="1" ht="14.25" customHeight="1" x14ac:dyDescent="0.25"/>
    <row r="55" s="2" customFormat="1" ht="14.25" customHeight="1" x14ac:dyDescent="0.25"/>
    <row r="56" s="2" customFormat="1" ht="14.25" customHeight="1" x14ac:dyDescent="0.25"/>
    <row r="57" s="2" customFormat="1" ht="14.25" customHeight="1" x14ac:dyDescent="0.25"/>
    <row r="58" s="2" customFormat="1" ht="14.25" customHeight="1" x14ac:dyDescent="0.25"/>
    <row r="59" s="2" customFormat="1" ht="14.25" customHeight="1" x14ac:dyDescent="0.25"/>
    <row r="60" s="2" customFormat="1" ht="14.25" customHeight="1" x14ac:dyDescent="0.25"/>
    <row r="61" s="2" customFormat="1" ht="14.25" customHeight="1" x14ac:dyDescent="0.25"/>
    <row r="62" s="2" customFormat="1" ht="14.25" customHeight="1" x14ac:dyDescent="0.25"/>
    <row r="63" s="2" customFormat="1" ht="14.25" customHeight="1" x14ac:dyDescent="0.25"/>
    <row r="64" s="2" customFormat="1" ht="14.25" customHeight="1" x14ac:dyDescent="0.25"/>
    <row r="65" s="2" customFormat="1" ht="14.25" customHeight="1" x14ac:dyDescent="0.25"/>
    <row r="66" s="2" customFormat="1" ht="14.25" customHeight="1" x14ac:dyDescent="0.25"/>
    <row r="67" s="2" customFormat="1" ht="14.25" customHeight="1" x14ac:dyDescent="0.25"/>
    <row r="68" s="2" customFormat="1" ht="14.25" customHeight="1" x14ac:dyDescent="0.25"/>
    <row r="69" s="2" customFormat="1" ht="14.25" customHeight="1" x14ac:dyDescent="0.25"/>
    <row r="70" s="2" customFormat="1" ht="14.25" customHeight="1" x14ac:dyDescent="0.25"/>
    <row r="71" s="2" customFormat="1" ht="14.25" customHeight="1" x14ac:dyDescent="0.25"/>
    <row r="72" s="2" customFormat="1" ht="14.25" customHeight="1" x14ac:dyDescent="0.25"/>
    <row r="73" s="2" customFormat="1" ht="14.25" customHeight="1" x14ac:dyDescent="0.25"/>
    <row r="74" s="2" customFormat="1" ht="14.25" customHeight="1" x14ac:dyDescent="0.25"/>
    <row r="75" s="2" customFormat="1" ht="14.25" customHeight="1" x14ac:dyDescent="0.25"/>
    <row r="76" s="2" customFormat="1" ht="14.25" customHeight="1" x14ac:dyDescent="0.25"/>
    <row r="77" s="2" customFormat="1" ht="14.25" customHeight="1" x14ac:dyDescent="0.25"/>
    <row r="78" s="2" customFormat="1" ht="14.25" customHeight="1" x14ac:dyDescent="0.25"/>
    <row r="79" s="2" customFormat="1" ht="14.25" customHeight="1" x14ac:dyDescent="0.25"/>
    <row r="80" s="2" customFormat="1" ht="14.25" customHeight="1" x14ac:dyDescent="0.25"/>
    <row r="81" s="2" customFormat="1" ht="14.25" customHeight="1" x14ac:dyDescent="0.25"/>
    <row r="82" s="2" customFormat="1" ht="14.25" customHeight="1" x14ac:dyDescent="0.25"/>
    <row r="83" s="2" customFormat="1" ht="14.25" customHeight="1" x14ac:dyDescent="0.25"/>
    <row r="84" s="2" customFormat="1" ht="14.25" customHeight="1" x14ac:dyDescent="0.25"/>
    <row r="85" s="2" customFormat="1" ht="14.25" customHeight="1" x14ac:dyDescent="0.25"/>
    <row r="86" s="2" customFormat="1" ht="14.25" customHeight="1" x14ac:dyDescent="0.25"/>
    <row r="87" s="2" customFormat="1" ht="14.25" customHeight="1" x14ac:dyDescent="0.25"/>
    <row r="88" s="2" customFormat="1" ht="14.25" customHeight="1" x14ac:dyDescent="0.25"/>
    <row r="89" s="2" customFormat="1" ht="14.25" customHeight="1" x14ac:dyDescent="0.25"/>
    <row r="90" s="2" customFormat="1" ht="14.25" customHeight="1" x14ac:dyDescent="0.25"/>
    <row r="91" s="2" customFormat="1" ht="14.25" customHeight="1" x14ac:dyDescent="0.25"/>
    <row r="92" s="2" customFormat="1" ht="14.25" customHeight="1" x14ac:dyDescent="0.25"/>
    <row r="93" s="2" customFormat="1" ht="14.25" customHeight="1" x14ac:dyDescent="0.25"/>
    <row r="94" s="2" customFormat="1" ht="14.25" customHeight="1" x14ac:dyDescent="0.25"/>
    <row r="95" s="2" customFormat="1" ht="14.25" customHeight="1" x14ac:dyDescent="0.25"/>
    <row r="96" s="2" customFormat="1" ht="14.25" customHeight="1" x14ac:dyDescent="0.25"/>
    <row r="97" s="2" customFormat="1" ht="14.25" customHeight="1" x14ac:dyDescent="0.25"/>
    <row r="98" s="2" customFormat="1" ht="14.25" customHeight="1" x14ac:dyDescent="0.25"/>
    <row r="99" s="2" customFormat="1" ht="14.25" customHeight="1" x14ac:dyDescent="0.25"/>
    <row r="100" s="2" customFormat="1" ht="14.25" customHeight="1" x14ac:dyDescent="0.25"/>
    <row r="101" s="2" customFormat="1" ht="14.25" customHeight="1" x14ac:dyDescent="0.25"/>
    <row r="102" s="2" customFormat="1" ht="14.25" customHeight="1" x14ac:dyDescent="0.25"/>
    <row r="103" s="2" customFormat="1" ht="14.25" customHeight="1" x14ac:dyDescent="0.25"/>
    <row r="104" s="2" customFormat="1" ht="14.25" customHeight="1" x14ac:dyDescent="0.25"/>
    <row r="105" s="2" customFormat="1" ht="14.25" customHeight="1" x14ac:dyDescent="0.25"/>
    <row r="106" s="2" customFormat="1" ht="14.25" customHeight="1" x14ac:dyDescent="0.25"/>
    <row r="107" s="2" customFormat="1" ht="14.25" customHeight="1" x14ac:dyDescent="0.25"/>
    <row r="108" s="2" customFormat="1" ht="14.25" customHeight="1" x14ac:dyDescent="0.25"/>
    <row r="109" s="2" customFormat="1" ht="14.25" customHeight="1" x14ac:dyDescent="0.25"/>
    <row r="110" s="2" customFormat="1" ht="14.25" customHeight="1" x14ac:dyDescent="0.25"/>
    <row r="111" s="2" customFormat="1" ht="14.25" customHeight="1" x14ac:dyDescent="0.25"/>
    <row r="112" s="2" customFormat="1" ht="14.25" customHeight="1" x14ac:dyDescent="0.25"/>
    <row r="113" s="2" customFormat="1" ht="14.25" customHeight="1" x14ac:dyDescent="0.25"/>
    <row r="114" s="2" customFormat="1" ht="14.25" customHeight="1" x14ac:dyDescent="0.25"/>
    <row r="115" s="2" customFormat="1" ht="14.25" customHeight="1" x14ac:dyDescent="0.25"/>
    <row r="116" s="2" customFormat="1" ht="14.25" customHeight="1" x14ac:dyDescent="0.25"/>
    <row r="117" s="2" customFormat="1" ht="14.25" customHeight="1" x14ac:dyDescent="0.25"/>
    <row r="118" s="2" customFormat="1" ht="14.25" customHeight="1" x14ac:dyDescent="0.25"/>
    <row r="119" s="2" customFormat="1" ht="14.25" customHeight="1" x14ac:dyDescent="0.25"/>
    <row r="120" s="2" customFormat="1" ht="14.25" customHeight="1" x14ac:dyDescent="0.25"/>
    <row r="121" s="2" customFormat="1" ht="14.25" customHeight="1" x14ac:dyDescent="0.25"/>
    <row r="122" s="2" customFormat="1" ht="14.25" customHeight="1" x14ac:dyDescent="0.25"/>
    <row r="123" s="2" customFormat="1" ht="14.25" customHeight="1" x14ac:dyDescent="0.25"/>
    <row r="124" s="2" customFormat="1" ht="14.25" customHeight="1" x14ac:dyDescent="0.25"/>
    <row r="125" s="2" customFormat="1" ht="14.25" customHeight="1" x14ac:dyDescent="0.25"/>
    <row r="126" s="2" customFormat="1" ht="14.25" customHeight="1" x14ac:dyDescent="0.25"/>
    <row r="127" s="2" customFormat="1" ht="14.25" customHeight="1" x14ac:dyDescent="0.25"/>
    <row r="128" s="2" customFormat="1" ht="14.25" customHeight="1" x14ac:dyDescent="0.25"/>
    <row r="129" s="2" customFormat="1" ht="14.25" customHeight="1" x14ac:dyDescent="0.25"/>
    <row r="130" s="2" customFormat="1" ht="14.25" customHeight="1" x14ac:dyDescent="0.25"/>
    <row r="131" s="2" customFormat="1" ht="14.25" customHeight="1" x14ac:dyDescent="0.25"/>
    <row r="132" s="2" customFormat="1" ht="14.25" customHeight="1" x14ac:dyDescent="0.25"/>
    <row r="133" s="2" customFormat="1" ht="14.25" customHeight="1" x14ac:dyDescent="0.25"/>
    <row r="134" s="2" customFormat="1" ht="14.25" customHeight="1" x14ac:dyDescent="0.25"/>
    <row r="135" s="2" customFormat="1" ht="14.25" customHeight="1" x14ac:dyDescent="0.25"/>
    <row r="136" s="2" customFormat="1" ht="14.25" customHeight="1" x14ac:dyDescent="0.25"/>
    <row r="137" s="2" customFormat="1" ht="14.25" customHeight="1" x14ac:dyDescent="0.25"/>
    <row r="138" s="2" customFormat="1" ht="14.25" customHeight="1" x14ac:dyDescent="0.25"/>
    <row r="139" s="2" customFormat="1" ht="14.25" customHeight="1" x14ac:dyDescent="0.25"/>
    <row r="140" s="2" customFormat="1" ht="14.25" customHeight="1" x14ac:dyDescent="0.25"/>
    <row r="141" s="2" customFormat="1" ht="14.25" customHeight="1" x14ac:dyDescent="0.25"/>
    <row r="142" s="2" customFormat="1" ht="14.25" customHeight="1" x14ac:dyDescent="0.25"/>
    <row r="143" s="2" customFormat="1" ht="14.25" customHeight="1" x14ac:dyDescent="0.25"/>
    <row r="144" s="2" customFormat="1" ht="14.25" customHeight="1" x14ac:dyDescent="0.25"/>
    <row r="145" s="2" customFormat="1" ht="14.25" customHeight="1" x14ac:dyDescent="0.25"/>
    <row r="146" s="2" customFormat="1" ht="14.25" customHeight="1" x14ac:dyDescent="0.25"/>
    <row r="147" s="2" customFormat="1" ht="14.25" customHeight="1" x14ac:dyDescent="0.25"/>
    <row r="148" s="2" customFormat="1" ht="14.25" customHeight="1" x14ac:dyDescent="0.25"/>
    <row r="149" s="2" customFormat="1" ht="14.25" customHeight="1" x14ac:dyDescent="0.25"/>
    <row r="150" s="2" customFormat="1" ht="14.25" customHeight="1" x14ac:dyDescent="0.25"/>
    <row r="151" s="2" customFormat="1" ht="14.25" customHeight="1" x14ac:dyDescent="0.25"/>
    <row r="152" s="2" customFormat="1" ht="14.25" customHeight="1" x14ac:dyDescent="0.25"/>
    <row r="153" s="2" customFormat="1" ht="14.25" customHeight="1" x14ac:dyDescent="0.25"/>
    <row r="154" s="2" customFormat="1" ht="14.25" customHeight="1" x14ac:dyDescent="0.25"/>
    <row r="155" s="2" customFormat="1" ht="14.25" customHeight="1" x14ac:dyDescent="0.25"/>
    <row r="156" s="2" customFormat="1" ht="14.25" customHeight="1" x14ac:dyDescent="0.25"/>
    <row r="157" s="2" customFormat="1" ht="14.25" customHeight="1" x14ac:dyDescent="0.25"/>
    <row r="158" s="2" customFormat="1" ht="14.25" customHeight="1" x14ac:dyDescent="0.25"/>
    <row r="159" s="2" customFormat="1" ht="14.25" customHeight="1" x14ac:dyDescent="0.25"/>
    <row r="160" s="2" customFormat="1" ht="14.25" customHeight="1" x14ac:dyDescent="0.25"/>
    <row r="161" s="2" customFormat="1" ht="14.25" customHeight="1" x14ac:dyDescent="0.25"/>
    <row r="162" s="2" customFormat="1" ht="14.25" customHeight="1" x14ac:dyDescent="0.25"/>
    <row r="163" s="2" customFormat="1" ht="14.25" customHeight="1" x14ac:dyDescent="0.25"/>
    <row r="164" s="2" customFormat="1" ht="14.25" customHeight="1" x14ac:dyDescent="0.25"/>
    <row r="165" s="2" customFormat="1" ht="14.25" customHeight="1" x14ac:dyDescent="0.25"/>
    <row r="166" s="2" customFormat="1" ht="14.25" customHeight="1" x14ac:dyDescent="0.25"/>
    <row r="167" s="2" customFormat="1" ht="14.25" customHeight="1" x14ac:dyDescent="0.25"/>
    <row r="168" s="2" customFormat="1" ht="14.25" customHeight="1" x14ac:dyDescent="0.25"/>
    <row r="169" s="2" customFormat="1" ht="14.25" customHeight="1" x14ac:dyDescent="0.25"/>
    <row r="170" s="2" customFormat="1" ht="14.25" customHeight="1" x14ac:dyDescent="0.25"/>
    <row r="171" s="2" customFormat="1" ht="14.25" customHeight="1" x14ac:dyDescent="0.25"/>
    <row r="172" s="2" customFormat="1" ht="14.25" customHeight="1" x14ac:dyDescent="0.25"/>
    <row r="173" s="2" customFormat="1" ht="14.25" customHeight="1" x14ac:dyDescent="0.25"/>
    <row r="174" s="2" customFormat="1" ht="14.25" customHeight="1" x14ac:dyDescent="0.25"/>
    <row r="175" s="2" customFormat="1" ht="14.25" customHeight="1" x14ac:dyDescent="0.25"/>
    <row r="176" s="2" customFormat="1" ht="14.25" customHeight="1" x14ac:dyDescent="0.25"/>
    <row r="177" s="2" customFormat="1" ht="14.25" customHeight="1" x14ac:dyDescent="0.25"/>
    <row r="178" s="2" customFormat="1" ht="14.25" customHeight="1" x14ac:dyDescent="0.25"/>
    <row r="179" s="2" customFormat="1" ht="14.25" customHeight="1" x14ac:dyDescent="0.25"/>
    <row r="180" s="2" customFormat="1" ht="14.25" customHeight="1" x14ac:dyDescent="0.25"/>
    <row r="181" s="2" customFormat="1" ht="14.25" customHeight="1" x14ac:dyDescent="0.25"/>
    <row r="182" s="2" customFormat="1" ht="14.25" customHeight="1" x14ac:dyDescent="0.25"/>
    <row r="183" s="2" customFormat="1" ht="14.25" customHeight="1" x14ac:dyDescent="0.25"/>
    <row r="184" s="2" customFormat="1" ht="14.25" customHeight="1" x14ac:dyDescent="0.25"/>
    <row r="185" s="2" customFormat="1" ht="14.25" customHeight="1" x14ac:dyDescent="0.25"/>
    <row r="186" s="2" customFormat="1" ht="14.25" customHeight="1" x14ac:dyDescent="0.25"/>
    <row r="187" s="2" customFormat="1" ht="14.25" customHeight="1" x14ac:dyDescent="0.25"/>
    <row r="188" s="2" customFormat="1" ht="14.25" customHeight="1" x14ac:dyDescent="0.25"/>
    <row r="189" s="2" customFormat="1" ht="14.25" customHeight="1" x14ac:dyDescent="0.25"/>
    <row r="190" s="2" customFormat="1" ht="14.25" customHeight="1" x14ac:dyDescent="0.25"/>
    <row r="191" s="2" customFormat="1" ht="14.25" customHeight="1" x14ac:dyDescent="0.25"/>
    <row r="192" s="2" customFormat="1" ht="14.25" customHeight="1" x14ac:dyDescent="0.25"/>
    <row r="193" s="2" customFormat="1" ht="14.25" customHeight="1" x14ac:dyDescent="0.25"/>
    <row r="194" s="2" customFormat="1" ht="14.25" customHeight="1" x14ac:dyDescent="0.25"/>
    <row r="195" s="2" customFormat="1" ht="14.25" customHeight="1" x14ac:dyDescent="0.25"/>
    <row r="196" s="2" customFormat="1" ht="14.25" customHeight="1" x14ac:dyDescent="0.25"/>
    <row r="197" s="2" customFormat="1" ht="14.25" customHeight="1" x14ac:dyDescent="0.25"/>
    <row r="198" s="2" customFormat="1" ht="14.25" customHeight="1" x14ac:dyDescent="0.25"/>
    <row r="199" s="2" customFormat="1" ht="14.25" customHeight="1" x14ac:dyDescent="0.25"/>
    <row r="200" s="2" customFormat="1" ht="14.25" customHeight="1" x14ac:dyDescent="0.25"/>
    <row r="201" s="2" customFormat="1" ht="14.25" customHeight="1" x14ac:dyDescent="0.25"/>
    <row r="202" s="2" customFormat="1" ht="14.25" customHeight="1" x14ac:dyDescent="0.25"/>
    <row r="203" s="2" customFormat="1" ht="14.25" customHeight="1" x14ac:dyDescent="0.25"/>
    <row r="204" s="2" customFormat="1" ht="14.25" customHeight="1" x14ac:dyDescent="0.25"/>
    <row r="205" s="2" customFormat="1" ht="14.25" customHeight="1" x14ac:dyDescent="0.25"/>
    <row r="206" s="2" customFormat="1" ht="14.25" customHeight="1" x14ac:dyDescent="0.25"/>
    <row r="207" s="2" customFormat="1" ht="14.25" customHeight="1" x14ac:dyDescent="0.25"/>
    <row r="208" s="2" customFormat="1" ht="14.25" customHeight="1" x14ac:dyDescent="0.25"/>
    <row r="209" s="2" customFormat="1" ht="14.25" customHeight="1" x14ac:dyDescent="0.25"/>
    <row r="210" s="2" customFormat="1" ht="14.25" customHeight="1" x14ac:dyDescent="0.25"/>
    <row r="211" s="2" customFormat="1" ht="14.25" customHeight="1" x14ac:dyDescent="0.25"/>
    <row r="212" s="2" customFormat="1" ht="14.25" customHeight="1" x14ac:dyDescent="0.25"/>
    <row r="213" s="2" customFormat="1" ht="14.25" customHeight="1" x14ac:dyDescent="0.25"/>
    <row r="214" s="2" customFormat="1" ht="14.25" customHeight="1" x14ac:dyDescent="0.25"/>
    <row r="215" s="2" customFormat="1" ht="14.25" customHeight="1" x14ac:dyDescent="0.25"/>
    <row r="216" s="2" customFormat="1" ht="14.25" customHeight="1" x14ac:dyDescent="0.25"/>
    <row r="217" s="2" customFormat="1" ht="14.25" customHeight="1" x14ac:dyDescent="0.25"/>
    <row r="218" s="2" customFormat="1" ht="14.25" customHeight="1" x14ac:dyDescent="0.25"/>
    <row r="219" s="2" customFormat="1" ht="14.25" customHeight="1" x14ac:dyDescent="0.25"/>
    <row r="220" s="2" customFormat="1" ht="14.25" customHeight="1" x14ac:dyDescent="0.25"/>
    <row r="221" s="2" customFormat="1" ht="14.25" customHeight="1" x14ac:dyDescent="0.25"/>
    <row r="222" s="2" customFormat="1" ht="14.25" customHeight="1" x14ac:dyDescent="0.25"/>
    <row r="223" s="2" customFormat="1" ht="14.25" customHeight="1" x14ac:dyDescent="0.25"/>
    <row r="224" s="2" customFormat="1" ht="14.25" customHeight="1" x14ac:dyDescent="0.25"/>
    <row r="225" s="2" customFormat="1" ht="14.25" customHeight="1" x14ac:dyDescent="0.25"/>
    <row r="226" s="2" customFormat="1" ht="14.25" customHeight="1" x14ac:dyDescent="0.25"/>
    <row r="227" s="2" customFormat="1" ht="14.25" customHeight="1" x14ac:dyDescent="0.25"/>
    <row r="228" s="2" customFormat="1" ht="14.25" customHeight="1" x14ac:dyDescent="0.25"/>
    <row r="229" s="2" customFormat="1" ht="14.25" customHeight="1" x14ac:dyDescent="0.25"/>
    <row r="230" s="2" customFormat="1" ht="14.25" customHeight="1" x14ac:dyDescent="0.25"/>
    <row r="231" s="2" customFormat="1" ht="14.25" customHeight="1" x14ac:dyDescent="0.25"/>
    <row r="232" s="2" customFormat="1" ht="14.25" customHeight="1" x14ac:dyDescent="0.25"/>
    <row r="233" s="2" customFormat="1" ht="14.25" customHeight="1" x14ac:dyDescent="0.25"/>
    <row r="234" s="2" customFormat="1" ht="14.25" customHeight="1" x14ac:dyDescent="0.25"/>
    <row r="235" s="2" customFormat="1" ht="14.25" customHeight="1" x14ac:dyDescent="0.25"/>
    <row r="236" s="2" customFormat="1" ht="14.25" customHeight="1" x14ac:dyDescent="0.25"/>
    <row r="237" s="2" customFormat="1" ht="14.25" customHeight="1" x14ac:dyDescent="0.25"/>
    <row r="238" s="2" customFormat="1" ht="14.25" customHeight="1" x14ac:dyDescent="0.25"/>
    <row r="239" s="2" customFormat="1" ht="14.25" customHeight="1" x14ac:dyDescent="0.25"/>
    <row r="240" s="2" customFormat="1" ht="14.25" customHeight="1" x14ac:dyDescent="0.25"/>
    <row r="241" s="2" customFormat="1" ht="14.25" customHeight="1" x14ac:dyDescent="0.25"/>
    <row r="242" s="2" customFormat="1" ht="14.25" customHeight="1" x14ac:dyDescent="0.25"/>
    <row r="243" s="2" customFormat="1" ht="14.25" customHeight="1" x14ac:dyDescent="0.25"/>
    <row r="244" s="2" customFormat="1" ht="14.25" customHeight="1" x14ac:dyDescent="0.25"/>
    <row r="245" s="2" customFormat="1" ht="14.25" customHeight="1" x14ac:dyDescent="0.25"/>
    <row r="246" s="2" customFormat="1" ht="14.25" customHeight="1" x14ac:dyDescent="0.25"/>
    <row r="247" s="2" customFormat="1" ht="14.25" customHeight="1" x14ac:dyDescent="0.25"/>
    <row r="248" s="2" customFormat="1" ht="14.25" customHeight="1" x14ac:dyDescent="0.25"/>
    <row r="249" s="2" customFormat="1" ht="14.25" customHeight="1" x14ac:dyDescent="0.25"/>
    <row r="250" s="2" customFormat="1" ht="14.25" customHeight="1" x14ac:dyDescent="0.25"/>
    <row r="251" s="2" customFormat="1" ht="14.25" customHeight="1" x14ac:dyDescent="0.25"/>
    <row r="252" s="2" customFormat="1" ht="14.25" customHeight="1" x14ac:dyDescent="0.25"/>
    <row r="253" s="2" customFormat="1" ht="14.25" customHeight="1" x14ac:dyDescent="0.25"/>
    <row r="254" s="2" customFormat="1" ht="14.25" customHeight="1" x14ac:dyDescent="0.25"/>
    <row r="255" s="2" customFormat="1" ht="14.25" customHeight="1" x14ac:dyDescent="0.25"/>
    <row r="256" s="2" customFormat="1" ht="14.25" customHeight="1" x14ac:dyDescent="0.25"/>
    <row r="257" s="2" customFormat="1" ht="14.25" customHeight="1" x14ac:dyDescent="0.25"/>
    <row r="258" s="2" customFormat="1" ht="14.25" customHeight="1" x14ac:dyDescent="0.25"/>
    <row r="259" s="2" customFormat="1" ht="14.25" customHeight="1" x14ac:dyDescent="0.25"/>
    <row r="260" s="2" customFormat="1" ht="14.25" customHeight="1" x14ac:dyDescent="0.25"/>
    <row r="261" s="2" customFormat="1" ht="14.25" customHeight="1" x14ac:dyDescent="0.25"/>
    <row r="262" s="2" customFormat="1" ht="14.25" customHeight="1" x14ac:dyDescent="0.25"/>
    <row r="263" s="2" customFormat="1" ht="14.25" customHeight="1" x14ac:dyDescent="0.25"/>
    <row r="264" s="2" customFormat="1" ht="14.25" customHeight="1" x14ac:dyDescent="0.25"/>
    <row r="265" s="2" customFormat="1" ht="14.25" customHeight="1" x14ac:dyDescent="0.25"/>
    <row r="266" s="2" customFormat="1" ht="14.25" customHeight="1" x14ac:dyDescent="0.25"/>
    <row r="267" s="2" customFormat="1" ht="14.25" customHeight="1" x14ac:dyDescent="0.25"/>
    <row r="268" s="2" customFormat="1" ht="14.25" customHeight="1" x14ac:dyDescent="0.25"/>
    <row r="269" s="2" customFormat="1" ht="14.25" customHeight="1" x14ac:dyDescent="0.25"/>
    <row r="270" s="2" customFormat="1" ht="14.25" customHeight="1" x14ac:dyDescent="0.25"/>
    <row r="271" s="2" customFormat="1" ht="14.25" customHeight="1" x14ac:dyDescent="0.25"/>
    <row r="272" s="2" customFormat="1" ht="14.25" customHeight="1" x14ac:dyDescent="0.25"/>
    <row r="273" s="2" customFormat="1" ht="14.25" customHeight="1" x14ac:dyDescent="0.25"/>
    <row r="274" s="2" customFormat="1" ht="14.25" customHeight="1" x14ac:dyDescent="0.25"/>
    <row r="275" s="2" customFormat="1" ht="14.25" customHeight="1" x14ac:dyDescent="0.25"/>
    <row r="276" s="2" customFormat="1" ht="14.25" customHeight="1" x14ac:dyDescent="0.25"/>
    <row r="277" s="2" customFormat="1" ht="14.25" customHeight="1" x14ac:dyDescent="0.25"/>
    <row r="278" s="2" customFormat="1" ht="14.25" customHeight="1" x14ac:dyDescent="0.25"/>
    <row r="279" s="2" customFormat="1" ht="14.25" customHeight="1" x14ac:dyDescent="0.25"/>
    <row r="280" s="2" customFormat="1" ht="14.25" customHeight="1" x14ac:dyDescent="0.25"/>
    <row r="281" s="2" customFormat="1" ht="14.25" customHeight="1" x14ac:dyDescent="0.25"/>
    <row r="282" s="2" customFormat="1" ht="14.25" customHeight="1" x14ac:dyDescent="0.25"/>
    <row r="283" s="2" customFormat="1" ht="14.25" customHeight="1" x14ac:dyDescent="0.25"/>
    <row r="284" s="2" customFormat="1" ht="14.25" customHeight="1" x14ac:dyDescent="0.25"/>
    <row r="285" s="2" customFormat="1" ht="14.25" customHeight="1" x14ac:dyDescent="0.25"/>
    <row r="286" s="2" customFormat="1" ht="14.25" customHeight="1" x14ac:dyDescent="0.25"/>
    <row r="287" s="2" customFormat="1" ht="14.25" customHeight="1" x14ac:dyDescent="0.25"/>
    <row r="288" s="2" customFormat="1" ht="14.25" customHeight="1" x14ac:dyDescent="0.25"/>
    <row r="289" s="2" customFormat="1" ht="14.25" customHeight="1" x14ac:dyDescent="0.25"/>
    <row r="290" s="2" customFormat="1" ht="14.25" customHeight="1" x14ac:dyDescent="0.25"/>
    <row r="291" s="2" customFormat="1" ht="14.25" customHeight="1" x14ac:dyDescent="0.25"/>
    <row r="292" s="2" customFormat="1" ht="14.25" customHeight="1" x14ac:dyDescent="0.25"/>
    <row r="293" s="2" customFormat="1" ht="14.25" customHeight="1" x14ac:dyDescent="0.25"/>
    <row r="294" s="2" customFormat="1" ht="14.25" customHeight="1" x14ac:dyDescent="0.25"/>
    <row r="295" s="2" customFormat="1" ht="14.25" customHeight="1" x14ac:dyDescent="0.25"/>
    <row r="296" s="2" customFormat="1" ht="14.25" customHeight="1" x14ac:dyDescent="0.25"/>
    <row r="297" s="2" customFormat="1" ht="14.25" customHeight="1" x14ac:dyDescent="0.25"/>
    <row r="298" s="2" customFormat="1" ht="14.25" customHeight="1" x14ac:dyDescent="0.25"/>
    <row r="299" s="2" customFormat="1" ht="14.25" customHeight="1" x14ac:dyDescent="0.25"/>
    <row r="300" s="2" customFormat="1" ht="14.25" customHeight="1" x14ac:dyDescent="0.25"/>
    <row r="301" s="2" customFormat="1" ht="14.25" customHeight="1" x14ac:dyDescent="0.25"/>
    <row r="302" s="2" customFormat="1" ht="14.25" customHeight="1" x14ac:dyDescent="0.25"/>
    <row r="303" s="2" customFormat="1" ht="14.25" customHeight="1" x14ac:dyDescent="0.25"/>
    <row r="304" s="2" customFormat="1" ht="14.25" customHeight="1" x14ac:dyDescent="0.25"/>
    <row r="305" s="2" customFormat="1" ht="14.25" customHeight="1" x14ac:dyDescent="0.25"/>
    <row r="306" s="2" customFormat="1" ht="14.25" customHeight="1" x14ac:dyDescent="0.25"/>
    <row r="307" s="2" customFormat="1" ht="14.25" customHeight="1" x14ac:dyDescent="0.25"/>
    <row r="308" s="2" customFormat="1" ht="14.25" customHeight="1" x14ac:dyDescent="0.25"/>
    <row r="309" s="2" customFormat="1" ht="14.25" customHeight="1" x14ac:dyDescent="0.25"/>
    <row r="310" s="2" customFormat="1" ht="14.25" customHeight="1" x14ac:dyDescent="0.25"/>
    <row r="311" s="2" customFormat="1" ht="14.25" customHeight="1" x14ac:dyDescent="0.25"/>
    <row r="312" s="2" customFormat="1" ht="14.25" customHeight="1" x14ac:dyDescent="0.25"/>
    <row r="313" s="2" customFormat="1" ht="14.25" customHeight="1" x14ac:dyDescent="0.25"/>
    <row r="314" s="2" customFormat="1" ht="14.25" customHeight="1" x14ac:dyDescent="0.25"/>
    <row r="315" s="2" customFormat="1" ht="14.25" customHeight="1" x14ac:dyDescent="0.25"/>
    <row r="316" s="2" customFormat="1" ht="14.25" customHeight="1" x14ac:dyDescent="0.25"/>
    <row r="317" s="2" customFormat="1" ht="14.25" customHeight="1" x14ac:dyDescent="0.25"/>
    <row r="318" s="2" customFormat="1" ht="14.25" customHeight="1" x14ac:dyDescent="0.25"/>
    <row r="319" s="2" customFormat="1" ht="14.25" customHeight="1" x14ac:dyDescent="0.25"/>
    <row r="320" s="2" customFormat="1" ht="14.25" customHeight="1" x14ac:dyDescent="0.25"/>
    <row r="321" s="2" customFormat="1" ht="14.25" customHeight="1" x14ac:dyDescent="0.25"/>
    <row r="322" s="2" customFormat="1" ht="14.25" customHeight="1" x14ac:dyDescent="0.25"/>
    <row r="323" s="2" customFormat="1" ht="14.25" customHeight="1" x14ac:dyDescent="0.25"/>
    <row r="324" s="2" customFormat="1" ht="14.25" customHeight="1" x14ac:dyDescent="0.25"/>
    <row r="325" s="2" customFormat="1" ht="14.25" customHeight="1" x14ac:dyDescent="0.25"/>
    <row r="326" s="2" customFormat="1" ht="14.25" customHeight="1" x14ac:dyDescent="0.25"/>
    <row r="327" s="2" customFormat="1" ht="14.25" customHeight="1" x14ac:dyDescent="0.25"/>
    <row r="328" s="2" customFormat="1" ht="14.25" customHeight="1" x14ac:dyDescent="0.25"/>
    <row r="329" s="2" customFormat="1" ht="14.25" customHeight="1" x14ac:dyDescent="0.25"/>
    <row r="330" s="2" customFormat="1" ht="14.25" customHeight="1" x14ac:dyDescent="0.25"/>
    <row r="331" s="2" customFormat="1" ht="14.25" customHeight="1" x14ac:dyDescent="0.25"/>
    <row r="332" s="2" customFormat="1" ht="14.25" customHeight="1" x14ac:dyDescent="0.25"/>
    <row r="333" s="2" customFormat="1" ht="14.25" customHeight="1" x14ac:dyDescent="0.25"/>
    <row r="334" s="2" customFormat="1" ht="14.25" customHeight="1" x14ac:dyDescent="0.25"/>
    <row r="335" s="2" customFormat="1" ht="14.25" customHeight="1" x14ac:dyDescent="0.25"/>
    <row r="336" s="2" customFormat="1" ht="14.25" customHeight="1" x14ac:dyDescent="0.25"/>
    <row r="337" s="2" customFormat="1" ht="14.25" customHeight="1" x14ac:dyDescent="0.25"/>
    <row r="338" s="2" customFormat="1" ht="14.25" customHeight="1" x14ac:dyDescent="0.25"/>
    <row r="339" s="2" customFormat="1" ht="14.25" customHeight="1" x14ac:dyDescent="0.25"/>
    <row r="340" s="2" customFormat="1" ht="14.25" customHeight="1" x14ac:dyDescent="0.25"/>
    <row r="341" s="2" customFormat="1" ht="14.25" customHeight="1" x14ac:dyDescent="0.25"/>
    <row r="342" s="2" customFormat="1" ht="14.25" customHeight="1" x14ac:dyDescent="0.25"/>
    <row r="343" s="2" customFormat="1" ht="14.25" customHeight="1" x14ac:dyDescent="0.25"/>
    <row r="344" s="2" customFormat="1" ht="14.25" customHeight="1" x14ac:dyDescent="0.25"/>
    <row r="345" s="2" customFormat="1" ht="14.25" customHeight="1" x14ac:dyDescent="0.25"/>
    <row r="346" s="2" customFormat="1" ht="14.25" customHeight="1" x14ac:dyDescent="0.25"/>
    <row r="347" s="2" customFormat="1" ht="14.25" customHeight="1" x14ac:dyDescent="0.25"/>
    <row r="348" s="2" customFormat="1" ht="14.25" customHeight="1" x14ac:dyDescent="0.25"/>
    <row r="349" s="2" customFormat="1" ht="14.25" customHeight="1" x14ac:dyDescent="0.25"/>
    <row r="350" s="2" customFormat="1" ht="14.25" customHeight="1" x14ac:dyDescent="0.25"/>
    <row r="351" s="2" customFormat="1" ht="14.25" customHeight="1" x14ac:dyDescent="0.25"/>
    <row r="352" s="2" customFormat="1" ht="14.25" customHeight="1" x14ac:dyDescent="0.25"/>
    <row r="353" s="2" customFormat="1" ht="14.25" customHeight="1" x14ac:dyDescent="0.25"/>
    <row r="354" s="2" customFormat="1" ht="14.25" customHeight="1" x14ac:dyDescent="0.25"/>
    <row r="355" s="2" customFormat="1" ht="14.25" customHeight="1" x14ac:dyDescent="0.25"/>
    <row r="356" s="2" customFormat="1" ht="14.25" customHeight="1" x14ac:dyDescent="0.25"/>
    <row r="357" s="2" customFormat="1" ht="14.25" customHeight="1" x14ac:dyDescent="0.25"/>
    <row r="358" s="2" customFormat="1" ht="14.25" customHeight="1" x14ac:dyDescent="0.25"/>
    <row r="359" s="2" customFormat="1" ht="14.25" customHeight="1" x14ac:dyDescent="0.25"/>
    <row r="360" s="2" customFormat="1" ht="14.25" customHeight="1" x14ac:dyDescent="0.25"/>
    <row r="361" s="2" customFormat="1" ht="14.25" customHeight="1" x14ac:dyDescent="0.25"/>
    <row r="362" s="2" customFormat="1" ht="14.25" customHeight="1" x14ac:dyDescent="0.25"/>
    <row r="363" s="2" customFormat="1" ht="14.25" customHeight="1" x14ac:dyDescent="0.25"/>
    <row r="364" s="2" customFormat="1" ht="14.25" customHeight="1" x14ac:dyDescent="0.25"/>
    <row r="365" s="2" customFormat="1" ht="14.25" customHeight="1" x14ac:dyDescent="0.25"/>
    <row r="366" s="2" customFormat="1" ht="14.25" customHeight="1" x14ac:dyDescent="0.25"/>
    <row r="367" s="2" customFormat="1" ht="14.25" customHeight="1" x14ac:dyDescent="0.25"/>
    <row r="368" s="2" customFormat="1" ht="14.25" customHeight="1" x14ac:dyDescent="0.25"/>
    <row r="369" s="2" customFormat="1" ht="14.25" customHeight="1" x14ac:dyDescent="0.25"/>
    <row r="370" s="2" customFormat="1" ht="14.25" customHeight="1" x14ac:dyDescent="0.25"/>
    <row r="371" s="2" customFormat="1" ht="14.25" customHeight="1" x14ac:dyDescent="0.25"/>
    <row r="372" s="2" customFormat="1" ht="14.25" customHeight="1" x14ac:dyDescent="0.25"/>
    <row r="373" s="2" customFormat="1" ht="14.25" customHeight="1" x14ac:dyDescent="0.25"/>
    <row r="374" s="2" customFormat="1" ht="14.25" customHeight="1" x14ac:dyDescent="0.25"/>
    <row r="375" s="2" customFormat="1" ht="14.25" customHeight="1" x14ac:dyDescent="0.25"/>
    <row r="376" s="2" customFormat="1" ht="14.25" customHeight="1" x14ac:dyDescent="0.25"/>
    <row r="377" s="2" customFormat="1" ht="14.25" customHeight="1" x14ac:dyDescent="0.25"/>
    <row r="378" s="2" customFormat="1" ht="14.25" customHeight="1" x14ac:dyDescent="0.25"/>
    <row r="379" s="2" customFormat="1" ht="14.25" customHeight="1" x14ac:dyDescent="0.25"/>
    <row r="380" s="2" customFormat="1" ht="14.25" customHeight="1" x14ac:dyDescent="0.25"/>
    <row r="381" s="2" customFormat="1" ht="14.25" customHeight="1" x14ac:dyDescent="0.25"/>
    <row r="382" s="2" customFormat="1" ht="14.25" customHeight="1" x14ac:dyDescent="0.25"/>
    <row r="383" s="2" customFormat="1" ht="14.25" customHeight="1" x14ac:dyDescent="0.25"/>
    <row r="384" s="2" customFormat="1" ht="14.25" customHeight="1" x14ac:dyDescent="0.25"/>
    <row r="385" s="2" customFormat="1" ht="14.25" customHeight="1" x14ac:dyDescent="0.25"/>
    <row r="386" s="2" customFormat="1" ht="14.25" customHeight="1" x14ac:dyDescent="0.25"/>
    <row r="387" s="2" customFormat="1" ht="14.25" customHeight="1" x14ac:dyDescent="0.25"/>
    <row r="388" s="2" customFormat="1" ht="14.25" customHeight="1" x14ac:dyDescent="0.25"/>
    <row r="389" s="2" customFormat="1" ht="14.25" customHeight="1" x14ac:dyDescent="0.25"/>
    <row r="390" s="2" customFormat="1" ht="14.25" customHeight="1" x14ac:dyDescent="0.25"/>
    <row r="391" s="2" customFormat="1" ht="14.25" customHeight="1" x14ac:dyDescent="0.25"/>
    <row r="392" s="2" customFormat="1" ht="14.25" customHeight="1" x14ac:dyDescent="0.25"/>
    <row r="393" s="2" customFormat="1" ht="14.25" customHeight="1" x14ac:dyDescent="0.25"/>
    <row r="394" s="2" customFormat="1" ht="14.25" customHeight="1" x14ac:dyDescent="0.25"/>
    <row r="395" s="2" customFormat="1" ht="14.25" customHeight="1" x14ac:dyDescent="0.25"/>
    <row r="396" s="2" customFormat="1" ht="14.25" customHeight="1" x14ac:dyDescent="0.25"/>
    <row r="397" s="2" customFormat="1" ht="14.25" customHeight="1" x14ac:dyDescent="0.25"/>
    <row r="398" s="2" customFormat="1" ht="14.25" customHeight="1" x14ac:dyDescent="0.25"/>
    <row r="399" s="2" customFormat="1" ht="14.25" customHeight="1" x14ac:dyDescent="0.25"/>
    <row r="400" s="2" customFormat="1" ht="14.25" customHeight="1" x14ac:dyDescent="0.25"/>
    <row r="401" s="2" customFormat="1" ht="14.25" customHeight="1" x14ac:dyDescent="0.25"/>
    <row r="402" s="2" customFormat="1" ht="14.25" customHeight="1" x14ac:dyDescent="0.25"/>
    <row r="403" s="2" customFormat="1" ht="14.25" customHeight="1" x14ac:dyDescent="0.25"/>
    <row r="404" s="2" customFormat="1" ht="14.25" customHeight="1" x14ac:dyDescent="0.25"/>
    <row r="405" s="2" customFormat="1" ht="14.25" customHeight="1" x14ac:dyDescent="0.25"/>
    <row r="406" s="2" customFormat="1" ht="14.25" customHeight="1" x14ac:dyDescent="0.25"/>
    <row r="407" s="2" customFormat="1" ht="14.25" customHeight="1" x14ac:dyDescent="0.25"/>
    <row r="408" s="2" customFormat="1" ht="14.25" customHeight="1" x14ac:dyDescent="0.25"/>
    <row r="409" s="2" customFormat="1" ht="14.25" customHeight="1" x14ac:dyDescent="0.25"/>
    <row r="410" s="2" customFormat="1" ht="14.25" customHeight="1" x14ac:dyDescent="0.25"/>
    <row r="411" s="2" customFormat="1" ht="14.25" customHeight="1" x14ac:dyDescent="0.25"/>
    <row r="412" s="2" customFormat="1" ht="14.25" customHeight="1" x14ac:dyDescent="0.25"/>
    <row r="413" s="2" customFormat="1" ht="14.25" customHeight="1" x14ac:dyDescent="0.25"/>
    <row r="414" s="2" customFormat="1" ht="14.25" customHeight="1" x14ac:dyDescent="0.25"/>
    <row r="415" s="2" customFormat="1" ht="14.25" customHeight="1" x14ac:dyDescent="0.25"/>
    <row r="416" s="2" customFormat="1" ht="14.25" customHeight="1" x14ac:dyDescent="0.25"/>
    <row r="417" s="2" customFormat="1" ht="14.25" customHeight="1" x14ac:dyDescent="0.25"/>
    <row r="418" s="2" customFormat="1" ht="14.25" customHeight="1" x14ac:dyDescent="0.25"/>
    <row r="419" s="2" customFormat="1" ht="14.25" customHeight="1" x14ac:dyDescent="0.25"/>
    <row r="420" s="2" customFormat="1" ht="14.25" customHeight="1" x14ac:dyDescent="0.25"/>
    <row r="421" s="2" customFormat="1" ht="14.25" customHeight="1" x14ac:dyDescent="0.25"/>
    <row r="422" s="2" customFormat="1" ht="14.25" customHeight="1" x14ac:dyDescent="0.25"/>
    <row r="423" s="2" customFormat="1" ht="14.25" customHeight="1" x14ac:dyDescent="0.25"/>
    <row r="424" s="2" customFormat="1" ht="14.25" customHeight="1" x14ac:dyDescent="0.25"/>
    <row r="425" s="2" customFormat="1" ht="14.25" customHeight="1" x14ac:dyDescent="0.25"/>
    <row r="426" s="2" customFormat="1" ht="14.25" customHeight="1" x14ac:dyDescent="0.25"/>
    <row r="427" s="2" customFormat="1" ht="14.25" customHeight="1" x14ac:dyDescent="0.25"/>
    <row r="428" s="2" customFormat="1" ht="14.25" customHeight="1" x14ac:dyDescent="0.25"/>
    <row r="429" s="2" customFormat="1" ht="14.25" customHeight="1" x14ac:dyDescent="0.25"/>
    <row r="430" s="2" customFormat="1" ht="14.25" customHeight="1" x14ac:dyDescent="0.25"/>
    <row r="431" s="2" customFormat="1" ht="14.25" customHeight="1" x14ac:dyDescent="0.25"/>
    <row r="432" s="2" customFormat="1" ht="14.25" customHeight="1" x14ac:dyDescent="0.25"/>
    <row r="433" s="2" customFormat="1" ht="14.25" customHeight="1" x14ac:dyDescent="0.25"/>
    <row r="434" s="2" customFormat="1" ht="14.25" customHeight="1" x14ac:dyDescent="0.25"/>
    <row r="435" s="2" customFormat="1" ht="14.25" customHeight="1" x14ac:dyDescent="0.25"/>
    <row r="436" s="2" customFormat="1" ht="14.25" customHeight="1" x14ac:dyDescent="0.25"/>
    <row r="437" s="2" customFormat="1" ht="14.25" customHeight="1" x14ac:dyDescent="0.25"/>
    <row r="438" s="2" customFormat="1" ht="14.25" customHeight="1" x14ac:dyDescent="0.25"/>
    <row r="439" s="2" customFormat="1" ht="14.25" customHeight="1" x14ac:dyDescent="0.25"/>
    <row r="440" s="2" customFormat="1" ht="14.25" customHeight="1" x14ac:dyDescent="0.25"/>
    <row r="441" s="2" customFormat="1" ht="14.25" customHeight="1" x14ac:dyDescent="0.25"/>
    <row r="442" s="2" customFormat="1" ht="14.25" customHeight="1" x14ac:dyDescent="0.25"/>
    <row r="443" s="2" customFormat="1" ht="14.25" customHeight="1" x14ac:dyDescent="0.25"/>
    <row r="444" s="2" customFormat="1" ht="14.25" customHeight="1" x14ac:dyDescent="0.25"/>
    <row r="445" s="2" customFormat="1" ht="14.25" customHeight="1" x14ac:dyDescent="0.25"/>
    <row r="446" s="2" customFormat="1" ht="14.25" customHeight="1" x14ac:dyDescent="0.25"/>
    <row r="447" s="2" customFormat="1" ht="14.25" customHeight="1" x14ac:dyDescent="0.25"/>
    <row r="448" s="2" customFormat="1" ht="14.25" customHeight="1" x14ac:dyDescent="0.25"/>
    <row r="449" s="2" customFormat="1" ht="14.25" customHeight="1" x14ac:dyDescent="0.25"/>
    <row r="450" s="2" customFormat="1" ht="14.25" customHeight="1" x14ac:dyDescent="0.25"/>
    <row r="451" s="2" customFormat="1" ht="14.25" customHeight="1" x14ac:dyDescent="0.25"/>
    <row r="452" s="2" customFormat="1" ht="14.25" customHeight="1" x14ac:dyDescent="0.25"/>
    <row r="453" s="2" customFormat="1" ht="14.25" customHeight="1" x14ac:dyDescent="0.25"/>
    <row r="454" s="2" customFormat="1" ht="14.25" customHeight="1" x14ac:dyDescent="0.25"/>
    <row r="455" s="2" customFormat="1" ht="14.25" customHeight="1" x14ac:dyDescent="0.25"/>
    <row r="456" s="2" customFormat="1" ht="14.25" customHeight="1" x14ac:dyDescent="0.25"/>
    <row r="457" s="2" customFormat="1" ht="14.25" customHeight="1" x14ac:dyDescent="0.25"/>
    <row r="458" s="2" customFormat="1" ht="14.25" customHeight="1" x14ac:dyDescent="0.25"/>
    <row r="459" s="2" customFormat="1" ht="14.25" customHeight="1" x14ac:dyDescent="0.25"/>
    <row r="460" s="2" customFormat="1" ht="14.25" customHeight="1" x14ac:dyDescent="0.25"/>
    <row r="461" s="2" customFormat="1" ht="14.25" customHeight="1" x14ac:dyDescent="0.25"/>
    <row r="462" s="2" customFormat="1" ht="14.25" customHeight="1" x14ac:dyDescent="0.25"/>
    <row r="463" s="2" customFormat="1" ht="14.25" customHeight="1" x14ac:dyDescent="0.25"/>
    <row r="464" s="2" customFormat="1" ht="14.25" customHeight="1" x14ac:dyDescent="0.25"/>
    <row r="465" s="2" customFormat="1" ht="14.25" customHeight="1" x14ac:dyDescent="0.25"/>
    <row r="466" s="2" customFormat="1" ht="14.25" customHeight="1" x14ac:dyDescent="0.25"/>
    <row r="467" s="2" customFormat="1" ht="14.25" customHeight="1" x14ac:dyDescent="0.25"/>
    <row r="468" s="2" customFormat="1" ht="14.25" customHeight="1" x14ac:dyDescent="0.25"/>
    <row r="469" s="2" customFormat="1" ht="14.25" customHeight="1" x14ac:dyDescent="0.25"/>
    <row r="470" s="2" customFormat="1" ht="14.25" customHeight="1" x14ac:dyDescent="0.25"/>
    <row r="471" s="2" customFormat="1" ht="14.25" customHeight="1" x14ac:dyDescent="0.25"/>
    <row r="472" s="2" customFormat="1" ht="14.25" customHeight="1" x14ac:dyDescent="0.25"/>
    <row r="473" s="2" customFormat="1" ht="14.25" customHeight="1" x14ac:dyDescent="0.25"/>
    <row r="474" s="2" customFormat="1" ht="14.25" customHeight="1" x14ac:dyDescent="0.25"/>
    <row r="475" s="2" customFormat="1" ht="14.25" customHeight="1" x14ac:dyDescent="0.25"/>
    <row r="476" s="2" customFormat="1" ht="14.25" customHeight="1" x14ac:dyDescent="0.25"/>
    <row r="477" s="2" customFormat="1" ht="14.25" customHeight="1" x14ac:dyDescent="0.25"/>
    <row r="478" s="2" customFormat="1" ht="14.25" customHeight="1" x14ac:dyDescent="0.25"/>
    <row r="479" s="2" customFormat="1" ht="14.25" customHeight="1" x14ac:dyDescent="0.25"/>
    <row r="480" s="2" customFormat="1" ht="14.25" customHeight="1" x14ac:dyDescent="0.25"/>
    <row r="481" s="2" customFormat="1" ht="14.25" customHeight="1" x14ac:dyDescent="0.25"/>
    <row r="482" s="2" customFormat="1" ht="14.25" customHeight="1" x14ac:dyDescent="0.25"/>
    <row r="483" s="2" customFormat="1" ht="14.25" customHeight="1" x14ac:dyDescent="0.25"/>
    <row r="484" s="2" customFormat="1" ht="14.25" customHeight="1" x14ac:dyDescent="0.25"/>
    <row r="485" s="2" customFormat="1" ht="14.25" customHeight="1" x14ac:dyDescent="0.25"/>
    <row r="486" s="2" customFormat="1" ht="14.25" customHeight="1" x14ac:dyDescent="0.25"/>
    <row r="487" s="2" customFormat="1" ht="14.25" customHeight="1" x14ac:dyDescent="0.25"/>
    <row r="488" s="2" customFormat="1" ht="14.25" customHeight="1" x14ac:dyDescent="0.25"/>
    <row r="489" s="2" customFormat="1" ht="14.25" customHeight="1" x14ac:dyDescent="0.25"/>
    <row r="490" s="2" customFormat="1" ht="14.25" customHeight="1" x14ac:dyDescent="0.25"/>
    <row r="491" s="2" customFormat="1" ht="14.25" customHeight="1" x14ac:dyDescent="0.25"/>
    <row r="492" s="2" customFormat="1" ht="14.25" customHeight="1" x14ac:dyDescent="0.25"/>
    <row r="493" s="2" customFormat="1" ht="14.25" customHeight="1" x14ac:dyDescent="0.25"/>
    <row r="494" s="2" customFormat="1" ht="14.25" customHeight="1" x14ac:dyDescent="0.25"/>
    <row r="495" s="2" customFormat="1" ht="14.25" customHeight="1" x14ac:dyDescent="0.25"/>
    <row r="496" s="2" customFormat="1" ht="14.25" customHeight="1" x14ac:dyDescent="0.25"/>
    <row r="497" s="2" customFormat="1" ht="14.25" customHeight="1" x14ac:dyDescent="0.25"/>
    <row r="498" s="2" customFormat="1" ht="14.25" customHeight="1" x14ac:dyDescent="0.25"/>
    <row r="499" s="2" customFormat="1" ht="14.25" customHeight="1" x14ac:dyDescent="0.25"/>
    <row r="500" s="2" customFormat="1" ht="14.25" customHeight="1" x14ac:dyDescent="0.25"/>
    <row r="501" s="2" customFormat="1" ht="14.25" customHeight="1" x14ac:dyDescent="0.25"/>
    <row r="502" s="2" customFormat="1" ht="14.25" customHeight="1" x14ac:dyDescent="0.25"/>
    <row r="503" s="2" customFormat="1" ht="14.25" customHeight="1" x14ac:dyDescent="0.25"/>
    <row r="504" s="2" customFormat="1" ht="14.25" customHeight="1" x14ac:dyDescent="0.25"/>
    <row r="505" s="2" customFormat="1" ht="14.25" customHeight="1" x14ac:dyDescent="0.25"/>
    <row r="506" s="2" customFormat="1" ht="14.25" customHeight="1" x14ac:dyDescent="0.25"/>
    <row r="507" s="2" customFormat="1" ht="14.25" customHeight="1" x14ac:dyDescent="0.25"/>
    <row r="508" s="2" customFormat="1" ht="14.25" customHeight="1" x14ac:dyDescent="0.25"/>
    <row r="509" s="2" customFormat="1" ht="14.25" customHeight="1" x14ac:dyDescent="0.25"/>
    <row r="510" s="2" customFormat="1" ht="14.25" customHeight="1" x14ac:dyDescent="0.25"/>
    <row r="511" s="2" customFormat="1" ht="14.25" customHeight="1" x14ac:dyDescent="0.25"/>
    <row r="512" s="2" customFormat="1" ht="14.25" customHeight="1" x14ac:dyDescent="0.25"/>
    <row r="513" s="2" customFormat="1" ht="14.25" customHeight="1" x14ac:dyDescent="0.25"/>
    <row r="514" s="2" customFormat="1" ht="14.25" customHeight="1" x14ac:dyDescent="0.25"/>
    <row r="515" s="2" customFormat="1" ht="14.25" customHeight="1" x14ac:dyDescent="0.25"/>
    <row r="516" s="2" customFormat="1" ht="14.25" customHeight="1" x14ac:dyDescent="0.25"/>
    <row r="517" s="2" customFormat="1" ht="14.25" customHeight="1" x14ac:dyDescent="0.25"/>
    <row r="518" s="2" customFormat="1" ht="14.25" customHeight="1" x14ac:dyDescent="0.25"/>
    <row r="519" s="2" customFormat="1" ht="14.25" customHeight="1" x14ac:dyDescent="0.25"/>
    <row r="520" s="2" customFormat="1" ht="14.25" customHeight="1" x14ac:dyDescent="0.25"/>
    <row r="521" s="2" customFormat="1" ht="14.25" customHeight="1" x14ac:dyDescent="0.25"/>
    <row r="522" s="2" customFormat="1" ht="14.25" customHeight="1" x14ac:dyDescent="0.25"/>
    <row r="523" s="2" customFormat="1" ht="14.25" customHeight="1" x14ac:dyDescent="0.25"/>
    <row r="524" s="2" customFormat="1" ht="14.25" customHeight="1" x14ac:dyDescent="0.25"/>
    <row r="525" s="2" customFormat="1" ht="14.25" customHeight="1" x14ac:dyDescent="0.25"/>
    <row r="526" s="2" customFormat="1" ht="14.25" customHeight="1" x14ac:dyDescent="0.25"/>
    <row r="527" s="2" customFormat="1" ht="14.25" customHeight="1" x14ac:dyDescent="0.25"/>
    <row r="528" s="2" customFormat="1" ht="14.25" customHeight="1" x14ac:dyDescent="0.25"/>
    <row r="529" s="2" customFormat="1" ht="14.25" customHeight="1" x14ac:dyDescent="0.25"/>
    <row r="530" s="2" customFormat="1" ht="14.25" customHeight="1" x14ac:dyDescent="0.25"/>
    <row r="531" s="2" customFormat="1" ht="14.25" customHeight="1" x14ac:dyDescent="0.25"/>
    <row r="532" s="2" customFormat="1" ht="14.25" customHeight="1" x14ac:dyDescent="0.25"/>
    <row r="533" s="2" customFormat="1" ht="14.25" customHeight="1" x14ac:dyDescent="0.25"/>
    <row r="534" s="2" customFormat="1" ht="14.25" customHeight="1" x14ac:dyDescent="0.25"/>
    <row r="535" s="2" customFormat="1" ht="14.25" customHeight="1" x14ac:dyDescent="0.25"/>
    <row r="536" s="2" customFormat="1" ht="14.25" customHeight="1" x14ac:dyDescent="0.25"/>
    <row r="537" s="2" customFormat="1" ht="14.25" customHeight="1" x14ac:dyDescent="0.25"/>
    <row r="538" s="2" customFormat="1" ht="14.25" customHeight="1" x14ac:dyDescent="0.25"/>
    <row r="539" s="2" customFormat="1" ht="14.25" customHeight="1" x14ac:dyDescent="0.25"/>
    <row r="540" s="2" customFormat="1" ht="14.25" customHeight="1" x14ac:dyDescent="0.25"/>
    <row r="541" s="2" customFormat="1" ht="14.25" customHeight="1" x14ac:dyDescent="0.25"/>
    <row r="542" s="2" customFormat="1" ht="14.25" customHeight="1" x14ac:dyDescent="0.25"/>
    <row r="543" s="2" customFormat="1" ht="14.25" customHeight="1" x14ac:dyDescent="0.25"/>
    <row r="544" s="2" customFormat="1" ht="14.25" customHeight="1" x14ac:dyDescent="0.25"/>
    <row r="545" s="2" customFormat="1" ht="14.25" customHeight="1" x14ac:dyDescent="0.25"/>
    <row r="546" s="2" customFormat="1" ht="14.25" customHeight="1" x14ac:dyDescent="0.25"/>
    <row r="547" s="2" customFormat="1" ht="14.25" customHeight="1" x14ac:dyDescent="0.25"/>
    <row r="548" s="2" customFormat="1" ht="14.25" customHeight="1" x14ac:dyDescent="0.25"/>
    <row r="549" s="2" customFormat="1" ht="14.25" customHeight="1" x14ac:dyDescent="0.25"/>
    <row r="550" s="2" customFormat="1" ht="14.25" customHeight="1" x14ac:dyDescent="0.25"/>
    <row r="551" s="2" customFormat="1" ht="14.25" customHeight="1" x14ac:dyDescent="0.25"/>
    <row r="552" s="2" customFormat="1" ht="14.25" customHeight="1" x14ac:dyDescent="0.25"/>
    <row r="553" s="2" customFormat="1" ht="14.25" customHeight="1" x14ac:dyDescent="0.25"/>
    <row r="554" s="2" customFormat="1" ht="14.25" customHeight="1" x14ac:dyDescent="0.25"/>
    <row r="555" s="2" customFormat="1" ht="14.25" customHeight="1" x14ac:dyDescent="0.25"/>
    <row r="556" s="2" customFormat="1" ht="14.25" customHeight="1" x14ac:dyDescent="0.25"/>
    <row r="557" s="2" customFormat="1" ht="14.25" customHeight="1" x14ac:dyDescent="0.25"/>
    <row r="558" s="2" customFormat="1" ht="14.25" customHeight="1" x14ac:dyDescent="0.25"/>
    <row r="559" s="2" customFormat="1" ht="14.25" customHeight="1" x14ac:dyDescent="0.25"/>
    <row r="560" s="2" customFormat="1" ht="14.25" customHeight="1" x14ac:dyDescent="0.25"/>
    <row r="561" s="2" customFormat="1" ht="14.25" customHeight="1" x14ac:dyDescent="0.25"/>
    <row r="562" s="2" customFormat="1" ht="14.25" customHeight="1" x14ac:dyDescent="0.25"/>
    <row r="563" s="2" customFormat="1" ht="14.25" customHeight="1" x14ac:dyDescent="0.25"/>
    <row r="564" s="2" customFormat="1" ht="14.25" customHeight="1" x14ac:dyDescent="0.25"/>
    <row r="565" s="2" customFormat="1" ht="14.25" customHeight="1" x14ac:dyDescent="0.25"/>
    <row r="566" s="2" customFormat="1" ht="14.25" customHeight="1" x14ac:dyDescent="0.25"/>
    <row r="567" s="2" customFormat="1" ht="14.25" customHeight="1" x14ac:dyDescent="0.25"/>
    <row r="568" s="2" customFormat="1" ht="14.25" customHeight="1" x14ac:dyDescent="0.25"/>
    <row r="569" s="2" customFormat="1" ht="14.25" customHeight="1" x14ac:dyDescent="0.25"/>
    <row r="570" s="2" customFormat="1" ht="14.25" customHeight="1" x14ac:dyDescent="0.25"/>
    <row r="571" s="2" customFormat="1" ht="14.25" customHeight="1" x14ac:dyDescent="0.25"/>
    <row r="572" s="2" customFormat="1" ht="14.25" customHeight="1" x14ac:dyDescent="0.25"/>
    <row r="573" s="2" customFormat="1" ht="14.25" customHeight="1" x14ac:dyDescent="0.25"/>
    <row r="574" s="2" customFormat="1" ht="14.25" customHeight="1" x14ac:dyDescent="0.25"/>
    <row r="575" s="2" customFormat="1" ht="14.25" customHeight="1" x14ac:dyDescent="0.25"/>
    <row r="576" s="2" customFormat="1" ht="14.25" customHeight="1" x14ac:dyDescent="0.25"/>
    <row r="577" s="2" customFormat="1" ht="14.25" customHeight="1" x14ac:dyDescent="0.25"/>
    <row r="578" s="2" customFormat="1" ht="14.25" customHeight="1" x14ac:dyDescent="0.25"/>
    <row r="579" s="2" customFormat="1" ht="14.25" customHeight="1" x14ac:dyDescent="0.25"/>
    <row r="580" s="2" customFormat="1" ht="14.25" customHeight="1" x14ac:dyDescent="0.25"/>
    <row r="581" s="2" customFormat="1" ht="14.25" customHeight="1" x14ac:dyDescent="0.25"/>
    <row r="582" s="2" customFormat="1" ht="14.25" customHeight="1" x14ac:dyDescent="0.25"/>
    <row r="583" s="2" customFormat="1" ht="14.25" customHeight="1" x14ac:dyDescent="0.25"/>
    <row r="584" s="2" customFormat="1" ht="14.25" customHeight="1" x14ac:dyDescent="0.25"/>
    <row r="585" s="2" customFormat="1" ht="14.25" customHeight="1" x14ac:dyDescent="0.25"/>
    <row r="586" s="2" customFormat="1" ht="14.25" customHeight="1" x14ac:dyDescent="0.25"/>
    <row r="587" s="2" customFormat="1" ht="14.25" customHeight="1" x14ac:dyDescent="0.25"/>
    <row r="588" s="2" customFormat="1" ht="14.25" customHeight="1" x14ac:dyDescent="0.25"/>
    <row r="589" s="2" customFormat="1" ht="14.25" customHeight="1" x14ac:dyDescent="0.25"/>
    <row r="590" s="2" customFormat="1" ht="14.25" customHeight="1" x14ac:dyDescent="0.25"/>
    <row r="591" s="2" customFormat="1" ht="14.25" customHeight="1" x14ac:dyDescent="0.25"/>
    <row r="592" s="2" customFormat="1" ht="14.25" customHeight="1" x14ac:dyDescent="0.25"/>
    <row r="593" s="2" customFormat="1" ht="14.25" customHeight="1" x14ac:dyDescent="0.25"/>
    <row r="594" s="2" customFormat="1" ht="14.25" customHeight="1" x14ac:dyDescent="0.25"/>
    <row r="595" s="2" customFormat="1" ht="14.25" customHeight="1" x14ac:dyDescent="0.25"/>
    <row r="596" s="2" customFormat="1" ht="14.25" customHeight="1" x14ac:dyDescent="0.25"/>
    <row r="597" s="2" customFormat="1" ht="14.25" customHeight="1" x14ac:dyDescent="0.25"/>
    <row r="598" s="2" customFormat="1" ht="14.25" customHeight="1" x14ac:dyDescent="0.25"/>
    <row r="599" s="2" customFormat="1" ht="14.25" customHeight="1" x14ac:dyDescent="0.25"/>
    <row r="600" s="2" customFormat="1" ht="14.25" customHeight="1" x14ac:dyDescent="0.25"/>
    <row r="601" s="2" customFormat="1" ht="14.25" customHeight="1" x14ac:dyDescent="0.25"/>
    <row r="602" s="2" customFormat="1" ht="14.25" customHeight="1" x14ac:dyDescent="0.25"/>
    <row r="603" s="2" customFormat="1" ht="14.25" customHeight="1" x14ac:dyDescent="0.25"/>
    <row r="604" s="2" customFormat="1" ht="14.25" customHeight="1" x14ac:dyDescent="0.25"/>
    <row r="605" s="2" customFormat="1" ht="14.25" customHeight="1" x14ac:dyDescent="0.25"/>
    <row r="606" s="2" customFormat="1" ht="14.25" customHeight="1" x14ac:dyDescent="0.25"/>
    <row r="607" s="2" customFormat="1" ht="14.25" customHeight="1" x14ac:dyDescent="0.25"/>
    <row r="608" s="2" customFormat="1" ht="14.25" customHeight="1" x14ac:dyDescent="0.25"/>
    <row r="609" s="2" customFormat="1" ht="14.25" customHeight="1" x14ac:dyDescent="0.25"/>
    <row r="610" s="2" customFormat="1" ht="14.25" customHeight="1" x14ac:dyDescent="0.25"/>
    <row r="611" s="2" customFormat="1" ht="14.25" customHeight="1" x14ac:dyDescent="0.25"/>
    <row r="612" s="2" customFormat="1" ht="14.25" customHeight="1" x14ac:dyDescent="0.25"/>
    <row r="613" s="2" customFormat="1" ht="14.25" customHeight="1" x14ac:dyDescent="0.25"/>
    <row r="614" s="2" customFormat="1" ht="14.25" customHeight="1" x14ac:dyDescent="0.25"/>
    <row r="615" s="2" customFormat="1" ht="14.25" customHeight="1" x14ac:dyDescent="0.25"/>
    <row r="616" s="2" customFormat="1" ht="14.25" customHeight="1" x14ac:dyDescent="0.25"/>
    <row r="617" s="2" customFormat="1" ht="14.25" customHeight="1" x14ac:dyDescent="0.25"/>
    <row r="618" s="2" customFormat="1" ht="14.25" customHeight="1" x14ac:dyDescent="0.25"/>
    <row r="619" s="2" customFormat="1" ht="14.25" customHeight="1" x14ac:dyDescent="0.25"/>
    <row r="620" s="2" customFormat="1" ht="14.25" customHeight="1" x14ac:dyDescent="0.25"/>
    <row r="621" s="2" customFormat="1" ht="14.25" customHeight="1" x14ac:dyDescent="0.25"/>
    <row r="622" s="2" customFormat="1" ht="14.25" customHeight="1" x14ac:dyDescent="0.25"/>
    <row r="623" s="2" customFormat="1" ht="14.25" customHeight="1" x14ac:dyDescent="0.25"/>
    <row r="624" s="2" customFormat="1" ht="14.25" customHeight="1" x14ac:dyDescent="0.25"/>
    <row r="625" s="2" customFormat="1" ht="14.25" customHeight="1" x14ac:dyDescent="0.25"/>
    <row r="626" s="2" customFormat="1" ht="14.25" customHeight="1" x14ac:dyDescent="0.25"/>
    <row r="627" s="2" customFormat="1" ht="14.25" customHeight="1" x14ac:dyDescent="0.25"/>
    <row r="628" s="2" customFormat="1" ht="14.25" customHeight="1" x14ac:dyDescent="0.25"/>
    <row r="629" s="2" customFormat="1" ht="14.25" customHeight="1" x14ac:dyDescent="0.25"/>
    <row r="630" s="2" customFormat="1" ht="14.25" customHeight="1" x14ac:dyDescent="0.25"/>
    <row r="631" s="2" customFormat="1" ht="14.25" customHeight="1" x14ac:dyDescent="0.25"/>
    <row r="632" s="2" customFormat="1" ht="14.25" customHeight="1" x14ac:dyDescent="0.25"/>
    <row r="633" s="2" customFormat="1" ht="14.25" customHeight="1" x14ac:dyDescent="0.25"/>
    <row r="634" s="2" customFormat="1" ht="14.25" customHeight="1" x14ac:dyDescent="0.25"/>
    <row r="635" s="2" customFormat="1" ht="14.25" customHeight="1" x14ac:dyDescent="0.25"/>
    <row r="636" s="2" customFormat="1" ht="14.25" customHeight="1" x14ac:dyDescent="0.25"/>
    <row r="637" s="2" customFormat="1" ht="14.25" customHeight="1" x14ac:dyDescent="0.25"/>
    <row r="638" s="2" customFormat="1" ht="14.25" customHeight="1" x14ac:dyDescent="0.25"/>
    <row r="639" s="2" customFormat="1" ht="14.25" customHeight="1" x14ac:dyDescent="0.25"/>
    <row r="640" s="2" customFormat="1" ht="14.25" customHeight="1" x14ac:dyDescent="0.25"/>
    <row r="641" s="2" customFormat="1" ht="14.25" customHeight="1" x14ac:dyDescent="0.25"/>
    <row r="642" s="2" customFormat="1" ht="14.25" customHeight="1" x14ac:dyDescent="0.25"/>
    <row r="643" s="2" customFormat="1" ht="14.25" customHeight="1" x14ac:dyDescent="0.25"/>
    <row r="644" s="2" customFormat="1" ht="14.25" customHeight="1" x14ac:dyDescent="0.25"/>
    <row r="645" s="2" customFormat="1" ht="14.25" customHeight="1" x14ac:dyDescent="0.25"/>
    <row r="646" s="2" customFormat="1" ht="14.25" customHeight="1" x14ac:dyDescent="0.25"/>
    <row r="647" s="2" customFormat="1" ht="14.25" customHeight="1" x14ac:dyDescent="0.25"/>
    <row r="648" s="2" customFormat="1" ht="14.25" customHeight="1" x14ac:dyDescent="0.25"/>
    <row r="649" s="2" customFormat="1" ht="14.25" customHeight="1" x14ac:dyDescent="0.25"/>
    <row r="650" s="2" customFormat="1" ht="14.25" customHeight="1" x14ac:dyDescent="0.25"/>
    <row r="651" s="2" customFormat="1" ht="14.25" customHeight="1" x14ac:dyDescent="0.25"/>
    <row r="652" s="2" customFormat="1" ht="14.25" customHeight="1" x14ac:dyDescent="0.25"/>
    <row r="653" s="2" customFormat="1" ht="14.25" customHeight="1" x14ac:dyDescent="0.25"/>
    <row r="654" s="2" customFormat="1" ht="14.25" customHeight="1" x14ac:dyDescent="0.25"/>
    <row r="655" s="2" customFormat="1" ht="14.25" customHeight="1" x14ac:dyDescent="0.25"/>
    <row r="656" s="2" customFormat="1" ht="14.25" customHeight="1" x14ac:dyDescent="0.25"/>
    <row r="657" s="2" customFormat="1" ht="14.25" customHeight="1" x14ac:dyDescent="0.25"/>
    <row r="658" s="2" customFormat="1" ht="14.25" customHeight="1" x14ac:dyDescent="0.25"/>
    <row r="659" s="2" customFormat="1" ht="14.25" customHeight="1" x14ac:dyDescent="0.25"/>
    <row r="660" s="2" customFormat="1" ht="14.25" customHeight="1" x14ac:dyDescent="0.25"/>
    <row r="661" s="2" customFormat="1" ht="14.25" customHeight="1" x14ac:dyDescent="0.25"/>
    <row r="662" s="2" customFormat="1" ht="14.25" customHeight="1" x14ac:dyDescent="0.25"/>
    <row r="663" s="2" customFormat="1" ht="14.25" customHeight="1" x14ac:dyDescent="0.25"/>
    <row r="664" s="2" customFormat="1" ht="14.25" customHeight="1" x14ac:dyDescent="0.25"/>
    <row r="665" s="2" customFormat="1" ht="14.25" customHeight="1" x14ac:dyDescent="0.25"/>
    <row r="666" s="2" customFormat="1" ht="14.25" customHeight="1" x14ac:dyDescent="0.25"/>
    <row r="667" s="2" customFormat="1" ht="14.25" customHeight="1" x14ac:dyDescent="0.25"/>
    <row r="668" s="2" customFormat="1" ht="14.25" customHeight="1" x14ac:dyDescent="0.25"/>
    <row r="669" s="2" customFormat="1" ht="14.25" customHeight="1" x14ac:dyDescent="0.25"/>
    <row r="670" s="2" customFormat="1" ht="14.25" customHeight="1" x14ac:dyDescent="0.25"/>
    <row r="671" s="2" customFormat="1" ht="14.25" customHeight="1" x14ac:dyDescent="0.25"/>
    <row r="672" s="2" customFormat="1" ht="14.25" customHeight="1" x14ac:dyDescent="0.25"/>
    <row r="673" s="2" customFormat="1" ht="14.25" customHeight="1" x14ac:dyDescent="0.25"/>
    <row r="674" s="2" customFormat="1" ht="14.25" customHeight="1" x14ac:dyDescent="0.25"/>
    <row r="675" s="2" customFormat="1" ht="14.25" customHeight="1" x14ac:dyDescent="0.25"/>
    <row r="676" s="2" customFormat="1" ht="14.25" customHeight="1" x14ac:dyDescent="0.25"/>
    <row r="677" s="2" customFormat="1" ht="14.25" customHeight="1" x14ac:dyDescent="0.25"/>
    <row r="678" s="2" customFormat="1" ht="14.25" customHeight="1" x14ac:dyDescent="0.25"/>
    <row r="679" s="2" customFormat="1" ht="14.25" customHeight="1" x14ac:dyDescent="0.25"/>
    <row r="680" s="2" customFormat="1" ht="14.25" customHeight="1" x14ac:dyDescent="0.25"/>
    <row r="681" s="2" customFormat="1" ht="14.25" customHeight="1" x14ac:dyDescent="0.25"/>
    <row r="682" s="2" customFormat="1" ht="14.25" customHeight="1" x14ac:dyDescent="0.25"/>
    <row r="683" s="2" customFormat="1" ht="14.25" customHeight="1" x14ac:dyDescent="0.25"/>
    <row r="684" s="2" customFormat="1" ht="14.25" customHeight="1" x14ac:dyDescent="0.25"/>
    <row r="685" s="2" customFormat="1" ht="14.25" customHeight="1" x14ac:dyDescent="0.25"/>
    <row r="686" s="2" customFormat="1" ht="14.25" customHeight="1" x14ac:dyDescent="0.25"/>
    <row r="687" s="2" customFormat="1" ht="14.25" customHeight="1" x14ac:dyDescent="0.25"/>
    <row r="688" s="2" customFormat="1" ht="14.25" customHeight="1" x14ac:dyDescent="0.25"/>
    <row r="689" s="2" customFormat="1" ht="14.25" customHeight="1" x14ac:dyDescent="0.25"/>
    <row r="690" s="2" customFormat="1" ht="14.25" customHeight="1" x14ac:dyDescent="0.25"/>
    <row r="691" s="2" customFormat="1" ht="14.25" customHeight="1" x14ac:dyDescent="0.25"/>
    <row r="692" s="2" customFormat="1" ht="14.25" customHeight="1" x14ac:dyDescent="0.25"/>
    <row r="693" s="2" customFormat="1" ht="14.25" customHeight="1" x14ac:dyDescent="0.25"/>
    <row r="694" s="2" customFormat="1" ht="14.25" customHeight="1" x14ac:dyDescent="0.25"/>
    <row r="695" s="2" customFormat="1" ht="14.25" customHeight="1" x14ac:dyDescent="0.25"/>
    <row r="696" s="2" customFormat="1" ht="14.25" customHeight="1" x14ac:dyDescent="0.25"/>
    <row r="697" s="2" customFormat="1" ht="14.25" customHeight="1" x14ac:dyDescent="0.25"/>
    <row r="698" s="2" customFormat="1" ht="14.25" customHeight="1" x14ac:dyDescent="0.25"/>
    <row r="699" s="2" customFormat="1" ht="14.25" customHeight="1" x14ac:dyDescent="0.25"/>
    <row r="700" s="2" customFormat="1" ht="14.25" customHeight="1" x14ac:dyDescent="0.25"/>
    <row r="701" s="2" customFormat="1" ht="14.25" customHeight="1" x14ac:dyDescent="0.25"/>
    <row r="702" s="2" customFormat="1" ht="14.25" customHeight="1" x14ac:dyDescent="0.25"/>
    <row r="703" s="2" customFormat="1" ht="14.25" customHeight="1" x14ac:dyDescent="0.25"/>
    <row r="704" s="2" customFormat="1" ht="14.25" customHeight="1" x14ac:dyDescent="0.25"/>
    <row r="705" s="2" customFormat="1" ht="14.25" customHeight="1" x14ac:dyDescent="0.25"/>
    <row r="706" s="2" customFormat="1" ht="14.25" customHeight="1" x14ac:dyDescent="0.25"/>
    <row r="707" s="2" customFormat="1" ht="14.25" customHeight="1" x14ac:dyDescent="0.25"/>
    <row r="708" s="2" customFormat="1" ht="14.25" customHeight="1" x14ac:dyDescent="0.25"/>
    <row r="709" s="2" customFormat="1" ht="14.25" customHeight="1" x14ac:dyDescent="0.25"/>
    <row r="710" s="2" customFormat="1" ht="14.25" customHeight="1" x14ac:dyDescent="0.25"/>
    <row r="711" s="2" customFormat="1" ht="14.25" customHeight="1" x14ac:dyDescent="0.25"/>
    <row r="712" s="2" customFormat="1" ht="14.25" customHeight="1" x14ac:dyDescent="0.25"/>
    <row r="713" s="2" customFormat="1" ht="14.25" customHeight="1" x14ac:dyDescent="0.25"/>
    <row r="714" s="2" customFormat="1" ht="14.25" customHeight="1" x14ac:dyDescent="0.25"/>
    <row r="715" s="2" customFormat="1" ht="14.25" customHeight="1" x14ac:dyDescent="0.25"/>
    <row r="716" s="2" customFormat="1" ht="14.25" customHeight="1" x14ac:dyDescent="0.25"/>
    <row r="717" s="2" customFormat="1" ht="14.25" customHeight="1" x14ac:dyDescent="0.25"/>
    <row r="718" s="2" customFormat="1" ht="14.25" customHeight="1" x14ac:dyDescent="0.25"/>
    <row r="719" s="2" customFormat="1" ht="14.25" customHeight="1" x14ac:dyDescent="0.25"/>
    <row r="720" s="2" customFormat="1" ht="14.25" customHeight="1" x14ac:dyDescent="0.25"/>
    <row r="721" s="2" customFormat="1" ht="14.25" customHeight="1" x14ac:dyDescent="0.25"/>
    <row r="722" s="2" customFormat="1" ht="14.25" customHeight="1" x14ac:dyDescent="0.25"/>
    <row r="723" s="2" customFormat="1" ht="14.25" customHeight="1" x14ac:dyDescent="0.25"/>
    <row r="724" s="2" customFormat="1" ht="14.25" customHeight="1" x14ac:dyDescent="0.25"/>
    <row r="725" s="2" customFormat="1" ht="14.25" customHeight="1" x14ac:dyDescent="0.25"/>
    <row r="726" s="2" customFormat="1" ht="14.25" customHeight="1" x14ac:dyDescent="0.25"/>
    <row r="727" s="2" customFormat="1" ht="14.25" customHeight="1" x14ac:dyDescent="0.25"/>
    <row r="728" s="2" customFormat="1" ht="14.25" customHeight="1" x14ac:dyDescent="0.25"/>
    <row r="729" s="2" customFormat="1" ht="14.25" customHeight="1" x14ac:dyDescent="0.25"/>
    <row r="730" s="2" customFormat="1" ht="14.25" customHeight="1" x14ac:dyDescent="0.25"/>
    <row r="731" s="2" customFormat="1" ht="14.25" customHeight="1" x14ac:dyDescent="0.25"/>
    <row r="732" s="2" customFormat="1" ht="14.25" customHeight="1" x14ac:dyDescent="0.25"/>
    <row r="733" s="2" customFormat="1" ht="14.25" customHeight="1" x14ac:dyDescent="0.25"/>
    <row r="734" s="2" customFormat="1" ht="14.25" customHeight="1" x14ac:dyDescent="0.25"/>
    <row r="735" s="2" customFormat="1" ht="14.25" customHeight="1" x14ac:dyDescent="0.25"/>
    <row r="736" s="2" customFormat="1" ht="14.25" customHeight="1" x14ac:dyDescent="0.25"/>
    <row r="737" s="2" customFormat="1" ht="14.25" customHeight="1" x14ac:dyDescent="0.25"/>
    <row r="738" s="2" customFormat="1" ht="14.25" customHeight="1" x14ac:dyDescent="0.25"/>
    <row r="739" s="2" customFormat="1" ht="14.25" customHeight="1" x14ac:dyDescent="0.25"/>
    <row r="740" s="2" customFormat="1" ht="14.25" customHeight="1" x14ac:dyDescent="0.25"/>
    <row r="741" s="2" customFormat="1" ht="14.25" customHeight="1" x14ac:dyDescent="0.25"/>
    <row r="742" s="2" customFormat="1" ht="14.25" customHeight="1" x14ac:dyDescent="0.25"/>
    <row r="743" s="2" customFormat="1" ht="14.25" customHeight="1" x14ac:dyDescent="0.25"/>
    <row r="744" s="2" customFormat="1" ht="14.25" customHeight="1" x14ac:dyDescent="0.25"/>
    <row r="745" s="2" customFormat="1" ht="14.25" customHeight="1" x14ac:dyDescent="0.25"/>
    <row r="746" s="2" customFormat="1" ht="14.25" customHeight="1" x14ac:dyDescent="0.25"/>
    <row r="747" s="2" customFormat="1" ht="14.25" customHeight="1" x14ac:dyDescent="0.25"/>
    <row r="748" s="2" customFormat="1" ht="14.25" customHeight="1" x14ac:dyDescent="0.25"/>
    <row r="749" s="2" customFormat="1" ht="14.25" customHeight="1" x14ac:dyDescent="0.25"/>
    <row r="750" s="2" customFormat="1" ht="14.25" customHeight="1" x14ac:dyDescent="0.25"/>
    <row r="751" s="2" customFormat="1" ht="14.25" customHeight="1" x14ac:dyDescent="0.25"/>
    <row r="752" s="2" customFormat="1" ht="14.25" customHeight="1" x14ac:dyDescent="0.25"/>
    <row r="753" s="2" customFormat="1" ht="14.25" customHeight="1" x14ac:dyDescent="0.25"/>
    <row r="754" s="2" customFormat="1" ht="14.25" customHeight="1" x14ac:dyDescent="0.25"/>
    <row r="755" s="2" customFormat="1" ht="14.25" customHeight="1" x14ac:dyDescent="0.25"/>
    <row r="756" s="2" customFormat="1" ht="14.25" customHeight="1" x14ac:dyDescent="0.25"/>
    <row r="757" s="2" customFormat="1" ht="14.25" customHeight="1" x14ac:dyDescent="0.25"/>
    <row r="758" s="2" customFormat="1" ht="14.25" customHeight="1" x14ac:dyDescent="0.25"/>
    <row r="759" s="2" customFormat="1" ht="14.25" customHeight="1" x14ac:dyDescent="0.25"/>
    <row r="760" s="2" customFormat="1" ht="14.25" customHeight="1" x14ac:dyDescent="0.25"/>
    <row r="761" s="2" customFormat="1" ht="14.25" customHeight="1" x14ac:dyDescent="0.25"/>
    <row r="762" s="2" customFormat="1" ht="14.25" customHeight="1" x14ac:dyDescent="0.25"/>
    <row r="763" s="2" customFormat="1" ht="14.25" customHeight="1" x14ac:dyDescent="0.25"/>
    <row r="764" s="2" customFormat="1" ht="14.25" customHeight="1" x14ac:dyDescent="0.25"/>
    <row r="765" s="2" customFormat="1" ht="14.25" customHeight="1" x14ac:dyDescent="0.25"/>
    <row r="766" s="2" customFormat="1" ht="14.25" customHeight="1" x14ac:dyDescent="0.25"/>
    <row r="767" s="2" customFormat="1" ht="14.25" customHeight="1" x14ac:dyDescent="0.25"/>
    <row r="768" s="2" customFormat="1" ht="14.25" customHeight="1" x14ac:dyDescent="0.25"/>
    <row r="769" s="2" customFormat="1" ht="14.25" customHeight="1" x14ac:dyDescent="0.25"/>
    <row r="770" s="2" customFormat="1" ht="14.25" customHeight="1" x14ac:dyDescent="0.25"/>
    <row r="771" s="2" customFormat="1" ht="14.25" customHeight="1" x14ac:dyDescent="0.25"/>
    <row r="772" s="2" customFormat="1" ht="14.25" customHeight="1" x14ac:dyDescent="0.25"/>
    <row r="773" s="2" customFormat="1" ht="14.25" customHeight="1" x14ac:dyDescent="0.25"/>
    <row r="774" s="2" customFormat="1" ht="14.25" customHeight="1" x14ac:dyDescent="0.25"/>
    <row r="775" s="2" customFormat="1" ht="14.25" customHeight="1" x14ac:dyDescent="0.25"/>
    <row r="776" s="2" customFormat="1" ht="14.25" customHeight="1" x14ac:dyDescent="0.25"/>
    <row r="777" s="2" customFormat="1" ht="14.25" customHeight="1" x14ac:dyDescent="0.25"/>
    <row r="778" s="2" customFormat="1" ht="14.25" customHeight="1" x14ac:dyDescent="0.25"/>
    <row r="779" s="2" customFormat="1" ht="14.25" customHeight="1" x14ac:dyDescent="0.25"/>
    <row r="780" s="2" customFormat="1" ht="14.25" customHeight="1" x14ac:dyDescent="0.25"/>
    <row r="781" s="2" customFormat="1" ht="14.25" customHeight="1" x14ac:dyDescent="0.25"/>
    <row r="782" s="2" customFormat="1" ht="14.25" customHeight="1" x14ac:dyDescent="0.25"/>
    <row r="783" s="2" customFormat="1" ht="14.25" customHeight="1" x14ac:dyDescent="0.25"/>
    <row r="784" s="2" customFormat="1" ht="14.25" customHeight="1" x14ac:dyDescent="0.25"/>
    <row r="785" s="2" customFormat="1" ht="14.25" customHeight="1" x14ac:dyDescent="0.25"/>
    <row r="786" s="2" customFormat="1" ht="14.25" customHeight="1" x14ac:dyDescent="0.25"/>
    <row r="787" s="2" customFormat="1" ht="14.25" customHeight="1" x14ac:dyDescent="0.25"/>
    <row r="788" s="2" customFormat="1" ht="14.25" customHeight="1" x14ac:dyDescent="0.25"/>
    <row r="789" s="2" customFormat="1" ht="14.25" customHeight="1" x14ac:dyDescent="0.25"/>
    <row r="790" s="2" customFormat="1" ht="14.25" customHeight="1" x14ac:dyDescent="0.25"/>
    <row r="791" s="2" customFormat="1" ht="14.25" customHeight="1" x14ac:dyDescent="0.25"/>
    <row r="792" s="2" customFormat="1" ht="14.25" customHeight="1" x14ac:dyDescent="0.25"/>
    <row r="793" s="2" customFormat="1" ht="14.25" customHeight="1" x14ac:dyDescent="0.25"/>
    <row r="794" s="2" customFormat="1" ht="14.25" customHeight="1" x14ac:dyDescent="0.25"/>
    <row r="795" s="2" customFormat="1" ht="14.25" customHeight="1" x14ac:dyDescent="0.25"/>
    <row r="796" s="2" customFormat="1" ht="14.25" customHeight="1" x14ac:dyDescent="0.25"/>
    <row r="797" s="2" customFormat="1" ht="14.25" customHeight="1" x14ac:dyDescent="0.25"/>
    <row r="798" s="2" customFormat="1" ht="14.25" customHeight="1" x14ac:dyDescent="0.25"/>
    <row r="799" s="2" customFormat="1" ht="14.25" customHeight="1" x14ac:dyDescent="0.25"/>
    <row r="800" s="2" customFormat="1" ht="14.25" customHeight="1" x14ac:dyDescent="0.25"/>
    <row r="801" s="2" customFormat="1" ht="14.25" customHeight="1" x14ac:dyDescent="0.25"/>
    <row r="802" s="2" customFormat="1" ht="14.25" customHeight="1" x14ac:dyDescent="0.25"/>
    <row r="803" s="2" customFormat="1" ht="14.25" customHeight="1" x14ac:dyDescent="0.25"/>
    <row r="804" s="2" customFormat="1" ht="14.25" customHeight="1" x14ac:dyDescent="0.25"/>
    <row r="805" s="2" customFormat="1" ht="14.25" customHeight="1" x14ac:dyDescent="0.25"/>
    <row r="806" s="2" customFormat="1" ht="14.25" customHeight="1" x14ac:dyDescent="0.25"/>
    <row r="807" s="2" customFormat="1" ht="14.25" customHeight="1" x14ac:dyDescent="0.25"/>
    <row r="808" s="2" customFormat="1" ht="14.25" customHeight="1" x14ac:dyDescent="0.25"/>
    <row r="809" s="2" customFormat="1" ht="14.25" customHeight="1" x14ac:dyDescent="0.25"/>
    <row r="810" s="2" customFormat="1" ht="14.25" customHeight="1" x14ac:dyDescent="0.25"/>
    <row r="811" s="2" customFormat="1" ht="14.25" customHeight="1" x14ac:dyDescent="0.25"/>
    <row r="812" s="2" customFormat="1" ht="14.25" customHeight="1" x14ac:dyDescent="0.25"/>
    <row r="813" s="2" customFormat="1" ht="14.25" customHeight="1" x14ac:dyDescent="0.25"/>
    <row r="814" s="2" customFormat="1" ht="14.25" customHeight="1" x14ac:dyDescent="0.25"/>
    <row r="815" s="2" customFormat="1" ht="14.25" customHeight="1" x14ac:dyDescent="0.25"/>
    <row r="816" s="2" customFormat="1" ht="14.25" customHeight="1" x14ac:dyDescent="0.25"/>
    <row r="817" s="2" customFormat="1" ht="14.25" customHeight="1" x14ac:dyDescent="0.25"/>
    <row r="818" s="2" customFormat="1" ht="14.25" customHeight="1" x14ac:dyDescent="0.25"/>
    <row r="819" s="2" customFormat="1" ht="14.25" customHeight="1" x14ac:dyDescent="0.25"/>
    <row r="820" s="2" customFormat="1" ht="14.25" customHeight="1" x14ac:dyDescent="0.25"/>
    <row r="821" s="2" customFormat="1" ht="14.25" customHeight="1" x14ac:dyDescent="0.25"/>
    <row r="822" s="2" customFormat="1" ht="14.25" customHeight="1" x14ac:dyDescent="0.25"/>
    <row r="823" s="2" customFormat="1" ht="14.25" customHeight="1" x14ac:dyDescent="0.25"/>
    <row r="824" s="2" customFormat="1" ht="14.25" customHeight="1" x14ac:dyDescent="0.25"/>
    <row r="825" s="2" customFormat="1" ht="14.25" customHeight="1" x14ac:dyDescent="0.25"/>
    <row r="826" s="2" customFormat="1" ht="14.25" customHeight="1" x14ac:dyDescent="0.25"/>
    <row r="827" s="2" customFormat="1" ht="14.25" customHeight="1" x14ac:dyDescent="0.25"/>
    <row r="828" s="2" customFormat="1" ht="14.25" customHeight="1" x14ac:dyDescent="0.25"/>
    <row r="829" s="2" customFormat="1" ht="14.25" customHeight="1" x14ac:dyDescent="0.25"/>
    <row r="830" s="2" customFormat="1" ht="14.25" customHeight="1" x14ac:dyDescent="0.25"/>
    <row r="831" s="2" customFormat="1" ht="14.25" customHeight="1" x14ac:dyDescent="0.25"/>
    <row r="832" s="2" customFormat="1" ht="14.25" customHeight="1" x14ac:dyDescent="0.25"/>
    <row r="833" s="2" customFormat="1" ht="14.25" customHeight="1" x14ac:dyDescent="0.25"/>
    <row r="834" s="2" customFormat="1" ht="14.25" customHeight="1" x14ac:dyDescent="0.25"/>
    <row r="835" s="2" customFormat="1" ht="14.25" customHeight="1" x14ac:dyDescent="0.25"/>
    <row r="836" s="2" customFormat="1" ht="14.25" customHeight="1" x14ac:dyDescent="0.25"/>
    <row r="837" s="2" customFormat="1" ht="14.25" customHeight="1" x14ac:dyDescent="0.25"/>
    <row r="838" s="2" customFormat="1" ht="14.25" customHeight="1" x14ac:dyDescent="0.25"/>
    <row r="839" s="2" customFormat="1" ht="14.25" customHeight="1" x14ac:dyDescent="0.25"/>
    <row r="840" s="2" customFormat="1" ht="14.25" customHeight="1" x14ac:dyDescent="0.25"/>
    <row r="841" s="2" customFormat="1" ht="14.25" customHeight="1" x14ac:dyDescent="0.25"/>
    <row r="842" s="2" customFormat="1" ht="14.25" customHeight="1" x14ac:dyDescent="0.25"/>
    <row r="843" s="2" customFormat="1" ht="14.25" customHeight="1" x14ac:dyDescent="0.25"/>
    <row r="844" s="2" customFormat="1" ht="14.25" customHeight="1" x14ac:dyDescent="0.25"/>
    <row r="845" s="2" customFormat="1" ht="14.25" customHeight="1" x14ac:dyDescent="0.25"/>
    <row r="846" s="2" customFormat="1" ht="14.25" customHeight="1" x14ac:dyDescent="0.25"/>
    <row r="847" s="2" customFormat="1" ht="14.25" customHeight="1" x14ac:dyDescent="0.25"/>
    <row r="848" s="2" customFormat="1" ht="14.25" customHeight="1" x14ac:dyDescent="0.25"/>
    <row r="849" s="2" customFormat="1" ht="14.25" customHeight="1" x14ac:dyDescent="0.25"/>
    <row r="850" s="2" customFormat="1" ht="14.25" customHeight="1" x14ac:dyDescent="0.25"/>
    <row r="851" s="2" customFormat="1" ht="14.25" customHeight="1" x14ac:dyDescent="0.25"/>
    <row r="852" s="2" customFormat="1" ht="14.25" customHeight="1" x14ac:dyDescent="0.25"/>
    <row r="853" s="2" customFormat="1" ht="14.25" customHeight="1" x14ac:dyDescent="0.25"/>
    <row r="854" s="2" customFormat="1" ht="14.25" customHeight="1" x14ac:dyDescent="0.25"/>
    <row r="855" s="2" customFormat="1" ht="14.25" customHeight="1" x14ac:dyDescent="0.25"/>
    <row r="856" s="2" customFormat="1" ht="14.25" customHeight="1" x14ac:dyDescent="0.25"/>
    <row r="857" s="2" customFormat="1" ht="14.25" customHeight="1" x14ac:dyDescent="0.25"/>
    <row r="858" s="2" customFormat="1" ht="14.25" customHeight="1" x14ac:dyDescent="0.25"/>
    <row r="859" s="2" customFormat="1" ht="14.25" customHeight="1" x14ac:dyDescent="0.25"/>
    <row r="860" s="2" customFormat="1" ht="14.25" customHeight="1" x14ac:dyDescent="0.25"/>
    <row r="861" s="2" customFormat="1" ht="14.25" customHeight="1" x14ac:dyDescent="0.25"/>
    <row r="862" s="2" customFormat="1" ht="14.25" customHeight="1" x14ac:dyDescent="0.25"/>
    <row r="863" s="2" customFormat="1" ht="14.25" customHeight="1" x14ac:dyDescent="0.25"/>
    <row r="864" s="2" customFormat="1" ht="14.25" customHeight="1" x14ac:dyDescent="0.25"/>
    <row r="865" s="2" customFormat="1" ht="14.25" customHeight="1" x14ac:dyDescent="0.25"/>
    <row r="866" s="2" customFormat="1" ht="14.25" customHeight="1" x14ac:dyDescent="0.25"/>
    <row r="867" s="2" customFormat="1" ht="14.25" customHeight="1" x14ac:dyDescent="0.25"/>
    <row r="868" s="2" customFormat="1" ht="14.25" customHeight="1" x14ac:dyDescent="0.25"/>
    <row r="869" s="2" customFormat="1" ht="14.25" customHeight="1" x14ac:dyDescent="0.25"/>
    <row r="870" s="2" customFormat="1" ht="14.25" customHeight="1" x14ac:dyDescent="0.25"/>
    <row r="871" s="2" customFormat="1" ht="14.25" customHeight="1" x14ac:dyDescent="0.25"/>
    <row r="872" s="2" customFormat="1" ht="14.25" customHeight="1" x14ac:dyDescent="0.25"/>
    <row r="873" s="2" customFormat="1" ht="14.25" customHeight="1" x14ac:dyDescent="0.25"/>
    <row r="874" s="2" customFormat="1" ht="14.25" customHeight="1" x14ac:dyDescent="0.25"/>
    <row r="875" s="2" customFormat="1" ht="14.25" customHeight="1" x14ac:dyDescent="0.25"/>
    <row r="876" s="2" customFormat="1" ht="14.25" customHeight="1" x14ac:dyDescent="0.25"/>
    <row r="877" s="2" customFormat="1" ht="14.25" customHeight="1" x14ac:dyDescent="0.25"/>
    <row r="878" s="2" customFormat="1" ht="14.25" customHeight="1" x14ac:dyDescent="0.25"/>
    <row r="879" s="2" customFormat="1" ht="14.25" customHeight="1" x14ac:dyDescent="0.25"/>
    <row r="880" s="2" customFormat="1" ht="14.25" customHeight="1" x14ac:dyDescent="0.25"/>
    <row r="881" s="2" customFormat="1" ht="14.25" customHeight="1" x14ac:dyDescent="0.25"/>
    <row r="882" s="2" customFormat="1" ht="14.25" customHeight="1" x14ac:dyDescent="0.25"/>
    <row r="883" s="2" customFormat="1" ht="14.25" customHeight="1" x14ac:dyDescent="0.25"/>
    <row r="884" s="2" customFormat="1" ht="14.25" customHeight="1" x14ac:dyDescent="0.25"/>
    <row r="885" s="2" customFormat="1" ht="14.25" customHeight="1" x14ac:dyDescent="0.25"/>
    <row r="886" s="2" customFormat="1" ht="14.25" customHeight="1" x14ac:dyDescent="0.25"/>
    <row r="887" s="2" customFormat="1" ht="14.25" customHeight="1" x14ac:dyDescent="0.25"/>
    <row r="888" s="2" customFormat="1" ht="14.25" customHeight="1" x14ac:dyDescent="0.25"/>
    <row r="889" s="2" customFormat="1" ht="14.25" customHeight="1" x14ac:dyDescent="0.25"/>
    <row r="890" s="2" customFormat="1" ht="14.25" customHeight="1" x14ac:dyDescent="0.25"/>
    <row r="891" s="2" customFormat="1" ht="14.25" customHeight="1" x14ac:dyDescent="0.25"/>
    <row r="892" s="2" customFormat="1" ht="14.25" customHeight="1" x14ac:dyDescent="0.25"/>
    <row r="893" s="2" customFormat="1" ht="14.25" customHeight="1" x14ac:dyDescent="0.25"/>
    <row r="894" s="2" customFormat="1" ht="14.25" customHeight="1" x14ac:dyDescent="0.25"/>
    <row r="895" s="2" customFormat="1" ht="14.25" customHeight="1" x14ac:dyDescent="0.25"/>
    <row r="896" s="2" customFormat="1" ht="14.25" customHeight="1" x14ac:dyDescent="0.25"/>
    <row r="897" s="2" customFormat="1" ht="14.25" customHeight="1" x14ac:dyDescent="0.25"/>
    <row r="898" s="2" customFormat="1" ht="14.25" customHeight="1" x14ac:dyDescent="0.25"/>
    <row r="899" s="2" customFormat="1" ht="14.25" customHeight="1" x14ac:dyDescent="0.25"/>
    <row r="900" s="2" customFormat="1" ht="14.25" customHeight="1" x14ac:dyDescent="0.25"/>
    <row r="901" s="2" customFormat="1" ht="14.25" customHeight="1" x14ac:dyDescent="0.25"/>
    <row r="902" s="2" customFormat="1" ht="14.25" customHeight="1" x14ac:dyDescent="0.25"/>
    <row r="903" s="2" customFormat="1" ht="14.25" customHeight="1" x14ac:dyDescent="0.25"/>
    <row r="904" s="2" customFormat="1" ht="14.25" customHeight="1" x14ac:dyDescent="0.25"/>
    <row r="905" s="2" customFormat="1" ht="14.25" customHeight="1" x14ac:dyDescent="0.25"/>
    <row r="906" s="2" customFormat="1" ht="14.25" customHeight="1" x14ac:dyDescent="0.25"/>
    <row r="907" s="2" customFormat="1" ht="14.25" customHeight="1" x14ac:dyDescent="0.25"/>
    <row r="908" s="2" customFormat="1" ht="14.25" customHeight="1" x14ac:dyDescent="0.25"/>
    <row r="909" s="2" customFormat="1" ht="14.25" customHeight="1" x14ac:dyDescent="0.25"/>
    <row r="910" s="2" customFormat="1" ht="14.25" customHeight="1" x14ac:dyDescent="0.25"/>
    <row r="911" s="2" customFormat="1" ht="14.25" customHeight="1" x14ac:dyDescent="0.25"/>
    <row r="912" s="2" customFormat="1" ht="14.25" customHeight="1" x14ac:dyDescent="0.25"/>
    <row r="913" s="2" customFormat="1" ht="14.25" customHeight="1" x14ac:dyDescent="0.25"/>
    <row r="914" s="2" customFormat="1" ht="14.25" customHeight="1" x14ac:dyDescent="0.25"/>
    <row r="915" s="2" customFormat="1" ht="14.25" customHeight="1" x14ac:dyDescent="0.25"/>
    <row r="916" s="2" customFormat="1" ht="14.25" customHeight="1" x14ac:dyDescent="0.25"/>
    <row r="917" s="2" customFormat="1" ht="14.25" customHeight="1" x14ac:dyDescent="0.25"/>
    <row r="918" s="2" customFormat="1" ht="14.25" customHeight="1" x14ac:dyDescent="0.25"/>
    <row r="919" s="2" customFormat="1" ht="14.25" customHeight="1" x14ac:dyDescent="0.25"/>
    <row r="920" s="2" customFormat="1" ht="14.25" customHeight="1" x14ac:dyDescent="0.25"/>
    <row r="921" s="2" customFormat="1" ht="14.25" customHeight="1" x14ac:dyDescent="0.25"/>
    <row r="922" s="2" customFormat="1" ht="14.25" customHeight="1" x14ac:dyDescent="0.25"/>
    <row r="923" s="2" customFormat="1" ht="14.25" customHeight="1" x14ac:dyDescent="0.25"/>
    <row r="924" s="2" customFormat="1" ht="14.25" customHeight="1" x14ac:dyDescent="0.25"/>
    <row r="925" s="2" customFormat="1" ht="14.25" customHeight="1" x14ac:dyDescent="0.25"/>
    <row r="926" s="2" customFormat="1" ht="14.25" customHeight="1" x14ac:dyDescent="0.25"/>
    <row r="927" s="2" customFormat="1" ht="14.25" customHeight="1" x14ac:dyDescent="0.25"/>
    <row r="928" s="2" customFormat="1" ht="14.25" customHeight="1" x14ac:dyDescent="0.25"/>
    <row r="929" s="2" customFormat="1" ht="14.25" customHeight="1" x14ac:dyDescent="0.25"/>
    <row r="930" s="2" customFormat="1" ht="14.25" customHeight="1" x14ac:dyDescent="0.25"/>
    <row r="931" s="2" customFormat="1" ht="14.25" customHeight="1" x14ac:dyDescent="0.25"/>
    <row r="932" s="2" customFormat="1" ht="14.25" customHeight="1" x14ac:dyDescent="0.25"/>
    <row r="933" s="2" customFormat="1" ht="14.25" customHeight="1" x14ac:dyDescent="0.25"/>
    <row r="934" s="2" customFormat="1" ht="14.25" customHeight="1" x14ac:dyDescent="0.25"/>
    <row r="935" s="2" customFormat="1" ht="14.25" customHeight="1" x14ac:dyDescent="0.25"/>
    <row r="936" s="2" customFormat="1" ht="14.25" customHeight="1" x14ac:dyDescent="0.25"/>
    <row r="937" s="2" customFormat="1" ht="14.25" customHeight="1" x14ac:dyDescent="0.25"/>
    <row r="938" s="2" customFormat="1" ht="14.25" customHeight="1" x14ac:dyDescent="0.25"/>
    <row r="939" s="2" customFormat="1" ht="14.25" customHeight="1" x14ac:dyDescent="0.25"/>
    <row r="940" s="2" customFormat="1" ht="14.25" customHeight="1" x14ac:dyDescent="0.25"/>
    <row r="941" s="2" customFormat="1" ht="14.25" customHeight="1" x14ac:dyDescent="0.25"/>
    <row r="942" s="2" customFormat="1" ht="14.25" customHeight="1" x14ac:dyDescent="0.25"/>
    <row r="943" s="2" customFormat="1" ht="14.25" customHeight="1" x14ac:dyDescent="0.25"/>
    <row r="944" s="2" customFormat="1" ht="14.25" customHeight="1" x14ac:dyDescent="0.25"/>
    <row r="945" s="2" customFormat="1" ht="14.25" customHeight="1" x14ac:dyDescent="0.25"/>
    <row r="946" s="2" customFormat="1" ht="14.25" customHeight="1" x14ac:dyDescent="0.25"/>
    <row r="947" s="2" customFormat="1" ht="14.25" customHeight="1" x14ac:dyDescent="0.25"/>
    <row r="948" s="2" customFormat="1" ht="14.25" customHeight="1" x14ac:dyDescent="0.25"/>
    <row r="949" s="2" customFormat="1" ht="14.25" customHeight="1" x14ac:dyDescent="0.25"/>
    <row r="950" s="2" customFormat="1" ht="14.25" customHeight="1" x14ac:dyDescent="0.25"/>
    <row r="951" s="2" customFormat="1" ht="14.25" customHeight="1" x14ac:dyDescent="0.25"/>
    <row r="952" s="2" customFormat="1" ht="14.25" customHeight="1" x14ac:dyDescent="0.25"/>
    <row r="953" s="2" customFormat="1" ht="14.25" customHeight="1" x14ac:dyDescent="0.25"/>
    <row r="954" s="2" customFormat="1" ht="14.25" customHeight="1" x14ac:dyDescent="0.25"/>
    <row r="955" s="2" customFormat="1" ht="14.25" customHeight="1" x14ac:dyDescent="0.25"/>
    <row r="956" s="2" customFormat="1" ht="14.25" customHeight="1" x14ac:dyDescent="0.25"/>
    <row r="957" s="2" customFormat="1" ht="14.25" customHeight="1" x14ac:dyDescent="0.25"/>
    <row r="958" s="2" customFormat="1" ht="14.25" customHeight="1" x14ac:dyDescent="0.25"/>
    <row r="959" s="2" customFormat="1" ht="14.25" customHeight="1" x14ac:dyDescent="0.25"/>
    <row r="960" s="2" customFormat="1" ht="14.25" customHeight="1" x14ac:dyDescent="0.25"/>
    <row r="961" s="2" customFormat="1" ht="14.25" customHeight="1" x14ac:dyDescent="0.25"/>
    <row r="962" s="2" customFormat="1" ht="14.25" customHeight="1" x14ac:dyDescent="0.25"/>
    <row r="963" s="2" customFormat="1" ht="14.25" customHeight="1" x14ac:dyDescent="0.25"/>
    <row r="964" s="2" customFormat="1" ht="14.25" customHeight="1" x14ac:dyDescent="0.25"/>
    <row r="965" s="2" customFormat="1" ht="14.25" customHeight="1" x14ac:dyDescent="0.25"/>
    <row r="966" s="2" customFormat="1" ht="14.25" customHeight="1" x14ac:dyDescent="0.25"/>
    <row r="967" s="2" customFormat="1" ht="14.25" customHeight="1" x14ac:dyDescent="0.25"/>
    <row r="968" s="2" customFormat="1" ht="14.25" customHeight="1" x14ac:dyDescent="0.25"/>
    <row r="969" s="2" customFormat="1" ht="14.25" customHeight="1" x14ac:dyDescent="0.25"/>
    <row r="970" s="2" customFormat="1" ht="14.25" customHeight="1" x14ac:dyDescent="0.25"/>
    <row r="971" s="2" customFormat="1" ht="14.25" customHeight="1" x14ac:dyDescent="0.25"/>
    <row r="972" s="2" customFormat="1" ht="14.25" customHeight="1" x14ac:dyDescent="0.25"/>
    <row r="973" s="2" customFormat="1" ht="14.25" customHeight="1" x14ac:dyDescent="0.25"/>
    <row r="974" s="2" customFormat="1" ht="14.25" customHeight="1" x14ac:dyDescent="0.25"/>
    <row r="975" s="2" customFormat="1" ht="14.25" customHeight="1" x14ac:dyDescent="0.25"/>
    <row r="976" s="2" customFormat="1" ht="14.25" customHeight="1" x14ac:dyDescent="0.25"/>
    <row r="977" s="2" customFormat="1" ht="14.25" customHeight="1" x14ac:dyDescent="0.25"/>
    <row r="978" s="2" customFormat="1" ht="14.25" customHeight="1" x14ac:dyDescent="0.25"/>
    <row r="979" s="2" customFormat="1" ht="14.25" customHeight="1" x14ac:dyDescent="0.25"/>
    <row r="980" s="2" customFormat="1" ht="14.25" customHeight="1" x14ac:dyDescent="0.25"/>
    <row r="981" s="2" customFormat="1" ht="14.25" customHeight="1" x14ac:dyDescent="0.25"/>
    <row r="982" s="2" customFormat="1" ht="14.25" customHeight="1" x14ac:dyDescent="0.25"/>
    <row r="983" s="2" customFormat="1" ht="14.25" customHeight="1" x14ac:dyDescent="0.25"/>
    <row r="984" s="2" customFormat="1" ht="14.25" customHeight="1" x14ac:dyDescent="0.25"/>
    <row r="985" s="2" customFormat="1" ht="14.25" customHeight="1" x14ac:dyDescent="0.25"/>
    <row r="986" s="2" customFormat="1" ht="14.25" customHeight="1" x14ac:dyDescent="0.25"/>
    <row r="987" s="2" customFormat="1" ht="14.25" customHeight="1" x14ac:dyDescent="0.25"/>
    <row r="988" s="2" customFormat="1" ht="14.25" customHeight="1" x14ac:dyDescent="0.25"/>
    <row r="989" s="2" customFormat="1" ht="14.25" customHeight="1" x14ac:dyDescent="0.25"/>
    <row r="990" s="2" customFormat="1" ht="14.25" customHeight="1" x14ac:dyDescent="0.25"/>
    <row r="991" s="2" customFormat="1" ht="14.25" customHeight="1" x14ac:dyDescent="0.25"/>
    <row r="992" s="2" customFormat="1" ht="14.25" customHeight="1" x14ac:dyDescent="0.25"/>
    <row r="993" s="2" customFormat="1" ht="14.25" customHeight="1" x14ac:dyDescent="0.25"/>
    <row r="994" s="2" customFormat="1" ht="14.25" customHeight="1" x14ac:dyDescent="0.25"/>
    <row r="995" s="2" customFormat="1" ht="14.25" customHeight="1" x14ac:dyDescent="0.25"/>
    <row r="996" s="2" customFormat="1" ht="14.25" customHeight="1" x14ac:dyDescent="0.25"/>
    <row r="997" s="2" customFormat="1" ht="14.25" customHeight="1" x14ac:dyDescent="0.25"/>
    <row r="998" s="2" customFormat="1" ht="14.25" customHeight="1" x14ac:dyDescent="0.25"/>
    <row r="999" s="2" customFormat="1" ht="14.25" customHeight="1" x14ac:dyDescent="0.25"/>
    <row r="1000" s="2" customFormat="1" ht="14.25" customHeight="1" x14ac:dyDescent="0.25"/>
  </sheetData>
  <mergeCells count="5">
    <mergeCell ref="B1:H1"/>
    <mergeCell ref="I1:K1"/>
    <mergeCell ref="L1:M1"/>
    <mergeCell ref="N1:O1"/>
    <mergeCell ref="P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51BB-2290-4C36-8F09-15616B950D53}">
  <dimension ref="A1:AK31"/>
  <sheetViews>
    <sheetView zoomScale="85" zoomScaleNormal="85" workbookViewId="0">
      <selection activeCell="H22" sqref="A1:XFD1048576"/>
    </sheetView>
  </sheetViews>
  <sheetFormatPr defaultRowHeight="15" x14ac:dyDescent="0.25"/>
  <cols>
    <col min="1" max="1" width="19.28515625" style="2" customWidth="1"/>
    <col min="2" max="14" width="9.5703125" style="2" bestFit="1" customWidth="1"/>
    <col min="15" max="36" width="9.140625" style="2"/>
    <col min="37" max="37" width="9.5703125" style="2" bestFit="1" customWidth="1"/>
    <col min="38" max="16384" width="9.140625" style="2"/>
  </cols>
  <sheetData>
    <row r="1" spans="1:37" ht="45" x14ac:dyDescent="0.25">
      <c r="B1" s="7" t="s">
        <v>0</v>
      </c>
      <c r="C1" s="7"/>
      <c r="D1" s="7"/>
      <c r="E1" s="7"/>
      <c r="F1" s="7"/>
      <c r="G1" s="7"/>
      <c r="H1" s="7"/>
      <c r="I1" s="8" t="s">
        <v>1</v>
      </c>
      <c r="J1" s="8"/>
      <c r="K1" s="8"/>
      <c r="L1" s="8"/>
      <c r="M1" s="3" t="s">
        <v>2</v>
      </c>
      <c r="N1" s="8" t="s">
        <v>3</v>
      </c>
      <c r="O1" s="8"/>
      <c r="P1" s="8"/>
      <c r="Q1" s="8"/>
      <c r="R1" s="3" t="s">
        <v>4</v>
      </c>
      <c r="S1" s="8" t="s">
        <v>5</v>
      </c>
      <c r="T1" s="8"/>
      <c r="U1" s="3" t="s">
        <v>6</v>
      </c>
      <c r="V1" s="9" t="s">
        <v>7</v>
      </c>
      <c r="W1" s="7" t="s">
        <v>8</v>
      </c>
      <c r="X1" s="7"/>
      <c r="Y1" s="7" t="s">
        <v>9</v>
      </c>
      <c r="Z1" s="7"/>
      <c r="AA1" s="7"/>
      <c r="AB1" s="8" t="s">
        <v>10</v>
      </c>
      <c r="AC1" s="8"/>
      <c r="AD1" s="8"/>
      <c r="AE1" s="8"/>
      <c r="AF1" s="8"/>
      <c r="AG1" s="8"/>
      <c r="AH1" s="8"/>
      <c r="AI1" s="2" t="s">
        <v>11</v>
      </c>
      <c r="AJ1" s="2" t="s">
        <v>12</v>
      </c>
      <c r="AK1" s="2" t="s">
        <v>13</v>
      </c>
    </row>
    <row r="2" spans="1:37" x14ac:dyDescent="0.25">
      <c r="B2" s="3" t="str">
        <f ca="1">IFERROR(__xludf.DUMMYFUNCTION("ARRAY_CONSTRAIN(ARRAYFORMULA(UNIQUE(D2:D165)), 35, 1)"),"Cereals")</f>
        <v>Cereals</v>
      </c>
      <c r="C2" s="3" t="str">
        <f ca="1">IFERROR(__xludf.DUMMYFUNCTION("""COMPUTED_VALUE"""),"Vegetables, fruit, nuts, pulses, spices")</f>
        <v>Vegetables, fruit, nuts, pulses, spices</v>
      </c>
      <c r="D2" s="3" t="str">
        <f ca="1">IFERROR(__xludf.DUMMYFUNCTION("""COMPUTED_VALUE"""),"Oil crops")</f>
        <v>Oil crops</v>
      </c>
      <c r="E2" s="3" t="s">
        <v>14</v>
      </c>
      <c r="F2" s="3" t="str">
        <f ca="1">IFERROR(__xludf.DUMMYFUNCTION("""COMPUTED_VALUE"""),"Fibre crops")</f>
        <v>Fibre crops</v>
      </c>
      <c r="G2" s="3" t="str">
        <f ca="1">IFERROR(__xludf.DUMMYFUNCTION("""COMPUTED_VALUE"""),"Roots and tubers")</f>
        <v>Roots and tubers</v>
      </c>
      <c r="H2" s="3" t="str">
        <f ca="1">IFERROR(__xludf.DUMMYFUNCTION("""COMPUTED_VALUE"""),"Tobacco")</f>
        <v>Tobacco</v>
      </c>
      <c r="I2" s="3" t="str">
        <f ca="1">IFERROR(__xludf.DUMMYFUNCTION("""COMPUTED_VALUE"""),"Vegetable oils, oil cakes")</f>
        <v>Vegetable oils, oil cakes</v>
      </c>
      <c r="J2" s="3" t="str">
        <f ca="1">IFERROR(__xludf.DUMMYFUNCTION("""COMPUTED_VALUE"""),"Processed food products")</f>
        <v>Processed food products</v>
      </c>
      <c r="K2" s="3" t="str">
        <f ca="1">IFERROR(__xludf.DUMMYFUNCTION("""COMPUTED_VALUE"""),"Coffee, tea, cocoa, ")</f>
        <v xml:space="preserve">Coffee, tea, cocoa, </v>
      </c>
      <c r="L2" s="3" t="str">
        <f ca="1">IFERROR(__xludf.DUMMYFUNCTION("""COMPUTED_VALUE"""),"Alcohol")</f>
        <v>Alcohol</v>
      </c>
      <c r="M2" s="3" t="str">
        <f ca="1">IFERROR(__xludf.DUMMYFUNCTION("""COMPUTED_VALUE"""),"Live animals")</f>
        <v>Live animals</v>
      </c>
      <c r="N2" s="10" t="str">
        <f ca="1">IFERROR(__xludf.DUMMYFUNCTION("""COMPUTED_VALUE"""),"Milk, Eggs, and Honey")</f>
        <v>Milk, Eggs, and Honey</v>
      </c>
      <c r="O2" s="3" t="str">
        <f ca="1">IFERROR(__xludf.DUMMYFUNCTION("""COMPUTED_VALUE"""),"Hides, skins, wool")</f>
        <v>Hides, skins, wool</v>
      </c>
      <c r="P2" s="3" t="str">
        <f ca="1">IFERROR(__xludf.DUMMYFUNCTION("""COMPUTED_VALUE"""),"Manure")</f>
        <v>Manure</v>
      </c>
      <c r="Q2" s="3" t="str">
        <f ca="1">IFERROR(__xludf.DUMMYFUNCTION("""COMPUTED_VALUE"""),"Meat, Animal Fats, and Fish")</f>
        <v>Meat, Animal Fats, and Fish</v>
      </c>
      <c r="R2" s="3" t="str">
        <f ca="1">IFERROR(__xludf.DUMMYFUNCTION("""COMPUTED_VALUE"""),"Wood products")</f>
        <v>Wood products</v>
      </c>
      <c r="S2" s="3" t="str">
        <f ca="1">IFERROR(__xludf.DUMMYFUNCTION("""COMPUTED_VALUE"""),"Textiles and Wearing apparel")</f>
        <v>Textiles and Wearing apparel</v>
      </c>
      <c r="T2" s="3" t="str">
        <f ca="1">IFERROR(__xludf.DUMMYFUNCTION("""COMPUTED_VALUE"""),"Paper and Pulp")</f>
        <v>Paper and Pulp</v>
      </c>
      <c r="U2" s="3" t="s">
        <v>15</v>
      </c>
      <c r="V2" s="3" t="str">
        <f ca="1">IFERROR(__xludf.DUMMYFUNCTION("""COMPUTED_VALUE"""),"biofuels, charcoal, rubber")</f>
        <v>biofuels, charcoal, rubber</v>
      </c>
      <c r="W2" s="3" t="str">
        <f ca="1">IFERROR(__xludf.DUMMYFUNCTION("""COMPUTED_VALUE"""),"Transport Vehicles")</f>
        <v>Transport Vehicles</v>
      </c>
      <c r="X2" s="3" t="str">
        <f ca="1">IFERROR(__xludf.DUMMYFUNCTION("""COMPUTED_VALUE"""),"Heterogeneous Machinery")</f>
        <v>Heterogeneous Machinery</v>
      </c>
      <c r="Y2" s="3" t="str">
        <f ca="1">IFERROR(__xludf.DUMMYFUNCTION("""COMPUTED_VALUE"""),"Electricity Production and Services")</f>
        <v>Electricity Production and Services</v>
      </c>
      <c r="Z2" s="3" t="str">
        <f ca="1">IFERROR(__xludf.DUMMYFUNCTION("""COMPUTED_VALUE"""),"Secondary Gases and Services")</f>
        <v>Secondary Gases and Services</v>
      </c>
      <c r="AA2" s="3" t="str">
        <f ca="1">IFERROR(__xludf.DUMMYFUNCTION("""COMPUTED_VALUE"""),"Water Services")</f>
        <v>Water Services</v>
      </c>
      <c r="AB2" s="3" t="str">
        <f ca="1">IFERROR(__xludf.DUMMYFUNCTION("""COMPUTED_VALUE"""),"Construction ")</f>
        <v xml:space="preserve">Construction </v>
      </c>
      <c r="AC2" s="3" t="str">
        <f ca="1">IFERROR(__xludf.DUMMYFUNCTION("""COMPUTED_VALUE"""),"Wholesale and retail trade ")</f>
        <v xml:space="preserve">Wholesale and retail trade </v>
      </c>
      <c r="AD2" s="3" t="str">
        <f ca="1">IFERROR(__xludf.DUMMYFUNCTION("""COMPUTED_VALUE"""),"Hotels and restaurants ")</f>
        <v xml:space="preserve">Hotels and restaurants </v>
      </c>
      <c r="AE2" s="3" t="str">
        <f ca="1">IFERROR(__xludf.DUMMYFUNCTION("""COMPUTED_VALUE"""),"Transport, storage and communications ")</f>
        <v xml:space="preserve">Transport, storage and communications </v>
      </c>
      <c r="AF2" s="3" t="str">
        <f ca="1">IFERROR(__xludf.DUMMYFUNCTION("""COMPUTED_VALUE"""),"Financial and Insurance Activities ")</f>
        <v xml:space="preserve">Financial and Insurance Activities </v>
      </c>
      <c r="AG2" s="3" t="str">
        <f ca="1">IFERROR(__xludf.DUMMYFUNCTION("""COMPUTED_VALUE"""),"Real estate, renting and business activities ")</f>
        <v xml:space="preserve">Real estate, renting and business activities </v>
      </c>
      <c r="AH2" s="3" t="str">
        <f ca="1">IFERROR(__xludf.DUMMYFUNCTION("""COMPUTED_VALUE"""),"Public Services")</f>
        <v>Public Services</v>
      </c>
      <c r="AI2" s="3" t="str">
        <f ca="1">IFERROR(__xludf.DUMMYFUNCTION("""COMPUTED_VALUE"""),"Recycling")</f>
        <v>Recycling</v>
      </c>
      <c r="AJ2" s="3" t="str">
        <f ca="1">IFERROR(__xludf.DUMMYFUNCTION("""COMPUTED_VALUE"""),"Waste treatment services")</f>
        <v>Waste treatment services</v>
      </c>
      <c r="AK2" s="2" t="s">
        <v>13</v>
      </c>
    </row>
    <row r="3" spans="1:37" x14ac:dyDescent="0.25">
      <c r="A3" s="14" t="s">
        <v>77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14116777.47869</v>
      </c>
      <c r="I3" s="6">
        <v>192019.33385680101</v>
      </c>
      <c r="J3" s="6">
        <v>160690.049839635</v>
      </c>
      <c r="K3" s="6">
        <v>5641637.0663700197</v>
      </c>
      <c r="L3" s="6">
        <v>413654.81667691498</v>
      </c>
      <c r="M3" s="6">
        <v>0</v>
      </c>
      <c r="N3" s="6">
        <v>355199.927663234</v>
      </c>
      <c r="O3" s="6">
        <v>440734.42271173501</v>
      </c>
      <c r="P3" s="6">
        <v>0</v>
      </c>
      <c r="Q3" s="6">
        <v>1012327.83543072</v>
      </c>
      <c r="R3" s="6">
        <v>0</v>
      </c>
      <c r="S3" s="6">
        <v>1935433.9822929001</v>
      </c>
      <c r="T3" s="6">
        <v>81212883.647086799</v>
      </c>
      <c r="U3" s="6">
        <v>2631059.1576009798</v>
      </c>
      <c r="V3" s="6">
        <v>23620054.875177599</v>
      </c>
      <c r="W3" s="6">
        <v>2632433.9266218701</v>
      </c>
      <c r="X3" s="6">
        <v>1000171.98068646</v>
      </c>
      <c r="Y3" s="6">
        <v>5924075.2120141098</v>
      </c>
      <c r="Z3" s="6">
        <v>116833.027239851</v>
      </c>
      <c r="AA3" s="6">
        <v>2181388.4736621599</v>
      </c>
      <c r="AB3" s="6">
        <v>15206742.601570901</v>
      </c>
      <c r="AC3" s="6">
        <v>775367.39456107898</v>
      </c>
      <c r="AD3" s="6">
        <v>2260502.7774978699</v>
      </c>
      <c r="AE3" s="6">
        <v>2760416.7672187001</v>
      </c>
      <c r="AF3" s="6">
        <v>427522.53838083602</v>
      </c>
      <c r="AG3" s="6">
        <v>2886519.6146215899</v>
      </c>
      <c r="AH3" s="6">
        <v>6426145.3060323596</v>
      </c>
      <c r="AI3" s="6">
        <v>197578.81163672599</v>
      </c>
      <c r="AJ3" s="6">
        <v>281987.21298080299</v>
      </c>
      <c r="AK3" s="6">
        <v>196128218.89623499</v>
      </c>
    </row>
    <row r="4" spans="1:37" x14ac:dyDescent="0.25">
      <c r="A4" s="27" t="s">
        <v>78</v>
      </c>
      <c r="B4" s="2">
        <v>15971.606066014599</v>
      </c>
      <c r="C4" s="2">
        <v>10559.4192519274</v>
      </c>
      <c r="D4" s="2">
        <v>519.66265200600003</v>
      </c>
      <c r="E4" s="2">
        <v>353.98609583256001</v>
      </c>
      <c r="F4" s="2">
        <v>260.97387777696002</v>
      </c>
      <c r="G4" s="2">
        <v>8261.9668550779206</v>
      </c>
      <c r="H4" s="2">
        <v>507614.64398173097</v>
      </c>
      <c r="I4" s="2">
        <v>1082.1495722848799</v>
      </c>
      <c r="J4" s="2">
        <v>3353.1874476079201</v>
      </c>
      <c r="K4" s="2">
        <v>10372.499334725</v>
      </c>
      <c r="L4" s="2">
        <v>11640.243333660001</v>
      </c>
      <c r="M4" s="2">
        <v>2414.59421766696</v>
      </c>
      <c r="N4" s="2">
        <v>12621.6568370734</v>
      </c>
      <c r="O4" s="2">
        <v>6.5003976000000004E-4</v>
      </c>
      <c r="P4" s="2">
        <v>0</v>
      </c>
      <c r="Q4" s="2">
        <v>26652.079140891899</v>
      </c>
      <c r="R4" s="2">
        <v>13134.830648388701</v>
      </c>
      <c r="S4" s="2">
        <v>0</v>
      </c>
      <c r="T4" s="2">
        <v>349242.905400722</v>
      </c>
      <c r="U4" s="2">
        <v>62608.947559405002</v>
      </c>
      <c r="V4" s="2">
        <v>175456.67063126201</v>
      </c>
      <c r="W4" s="2">
        <v>1357441.14990831</v>
      </c>
      <c r="X4" s="2">
        <v>202563.06150934301</v>
      </c>
      <c r="Y4" s="2">
        <v>4351.7478866332804</v>
      </c>
      <c r="Z4" s="2">
        <v>1907.11598701752</v>
      </c>
      <c r="AA4" s="2">
        <v>908.8115585736</v>
      </c>
      <c r="AB4" s="2">
        <v>181514.03228226799</v>
      </c>
      <c r="AC4" s="2">
        <v>50617.829222676701</v>
      </c>
      <c r="AD4" s="2">
        <v>121987.979305614</v>
      </c>
      <c r="AE4" s="2">
        <v>91263.665063817098</v>
      </c>
      <c r="AF4" s="2">
        <v>7064.54539112976</v>
      </c>
      <c r="AG4" s="2">
        <v>1015236.72342114</v>
      </c>
      <c r="AH4" s="2">
        <v>632789.34409870405</v>
      </c>
      <c r="AI4" s="2">
        <v>1339.90848415248</v>
      </c>
      <c r="AJ4" s="2">
        <v>10372.172860584</v>
      </c>
      <c r="AK4" s="6">
        <v>4474162.4267768497</v>
      </c>
    </row>
    <row r="5" spans="1:37" x14ac:dyDescent="0.25">
      <c r="A5" s="27" t="s">
        <v>79</v>
      </c>
      <c r="B5" s="2">
        <v>538.18187622365997</v>
      </c>
      <c r="C5" s="2">
        <v>352.79560720728</v>
      </c>
      <c r="D5" s="2">
        <v>82.662533872200001</v>
      </c>
      <c r="E5" s="2">
        <v>107.63557968414</v>
      </c>
      <c r="F5" s="2">
        <v>73.806802637999994</v>
      </c>
      <c r="G5" s="2">
        <v>219.49818825174</v>
      </c>
      <c r="H5" s="2">
        <v>2158.8462073686001</v>
      </c>
      <c r="I5" s="2">
        <v>49.831607812020003</v>
      </c>
      <c r="J5" s="2">
        <v>264.70022417346001</v>
      </c>
      <c r="K5" s="2">
        <v>2676.27153795606</v>
      </c>
      <c r="L5" s="2">
        <v>265.93728854580002</v>
      </c>
      <c r="M5" s="2">
        <v>414.18780197849998</v>
      </c>
      <c r="N5" s="2">
        <v>371.91565510295999</v>
      </c>
      <c r="O5" s="2">
        <v>3658.12440353274</v>
      </c>
      <c r="P5" s="2">
        <v>0</v>
      </c>
      <c r="Q5" s="2">
        <v>839.93643893796002</v>
      </c>
      <c r="R5" s="2">
        <v>342.92624514582002</v>
      </c>
      <c r="S5" s="2">
        <v>0</v>
      </c>
      <c r="T5" s="2">
        <v>3618.7100386051202</v>
      </c>
      <c r="U5" s="2">
        <v>12694.119473570599</v>
      </c>
      <c r="V5" s="2">
        <v>2344.7459899791002</v>
      </c>
      <c r="W5" s="2">
        <v>18653.830362339901</v>
      </c>
      <c r="X5" s="2">
        <v>9467.5832460799193</v>
      </c>
      <c r="Y5" s="2">
        <v>3016.8588878591399</v>
      </c>
      <c r="Z5" s="2">
        <v>432.83094321528</v>
      </c>
      <c r="AA5" s="2">
        <v>386.56144273266</v>
      </c>
      <c r="AB5" s="2">
        <v>10846.685043380699</v>
      </c>
      <c r="AC5" s="2">
        <v>5215.5378253393201</v>
      </c>
      <c r="AD5" s="2">
        <v>5611.4018173459799</v>
      </c>
      <c r="AE5" s="2">
        <v>6161.5194745123799</v>
      </c>
      <c r="AF5" s="2">
        <v>2590.9932982873802</v>
      </c>
      <c r="AG5" s="2">
        <v>13319.191489937601</v>
      </c>
      <c r="AH5" s="2">
        <v>50661.414317360199</v>
      </c>
      <c r="AI5" s="2">
        <v>103.82770903536</v>
      </c>
      <c r="AJ5" s="2">
        <v>2883.5993368660802</v>
      </c>
      <c r="AK5" s="6">
        <v>978189.51751719601</v>
      </c>
    </row>
    <row r="6" spans="1:37" x14ac:dyDescent="0.25">
      <c r="A6" s="27" t="s">
        <v>80</v>
      </c>
      <c r="B6" s="2">
        <v>2137.86554916267</v>
      </c>
      <c r="C6" s="2">
        <v>943.33850161893304</v>
      </c>
      <c r="D6" s="2">
        <v>624.87639422252198</v>
      </c>
      <c r="E6" s="2">
        <v>757.05397671689605</v>
      </c>
      <c r="F6" s="2">
        <v>601.77306497166398</v>
      </c>
      <c r="G6" s="2">
        <v>1234.2414249646499</v>
      </c>
      <c r="H6" s="2">
        <v>6617.1466138873502</v>
      </c>
      <c r="I6" s="2">
        <v>426.02090669712601</v>
      </c>
      <c r="J6" s="2">
        <v>1880.03384809573</v>
      </c>
      <c r="K6" s="2">
        <v>2114.4243057116701</v>
      </c>
      <c r="L6" s="2">
        <v>1242.0798980884299</v>
      </c>
      <c r="M6" s="2">
        <v>2523.6133502551802</v>
      </c>
      <c r="N6" s="2">
        <v>2505.39132419927</v>
      </c>
      <c r="O6" s="2">
        <v>29996.968617170802</v>
      </c>
      <c r="P6" s="2">
        <v>0</v>
      </c>
      <c r="Q6" s="2">
        <v>3324.8173185578298</v>
      </c>
      <c r="R6" s="2">
        <v>2362.6290795662699</v>
      </c>
      <c r="S6" s="2">
        <v>21198.828202390599</v>
      </c>
      <c r="T6" s="2">
        <v>3974.4536677388501</v>
      </c>
      <c r="U6" s="2">
        <v>23922.531896295601</v>
      </c>
      <c r="V6" s="2">
        <v>98088.0148654074</v>
      </c>
      <c r="W6" s="2">
        <v>29688.389684081201</v>
      </c>
      <c r="X6" s="2">
        <v>22103.353707354701</v>
      </c>
      <c r="Y6" s="2">
        <v>8216.3789453272802</v>
      </c>
      <c r="Z6" s="2">
        <v>1420.3119579265301</v>
      </c>
      <c r="AA6" s="2">
        <v>1603.7753537347901</v>
      </c>
      <c r="AB6" s="2">
        <v>6056.60204578101</v>
      </c>
      <c r="AC6" s="2">
        <v>5807.4090913549699</v>
      </c>
      <c r="AD6" s="2">
        <v>1407.8263253666601</v>
      </c>
      <c r="AE6" s="2">
        <v>8489.4721645784193</v>
      </c>
      <c r="AF6" s="2">
        <v>3371.03060617968</v>
      </c>
      <c r="AG6" s="2">
        <v>10769.888638140799</v>
      </c>
      <c r="AH6" s="2">
        <v>21878.426869435702</v>
      </c>
      <c r="AI6" s="2">
        <v>805.68302718369796</v>
      </c>
      <c r="AJ6" s="2">
        <v>4701.1973278293199</v>
      </c>
      <c r="AK6" s="6">
        <v>606621.181210435</v>
      </c>
    </row>
    <row r="7" spans="1:37" x14ac:dyDescent="0.25">
      <c r="A7" s="27" t="s">
        <v>81</v>
      </c>
      <c r="B7" s="2">
        <v>168017.87009405799</v>
      </c>
      <c r="C7" s="2">
        <v>430395.178502216</v>
      </c>
      <c r="D7" s="2">
        <v>44660.752461794902</v>
      </c>
      <c r="E7" s="2">
        <v>15481.5244266054</v>
      </c>
      <c r="F7" s="2">
        <v>11863.236957659599</v>
      </c>
      <c r="G7" s="2">
        <v>151827.04937199</v>
      </c>
      <c r="H7" s="2">
        <v>1209578.0679482601</v>
      </c>
      <c r="I7" s="2">
        <v>131861.90754951199</v>
      </c>
      <c r="J7" s="2">
        <v>139305.65696894599</v>
      </c>
      <c r="K7" s="2">
        <v>1291464.86984336</v>
      </c>
      <c r="L7" s="2">
        <v>915024.71861348103</v>
      </c>
      <c r="M7" s="2">
        <v>230671.45261867499</v>
      </c>
      <c r="N7" s="2">
        <v>522308.82551135099</v>
      </c>
      <c r="O7" s="2">
        <v>176555.50461397899</v>
      </c>
      <c r="P7" s="2">
        <v>0</v>
      </c>
      <c r="Q7" s="2">
        <v>789465.07195814198</v>
      </c>
      <c r="R7" s="2">
        <v>3631590.62100494</v>
      </c>
      <c r="S7" s="2">
        <v>608182.63652371499</v>
      </c>
      <c r="T7" s="2">
        <v>5821563.0184609499</v>
      </c>
      <c r="U7" s="2">
        <v>3997178.4832785302</v>
      </c>
      <c r="V7" s="2">
        <v>2174617.2057715501</v>
      </c>
      <c r="W7" s="2">
        <v>7883146.83199412</v>
      </c>
      <c r="X7" s="2">
        <v>5746709.37162551</v>
      </c>
      <c r="Y7" s="2">
        <v>376784.46065001702</v>
      </c>
      <c r="Z7" s="2">
        <v>72424.263652232097</v>
      </c>
      <c r="AA7" s="2">
        <v>88947.818580237494</v>
      </c>
      <c r="AB7" s="2">
        <v>55732343.377631299</v>
      </c>
      <c r="AC7" s="2">
        <v>353779.87581263902</v>
      </c>
      <c r="AD7" s="2">
        <v>549672.67594440002</v>
      </c>
      <c r="AE7" s="2">
        <v>1032222.17259787</v>
      </c>
      <c r="AF7" s="2">
        <v>168314.74890063799</v>
      </c>
      <c r="AG7" s="2">
        <v>4259514.0126338098</v>
      </c>
      <c r="AH7" s="2">
        <v>6426345.8816544302</v>
      </c>
      <c r="AI7" s="2">
        <v>353968.49075308698</v>
      </c>
      <c r="AJ7" s="2">
        <v>274413.47820888401</v>
      </c>
      <c r="AK7" s="6">
        <v>18636536.505141102</v>
      </c>
    </row>
    <row r="8" spans="1:37" x14ac:dyDescent="0.25">
      <c r="A8" s="27" t="s">
        <v>82</v>
      </c>
      <c r="B8" s="2">
        <v>35536.0485581744</v>
      </c>
      <c r="C8" s="2">
        <v>136355.29747633601</v>
      </c>
      <c r="D8" s="2">
        <v>7061.1032991087995</v>
      </c>
      <c r="E8" s="2">
        <v>3330.9927233580001</v>
      </c>
      <c r="F8" s="2">
        <v>5169.8416772179999</v>
      </c>
      <c r="G8" s="2">
        <v>25123.5309241992</v>
      </c>
      <c r="H8" s="2">
        <v>2920491.2172003901</v>
      </c>
      <c r="I8" s="2">
        <v>75121.410488315203</v>
      </c>
      <c r="J8" s="2">
        <v>224564.26235944501</v>
      </c>
      <c r="K8" s="2">
        <v>5873144.5553115299</v>
      </c>
      <c r="L8" s="2">
        <v>1564346.7160781401</v>
      </c>
      <c r="M8" s="2">
        <v>50251.966059283201</v>
      </c>
      <c r="N8" s="2">
        <v>588338.96876016096</v>
      </c>
      <c r="O8" s="2">
        <v>479115.89301105699</v>
      </c>
      <c r="P8" s="2">
        <v>0</v>
      </c>
      <c r="Q8" s="2">
        <v>1703063.7396960999</v>
      </c>
      <c r="R8" s="2">
        <v>374269.88414373202</v>
      </c>
      <c r="S8" s="2">
        <v>3505016.0164784798</v>
      </c>
      <c r="T8" s="2">
        <v>5501382.71189503</v>
      </c>
      <c r="U8" s="2">
        <v>5839496.0558235198</v>
      </c>
      <c r="V8" s="2">
        <v>3787916.9022561898</v>
      </c>
      <c r="W8" s="2">
        <v>10521475.035546999</v>
      </c>
      <c r="X8" s="2">
        <v>844029.40122607094</v>
      </c>
      <c r="Y8" s="2">
        <v>108287.234311778</v>
      </c>
      <c r="Z8" s="2">
        <v>37989.940941042798</v>
      </c>
      <c r="AA8" s="2">
        <v>25125.280885135599</v>
      </c>
      <c r="AB8" s="2">
        <v>2455756.4508410799</v>
      </c>
      <c r="AC8" s="2">
        <v>520708.40517922398</v>
      </c>
      <c r="AD8" s="2">
        <v>930378.21565777995</v>
      </c>
      <c r="AE8" s="2">
        <v>1081813.9032866601</v>
      </c>
      <c r="AF8" s="2">
        <v>1064604.1203012599</v>
      </c>
      <c r="AG8" s="2">
        <v>7191938.8344181702</v>
      </c>
      <c r="AH8" s="2">
        <v>11555535.602013299</v>
      </c>
      <c r="AI8" s="2">
        <v>187768.08957095499</v>
      </c>
      <c r="AJ8" s="2">
        <v>281393.10402398702</v>
      </c>
      <c r="AK8" s="6">
        <v>15033912.200781301</v>
      </c>
    </row>
    <row r="9" spans="1:37" x14ac:dyDescent="0.25">
      <c r="A9" s="27" t="s">
        <v>83</v>
      </c>
      <c r="B9" s="2">
        <v>1226.0734298636</v>
      </c>
      <c r="C9" s="2">
        <v>1078.83673762234</v>
      </c>
      <c r="D9" s="2">
        <v>187.55461395090001</v>
      </c>
      <c r="E9" s="2">
        <v>73.049141125044102</v>
      </c>
      <c r="F9" s="2">
        <v>280.64652826593601</v>
      </c>
      <c r="G9" s="2">
        <v>533.59144774311596</v>
      </c>
      <c r="H9" s="2">
        <v>100216.721482879</v>
      </c>
      <c r="I9" s="2">
        <v>209.09337057252</v>
      </c>
      <c r="J9" s="2">
        <v>320.52504000711599</v>
      </c>
      <c r="K9" s="2">
        <v>133691.181219327</v>
      </c>
      <c r="L9" s="2">
        <v>7623.10063610424</v>
      </c>
      <c r="M9" s="2">
        <v>757.25602929219599</v>
      </c>
      <c r="N9" s="2">
        <v>3764.3885995600099</v>
      </c>
      <c r="O9" s="2">
        <v>23264.365744445899</v>
      </c>
      <c r="P9" s="2">
        <v>0</v>
      </c>
      <c r="Q9" s="2">
        <v>56577.892448380197</v>
      </c>
      <c r="R9" s="2">
        <v>3452.26388263117</v>
      </c>
      <c r="S9" s="2">
        <v>80643.072226220305</v>
      </c>
      <c r="T9" s="2">
        <v>76690.655788390301</v>
      </c>
      <c r="U9" s="2">
        <v>122455.662781743</v>
      </c>
      <c r="V9" s="2">
        <v>299417.434185463</v>
      </c>
      <c r="W9" s="2">
        <v>641482.22617984202</v>
      </c>
      <c r="X9" s="2">
        <v>94805.230013026099</v>
      </c>
      <c r="Y9" s="2">
        <v>26153.373375709802</v>
      </c>
      <c r="Z9" s="2">
        <v>1600.3653215228301</v>
      </c>
      <c r="AA9" s="2">
        <v>1913.79694753901</v>
      </c>
      <c r="AB9" s="2">
        <v>75449.402686541798</v>
      </c>
      <c r="AC9" s="2">
        <v>39411.032486254902</v>
      </c>
      <c r="AD9" s="2">
        <v>35894.293864595202</v>
      </c>
      <c r="AE9" s="2">
        <v>76856.085686135004</v>
      </c>
      <c r="AF9" s="2">
        <v>315312.05797329702</v>
      </c>
      <c r="AG9" s="2">
        <v>1228240.8325834901</v>
      </c>
      <c r="AH9" s="2">
        <v>1861745.4449509301</v>
      </c>
      <c r="AI9" s="2">
        <v>5005.9663016600198</v>
      </c>
      <c r="AJ9" s="2">
        <v>12718.720943006399</v>
      </c>
      <c r="AK9" s="6">
        <v>1422558.7457225299</v>
      </c>
    </row>
    <row r="10" spans="1:37" x14ac:dyDescent="0.25">
      <c r="A10" s="27" t="s">
        <v>84</v>
      </c>
      <c r="B10" s="2">
        <v>47019.2437930796</v>
      </c>
      <c r="C10" s="2">
        <v>539676.52168779296</v>
      </c>
      <c r="D10" s="2">
        <v>8732.4110370603594</v>
      </c>
      <c r="E10" s="2">
        <v>2258.2823149590599</v>
      </c>
      <c r="F10" s="2">
        <v>29963.8175104398</v>
      </c>
      <c r="G10" s="2">
        <v>85732.129186799997</v>
      </c>
      <c r="H10" s="2">
        <v>6845806.1424580496</v>
      </c>
      <c r="I10" s="2">
        <v>112636.10033577</v>
      </c>
      <c r="J10" s="2">
        <v>242076.328519314</v>
      </c>
      <c r="K10" s="2">
        <v>6468290.4416696997</v>
      </c>
      <c r="L10" s="2">
        <v>2778007.2485596701</v>
      </c>
      <c r="M10" s="2">
        <v>133272.79880127899</v>
      </c>
      <c r="N10" s="2">
        <v>1480290.2393024701</v>
      </c>
      <c r="O10" s="2">
        <v>930195.43106222595</v>
      </c>
      <c r="P10" s="2">
        <v>0</v>
      </c>
      <c r="Q10" s="2">
        <v>7052447.99065312</v>
      </c>
      <c r="R10" s="2">
        <v>190610.19976422301</v>
      </c>
      <c r="S10" s="2">
        <v>0</v>
      </c>
      <c r="T10" s="2">
        <v>1892948.7631918599</v>
      </c>
      <c r="U10" s="2">
        <v>2146023.3477402902</v>
      </c>
      <c r="V10" s="2">
        <v>4141675.1662158701</v>
      </c>
      <c r="W10" s="2">
        <v>1482298.3038844599</v>
      </c>
      <c r="X10" s="2">
        <v>0</v>
      </c>
      <c r="Y10" s="2">
        <v>75811.331670145897</v>
      </c>
      <c r="Z10" s="2">
        <v>57664.9635480543</v>
      </c>
      <c r="AA10" s="2">
        <v>47876.711018882503</v>
      </c>
      <c r="AB10" s="2">
        <v>12042917.1216025</v>
      </c>
      <c r="AC10" s="2">
        <v>3064467.6924258801</v>
      </c>
      <c r="AD10" s="2">
        <v>405976.45521316899</v>
      </c>
      <c r="AE10" s="2">
        <v>1591330.0701464</v>
      </c>
      <c r="AF10" s="2">
        <v>172926.92839679899</v>
      </c>
      <c r="AG10" s="2">
        <v>2611394.3015366099</v>
      </c>
      <c r="AH10" s="2">
        <v>4450014.62719547</v>
      </c>
      <c r="AI10" s="2">
        <v>405283.058257973</v>
      </c>
      <c r="AJ10" s="2">
        <v>138397.88894663399</v>
      </c>
      <c r="AK10" s="6">
        <v>2572425.0062615299</v>
      </c>
    </row>
    <row r="11" spans="1:37" x14ac:dyDescent="0.25">
      <c r="A11" s="27" t="s">
        <v>85</v>
      </c>
      <c r="B11" s="2">
        <v>7182.6303723175397</v>
      </c>
      <c r="C11" s="2">
        <v>12267.5948153463</v>
      </c>
      <c r="D11" s="2">
        <v>845.962068376552</v>
      </c>
      <c r="E11" s="2">
        <v>1551.17654535425</v>
      </c>
      <c r="F11" s="2">
        <v>2712.06616433605</v>
      </c>
      <c r="G11" s="2">
        <v>4039.3542862910799</v>
      </c>
      <c r="H11" s="2">
        <v>126950.299833249</v>
      </c>
      <c r="I11" s="2">
        <v>2191.0936851808401</v>
      </c>
      <c r="J11" s="2">
        <v>3704.3227560057699</v>
      </c>
      <c r="K11" s="2">
        <v>73225.326952754403</v>
      </c>
      <c r="L11" s="2">
        <v>21276.023623026998</v>
      </c>
      <c r="M11" s="2">
        <v>7390.4322204540804</v>
      </c>
      <c r="N11" s="2">
        <v>10102.867016001701</v>
      </c>
      <c r="O11" s="2">
        <v>22221.994030720201</v>
      </c>
      <c r="P11" s="2">
        <v>0</v>
      </c>
      <c r="Q11" s="2">
        <v>20885.759301907899</v>
      </c>
      <c r="R11" s="2">
        <v>20270.2952668543</v>
      </c>
      <c r="S11" s="2">
        <v>199481.46802504899</v>
      </c>
      <c r="T11" s="2">
        <v>205227.20485845601</v>
      </c>
      <c r="U11" s="2">
        <v>1482933.3767013701</v>
      </c>
      <c r="V11" s="2">
        <v>236482.79361884599</v>
      </c>
      <c r="W11" s="2">
        <v>1469134.54987537</v>
      </c>
      <c r="X11" s="2">
        <v>461355.37462950498</v>
      </c>
      <c r="Y11" s="2">
        <v>33273.0943121089</v>
      </c>
      <c r="Z11" s="2">
        <v>4138.9251592423998</v>
      </c>
      <c r="AA11" s="2">
        <v>5656.2977207382401</v>
      </c>
      <c r="AB11" s="2">
        <v>942574.20013146603</v>
      </c>
      <c r="AC11" s="2">
        <v>50865.9589065736</v>
      </c>
      <c r="AD11" s="2">
        <v>121440.42590161299</v>
      </c>
      <c r="AE11" s="2">
        <v>89156.974283728094</v>
      </c>
      <c r="AF11" s="2">
        <v>39371.163399066201</v>
      </c>
      <c r="AG11" s="2">
        <v>281103.44610680599</v>
      </c>
      <c r="AH11" s="2">
        <v>1416238.77590279</v>
      </c>
      <c r="AI11" s="2">
        <v>7780.7742333492097</v>
      </c>
      <c r="AJ11" s="2">
        <v>61797.1124882125</v>
      </c>
      <c r="AK11" s="6">
        <v>12358499.7239138</v>
      </c>
    </row>
    <row r="12" spans="1:37" x14ac:dyDescent="0.25">
      <c r="A12" s="20" t="s">
        <v>28</v>
      </c>
      <c r="B12" s="6">
        <f>SUM(B3:B11)</f>
        <v>277629.51973889413</v>
      </c>
      <c r="C12" s="6">
        <f t="shared" ref="C12:AK12" si="0">SUM(C3:C11)</f>
        <v>1131628.9825800674</v>
      </c>
      <c r="D12" s="6">
        <f t="shared" si="0"/>
        <v>62714.985060392239</v>
      </c>
      <c r="E12" s="6">
        <f t="shared" si="0"/>
        <v>23913.700803635347</v>
      </c>
      <c r="F12" s="6">
        <f t="shared" si="0"/>
        <v>50926.16258330601</v>
      </c>
      <c r="G12" s="6">
        <f t="shared" si="0"/>
        <v>276971.36168531771</v>
      </c>
      <c r="H12" s="6">
        <f t="shared" si="0"/>
        <v>25836210.564415816</v>
      </c>
      <c r="I12" s="6">
        <f t="shared" si="0"/>
        <v>515596.94137294561</v>
      </c>
      <c r="J12" s="6">
        <f t="shared" si="0"/>
        <v>776159.06700322998</v>
      </c>
      <c r="K12" s="6">
        <f t="shared" si="0"/>
        <v>19496616.636545084</v>
      </c>
      <c r="L12" s="6">
        <f t="shared" si="0"/>
        <v>5713080.8847076315</v>
      </c>
      <c r="M12" s="2">
        <f t="shared" si="0"/>
        <v>427696.30109888408</v>
      </c>
      <c r="N12" s="2">
        <f t="shared" si="0"/>
        <v>2975504.1806691531</v>
      </c>
      <c r="O12" s="2">
        <f t="shared" si="0"/>
        <v>2105742.7048449065</v>
      </c>
      <c r="P12" s="2">
        <f t="shared" si="0"/>
        <v>0</v>
      </c>
      <c r="Q12" s="2">
        <f t="shared" si="0"/>
        <v>10665585.122386757</v>
      </c>
      <c r="R12" s="2">
        <f t="shared" si="0"/>
        <v>4236033.6500354819</v>
      </c>
      <c r="S12" s="2">
        <f t="shared" si="0"/>
        <v>6349956.0037487559</v>
      </c>
      <c r="T12" s="2">
        <f t="shared" si="0"/>
        <v>95067532.070388556</v>
      </c>
      <c r="U12" s="2">
        <f t="shared" si="0"/>
        <v>16318371.682855705</v>
      </c>
      <c r="V12" s="2">
        <f t="shared" si="0"/>
        <v>34536053.808712162</v>
      </c>
      <c r="W12" s="2">
        <f t="shared" si="0"/>
        <v>26035754.244057395</v>
      </c>
      <c r="X12" s="2">
        <f t="shared" si="0"/>
        <v>8381205.3566433499</v>
      </c>
      <c r="Y12" s="2">
        <f t="shared" si="0"/>
        <v>6559969.6920536896</v>
      </c>
      <c r="Z12" s="2">
        <f t="shared" si="0"/>
        <v>294411.74475010479</v>
      </c>
      <c r="AA12" s="2">
        <f t="shared" si="0"/>
        <v>2353807.5271697342</v>
      </c>
      <c r="AB12" s="2">
        <f t="shared" si="0"/>
        <v>86654200.473835215</v>
      </c>
      <c r="AC12" s="2">
        <f t="shared" si="0"/>
        <v>4866241.1355110211</v>
      </c>
      <c r="AD12" s="2">
        <f t="shared" si="0"/>
        <v>4432872.0515277535</v>
      </c>
      <c r="AE12" s="2">
        <f t="shared" si="0"/>
        <v>6737710.6299224002</v>
      </c>
      <c r="AF12" s="2">
        <f t="shared" si="0"/>
        <v>2201078.1266474929</v>
      </c>
      <c r="AG12" s="2">
        <f t="shared" si="0"/>
        <v>19498036.845449694</v>
      </c>
      <c r="AH12" s="2">
        <f t="shared" si="0"/>
        <v>32841354.823034778</v>
      </c>
      <c r="AI12" s="2">
        <f t="shared" si="0"/>
        <v>1159634.6099741217</v>
      </c>
      <c r="AJ12" s="2">
        <f t="shared" si="0"/>
        <v>1068664.4871168064</v>
      </c>
      <c r="AK12" s="2">
        <f t="shared" si="0"/>
        <v>252211124.20355976</v>
      </c>
    </row>
    <row r="14" spans="1:37" ht="15" customHeight="1" x14ac:dyDescent="0.25">
      <c r="B14" s="3" t="s">
        <v>20</v>
      </c>
      <c r="C14" s="3" t="s">
        <v>21</v>
      </c>
      <c r="D14" s="3" t="s">
        <v>2</v>
      </c>
      <c r="E14" s="3" t="s">
        <v>22</v>
      </c>
      <c r="F14" s="3" t="s">
        <v>4</v>
      </c>
      <c r="G14" s="3" t="s">
        <v>23</v>
      </c>
      <c r="H14" s="3" t="s">
        <v>15</v>
      </c>
      <c r="I14" s="3" t="s">
        <v>7</v>
      </c>
      <c r="J14" s="3" t="s">
        <v>24</v>
      </c>
      <c r="K14" s="3" t="s">
        <v>25</v>
      </c>
      <c r="L14" s="3" t="s">
        <v>10</v>
      </c>
      <c r="M14" s="3" t="s">
        <v>26</v>
      </c>
      <c r="N14" s="3" t="s">
        <v>27</v>
      </c>
      <c r="O14" s="3" t="s">
        <v>13</v>
      </c>
    </row>
    <row r="15" spans="1:37" ht="15" customHeight="1" x14ac:dyDescent="0.25">
      <c r="A15" s="3" t="s">
        <v>86</v>
      </c>
      <c r="B15" s="5">
        <f>SUM(B12:H12)</f>
        <v>27659995.276867431</v>
      </c>
      <c r="C15" s="5">
        <f>SUM(I12:L12)</f>
        <v>26501453.529628888</v>
      </c>
      <c r="D15" s="5">
        <f>M12</f>
        <v>427696.30109888408</v>
      </c>
      <c r="E15" s="5">
        <f>SUM(N12:Q12)</f>
        <v>15746832.007900817</v>
      </c>
      <c r="F15" s="5">
        <f>SUM(R12)</f>
        <v>4236033.6500354819</v>
      </c>
      <c r="G15" s="5">
        <f>SUM(S12:T12)</f>
        <v>101417488.07413732</v>
      </c>
      <c r="H15" s="5">
        <f>U12</f>
        <v>16318371.682855705</v>
      </c>
      <c r="I15" s="5">
        <f>V12</f>
        <v>34536053.808712162</v>
      </c>
      <c r="J15" s="5">
        <f>W12+X12</f>
        <v>34416959.600700743</v>
      </c>
      <c r="K15" s="5">
        <f>Y12+Z12+AA12</f>
        <v>9208188.9639735296</v>
      </c>
      <c r="L15" s="5">
        <f>SUM(AB12:AH12)</f>
        <v>157231494.08592838</v>
      </c>
      <c r="M15" s="5">
        <f>AI12</f>
        <v>1159634.6099741217</v>
      </c>
      <c r="N15" s="5">
        <f>AJ12</f>
        <v>1068664.4871168064</v>
      </c>
      <c r="O15" s="6">
        <f>AK12</f>
        <v>252211124.20355976</v>
      </c>
    </row>
    <row r="16" spans="1:37" x14ac:dyDescent="0.25">
      <c r="A16" s="3" t="s">
        <v>87</v>
      </c>
      <c r="B16" s="6">
        <f>'Non-Durables'!B7</f>
        <v>2296562.5215806728</v>
      </c>
      <c r="C16" s="6">
        <f>'Non-Durables'!C7</f>
        <v>1602496.5999117307</v>
      </c>
      <c r="D16" s="6">
        <f>'Non-Durables'!D7</f>
        <v>327848930.94997102</v>
      </c>
      <c r="E16" s="6">
        <f>'Non-Durables'!E7</f>
        <v>222927780.02871886</v>
      </c>
      <c r="F16" s="6">
        <f>'Non-Durables'!F7</f>
        <v>155657.038488155</v>
      </c>
      <c r="G16" s="6">
        <f>'Non-Durables'!G7</f>
        <v>519823.54195353901</v>
      </c>
      <c r="H16" s="6">
        <f>'Non-Durables'!H7</f>
        <v>1732679.4823765999</v>
      </c>
      <c r="I16" s="6">
        <f>'Non-Durables'!I7</f>
        <v>47318556.128812298</v>
      </c>
      <c r="J16" s="6">
        <f>'Non-Durables'!J7</f>
        <v>1730060.865025111</v>
      </c>
      <c r="K16" s="6">
        <f>'Non-Durables'!K7</f>
        <v>795791.85790285142</v>
      </c>
      <c r="L16" s="6">
        <f>'Non-Durables'!L7</f>
        <v>315553844.21650696</v>
      </c>
      <c r="M16" s="6">
        <f>'Non-Durables'!M7</f>
        <v>146587.115853642</v>
      </c>
      <c r="N16" s="6">
        <f>'Non-Durables'!N7</f>
        <v>661530.79803285596</v>
      </c>
      <c r="O16" s="6">
        <v>241880000</v>
      </c>
    </row>
    <row r="18" spans="2:6" x14ac:dyDescent="0.25">
      <c r="B18" s="2" t="s">
        <v>77</v>
      </c>
      <c r="C18" s="6">
        <v>370938377.13435763</v>
      </c>
      <c r="E18" s="2" t="s">
        <v>13</v>
      </c>
      <c r="F18" s="2">
        <v>252211124.20355976</v>
      </c>
    </row>
    <row r="19" spans="2:6" x14ac:dyDescent="0.25">
      <c r="B19" s="2" t="s">
        <v>81</v>
      </c>
      <c r="C19" s="6">
        <v>124416737.61826</v>
      </c>
      <c r="E19" s="2" t="s">
        <v>10</v>
      </c>
      <c r="F19" s="6">
        <v>157231494.08592838</v>
      </c>
    </row>
    <row r="20" spans="2:6" x14ac:dyDescent="0.25">
      <c r="B20" s="2" t="s">
        <v>82</v>
      </c>
      <c r="C20" s="6">
        <v>84539812.933204502</v>
      </c>
      <c r="E20" s="2" t="s">
        <v>23</v>
      </c>
      <c r="F20" s="6">
        <v>101417488.07413732</v>
      </c>
    </row>
    <row r="21" spans="2:6" x14ac:dyDescent="0.25">
      <c r="B21" s="2" t="s">
        <v>84</v>
      </c>
      <c r="C21" s="6">
        <v>64246447.063908443</v>
      </c>
      <c r="E21" s="2" t="s">
        <v>7</v>
      </c>
      <c r="F21" s="6">
        <v>34536053.808712162</v>
      </c>
    </row>
    <row r="22" spans="2:6" x14ac:dyDescent="0.25">
      <c r="B22" s="2" t="s">
        <v>85</v>
      </c>
      <c r="C22" s="6">
        <v>19803328.839106265</v>
      </c>
      <c r="E22" s="2" t="s">
        <v>24</v>
      </c>
      <c r="F22" s="6">
        <v>34416959.600700743</v>
      </c>
    </row>
    <row r="23" spans="2:6" x14ac:dyDescent="0.25">
      <c r="B23" s="2" t="s">
        <v>78</v>
      </c>
      <c r="C23" s="6">
        <v>9365642.5373109076</v>
      </c>
      <c r="E23" s="2" t="s">
        <v>20</v>
      </c>
      <c r="F23" s="6">
        <v>27659995.276867431</v>
      </c>
    </row>
    <row r="24" spans="2:6" x14ac:dyDescent="0.25">
      <c r="B24" s="2" t="s">
        <v>83</v>
      </c>
      <c r="C24" s="6">
        <v>6751610.9403696675</v>
      </c>
      <c r="E24" s="2" t="s">
        <v>21</v>
      </c>
      <c r="F24" s="6">
        <v>26501453.529628888</v>
      </c>
    </row>
    <row r="25" spans="2:6" x14ac:dyDescent="0.25">
      <c r="B25" s="2" t="s">
        <v>79</v>
      </c>
      <c r="C25" s="6">
        <v>1138616.1862120738</v>
      </c>
      <c r="E25" s="2" t="s">
        <v>15</v>
      </c>
      <c r="F25" s="6">
        <v>16318371.682855705</v>
      </c>
    </row>
    <row r="26" spans="2:6" x14ac:dyDescent="0.25">
      <c r="B26" s="2" t="s">
        <v>80</v>
      </c>
      <c r="C26" s="6">
        <v>939417.02976042894</v>
      </c>
      <c r="E26" s="2" t="s">
        <v>22</v>
      </c>
      <c r="F26" s="6">
        <v>15746832.007900817</v>
      </c>
    </row>
    <row r="27" spans="2:6" x14ac:dyDescent="0.25">
      <c r="E27" s="2" t="s">
        <v>25</v>
      </c>
      <c r="F27" s="6">
        <v>9208188.9639735296</v>
      </c>
    </row>
    <row r="28" spans="2:6" x14ac:dyDescent="0.25">
      <c r="E28" s="2" t="s">
        <v>4</v>
      </c>
      <c r="F28" s="6">
        <v>4236033.6500354819</v>
      </c>
    </row>
    <row r="29" spans="2:6" x14ac:dyDescent="0.25">
      <c r="E29" s="2" t="s">
        <v>26</v>
      </c>
      <c r="F29" s="6">
        <v>1159634.6099741217</v>
      </c>
    </row>
    <row r="30" spans="2:6" x14ac:dyDescent="0.25">
      <c r="E30" s="2" t="s">
        <v>27</v>
      </c>
      <c r="F30" s="6">
        <v>1068664.4871168064</v>
      </c>
    </row>
    <row r="31" spans="2:6" x14ac:dyDescent="0.25">
      <c r="E31" s="2" t="s">
        <v>2</v>
      </c>
      <c r="F31" s="6">
        <v>427696.30109888408</v>
      </c>
    </row>
  </sheetData>
  <sortState xmlns:xlrd2="http://schemas.microsoft.com/office/spreadsheetml/2017/richdata2" ref="E18:F31">
    <sortCondition descending="1" ref="F18:F31"/>
  </sortState>
  <mergeCells count="7">
    <mergeCell ref="AB1:AH1"/>
    <mergeCell ref="B1:H1"/>
    <mergeCell ref="I1:L1"/>
    <mergeCell ref="N1:Q1"/>
    <mergeCell ref="S1:T1"/>
    <mergeCell ref="W1:X1"/>
    <mergeCell ref="Y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059B-9B20-4326-B0E4-ACA8FFFA3098}">
  <dimension ref="A1:Y1000"/>
  <sheetViews>
    <sheetView workbookViewId="0">
      <selection activeCell="M27" sqref="M27"/>
    </sheetView>
  </sheetViews>
  <sheetFormatPr defaultColWidth="14.42578125" defaultRowHeight="15" x14ac:dyDescent="0.25"/>
  <cols>
    <col min="1" max="2" width="8.7109375" style="2" customWidth="1"/>
    <col min="3" max="3" width="12" style="2" customWidth="1"/>
    <col min="4" max="7" width="11.28515625" style="2" customWidth="1"/>
    <col min="8" max="8" width="13.5703125" style="2" customWidth="1"/>
    <col min="9" max="26" width="8.7109375" style="2" customWidth="1"/>
    <col min="27" max="16384" width="14.42578125" style="2"/>
  </cols>
  <sheetData>
    <row r="1" spans="1:25" ht="14.25" customHeight="1" x14ac:dyDescent="0.25">
      <c r="F1" s="24" t="s">
        <v>30</v>
      </c>
      <c r="G1" s="25"/>
      <c r="H1" s="25"/>
      <c r="I1" s="25"/>
      <c r="J1" s="25"/>
      <c r="K1" s="25"/>
      <c r="L1" s="25"/>
      <c r="M1" s="26" t="s">
        <v>31</v>
      </c>
      <c r="N1" s="25"/>
      <c r="O1" s="25"/>
      <c r="P1" s="26" t="s">
        <v>32</v>
      </c>
      <c r="Q1" s="25"/>
      <c r="R1" s="26" t="s">
        <v>33</v>
      </c>
      <c r="S1" s="25"/>
      <c r="T1" s="26" t="s">
        <v>34</v>
      </c>
      <c r="U1" s="25"/>
      <c r="V1" s="25"/>
      <c r="W1" s="25"/>
      <c r="X1" s="25"/>
      <c r="Y1" s="25"/>
    </row>
    <row r="2" spans="1:25" ht="14.25" customHeight="1" x14ac:dyDescent="0.25">
      <c r="A2" s="30"/>
      <c r="B2" s="27" t="s">
        <v>72</v>
      </c>
      <c r="C2" s="27" t="s">
        <v>73</v>
      </c>
      <c r="D2" s="27" t="s">
        <v>74</v>
      </c>
      <c r="E2" s="27" t="s">
        <v>75</v>
      </c>
      <c r="F2" s="27" t="s">
        <v>35</v>
      </c>
      <c r="G2" s="27" t="s">
        <v>36</v>
      </c>
      <c r="H2" s="27" t="s">
        <v>37</v>
      </c>
      <c r="I2" s="27" t="s">
        <v>38</v>
      </c>
      <c r="J2" s="27" t="s">
        <v>39</v>
      </c>
      <c r="K2" s="27" t="s">
        <v>40</v>
      </c>
      <c r="L2" s="27" t="s">
        <v>41</v>
      </c>
      <c r="M2" s="27" t="s">
        <v>42</v>
      </c>
      <c r="N2" s="27" t="s">
        <v>43</v>
      </c>
      <c r="O2" s="27" t="s">
        <v>44</v>
      </c>
      <c r="P2" s="27" t="s">
        <v>45</v>
      </c>
      <c r="Q2" s="27" t="s">
        <v>46</v>
      </c>
      <c r="R2" s="27" t="s">
        <v>47</v>
      </c>
      <c r="S2" s="27" t="s">
        <v>48</v>
      </c>
      <c r="T2" s="27" t="s">
        <v>49</v>
      </c>
      <c r="U2" s="27" t="s">
        <v>50</v>
      </c>
      <c r="V2" s="27" t="s">
        <v>51</v>
      </c>
      <c r="W2" s="27" t="s">
        <v>52</v>
      </c>
      <c r="X2" s="27" t="s">
        <v>53</v>
      </c>
      <c r="Y2" s="27" t="s">
        <v>54</v>
      </c>
    </row>
    <row r="3" spans="1:25" ht="14.25" customHeight="1" x14ac:dyDescent="0.25">
      <c r="A3" s="27" t="s">
        <v>68</v>
      </c>
      <c r="B3" s="14">
        <v>0</v>
      </c>
      <c r="C3" s="12">
        <v>0</v>
      </c>
      <c r="D3" s="12">
        <v>0</v>
      </c>
      <c r="E3" s="12">
        <v>0</v>
      </c>
      <c r="F3" s="12">
        <v>16637567.999688501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730192.17268644203</v>
      </c>
      <c r="N3" s="12">
        <v>0</v>
      </c>
      <c r="O3" s="12">
        <v>0</v>
      </c>
      <c r="P3" s="12">
        <v>3925074.8100831201</v>
      </c>
      <c r="Q3" s="12">
        <v>0</v>
      </c>
      <c r="R3" s="12">
        <v>569048.40123061906</v>
      </c>
      <c r="S3" s="12">
        <v>0</v>
      </c>
      <c r="T3" s="12">
        <v>42703826.969454996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</row>
    <row r="4" spans="1:25" ht="14.25" customHeight="1" x14ac:dyDescent="0.25">
      <c r="A4" s="27" t="s">
        <v>69</v>
      </c>
      <c r="B4" s="12">
        <v>309753317.699148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</row>
    <row r="5" spans="1:25" ht="14.25" customHeight="1" x14ac:dyDescent="0.25">
      <c r="A5" s="27" t="s">
        <v>64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2062035.77406101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6933172.5206346903</v>
      </c>
      <c r="Y5" s="12">
        <v>0</v>
      </c>
    </row>
    <row r="6" spans="1:25" ht="14.25" customHeight="1" x14ac:dyDescent="0.25">
      <c r="A6" s="27" t="s">
        <v>65</v>
      </c>
      <c r="B6" s="12">
        <v>0</v>
      </c>
      <c r="C6" s="12">
        <v>36251208.237779103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14718737.991625199</v>
      </c>
      <c r="L6" s="12">
        <v>0</v>
      </c>
      <c r="M6" s="12">
        <v>0</v>
      </c>
      <c r="N6" s="12">
        <v>909152.86996766995</v>
      </c>
      <c r="O6" s="12">
        <v>0</v>
      </c>
      <c r="P6" s="12">
        <v>0</v>
      </c>
      <c r="Q6" s="12">
        <v>2081898.45230438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31319252.437318798</v>
      </c>
    </row>
    <row r="7" spans="1:25" ht="14.25" customHeight="1" x14ac:dyDescent="0.25">
      <c r="A7" s="27" t="s">
        <v>66</v>
      </c>
      <c r="B7" s="12">
        <v>0</v>
      </c>
      <c r="C7" s="12">
        <v>0</v>
      </c>
      <c r="D7" s="12">
        <v>31336391.4725607</v>
      </c>
      <c r="E7" s="12">
        <v>0</v>
      </c>
      <c r="F7" s="12">
        <v>0</v>
      </c>
      <c r="G7" s="12">
        <v>16846156.651215501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1936649.7230738499</v>
      </c>
      <c r="R7" s="12">
        <v>0</v>
      </c>
      <c r="S7" s="12">
        <v>0</v>
      </c>
      <c r="T7" s="12">
        <v>0</v>
      </c>
      <c r="U7" s="12">
        <v>33203183.39985</v>
      </c>
      <c r="V7" s="12">
        <v>0</v>
      </c>
      <c r="W7" s="12">
        <v>0</v>
      </c>
      <c r="X7" s="12">
        <v>0</v>
      </c>
      <c r="Y7" s="12">
        <v>0</v>
      </c>
    </row>
    <row r="8" spans="1:25" ht="14.25" customHeight="1" x14ac:dyDescent="0.25">
      <c r="A8" s="27" t="s">
        <v>67</v>
      </c>
      <c r="B8" s="12">
        <v>0</v>
      </c>
      <c r="C8" s="12">
        <v>0</v>
      </c>
      <c r="D8" s="12">
        <v>0</v>
      </c>
      <c r="E8" s="12">
        <v>18991463.442525901</v>
      </c>
      <c r="F8" s="12">
        <v>0</v>
      </c>
      <c r="G8" s="12">
        <v>0</v>
      </c>
      <c r="H8" s="12">
        <v>0</v>
      </c>
      <c r="I8" s="12">
        <v>42470920.459367298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291366228.00454497</v>
      </c>
      <c r="X8" s="12">
        <v>0</v>
      </c>
      <c r="Y8" s="12">
        <v>0</v>
      </c>
    </row>
    <row r="9" spans="1:25" ht="14.25" customHeight="1" x14ac:dyDescent="0.25">
      <c r="A9" s="27" t="s">
        <v>76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</row>
    <row r="10" spans="1:25" ht="14.25" customHeight="1" x14ac:dyDescent="0.25">
      <c r="A10" s="27" t="s">
        <v>70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9841424.1421893109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693579.64409708604</v>
      </c>
      <c r="P10" s="12">
        <v>0</v>
      </c>
      <c r="Q10" s="12">
        <v>0</v>
      </c>
      <c r="R10" s="12">
        <v>0</v>
      </c>
      <c r="S10" s="12">
        <v>22189155.382755201</v>
      </c>
      <c r="T10" s="12">
        <v>0</v>
      </c>
      <c r="U10" s="12">
        <v>0</v>
      </c>
      <c r="V10" s="12">
        <v>0</v>
      </c>
      <c r="W10" s="12">
        <v>44803793.906830899</v>
      </c>
      <c r="X10" s="12">
        <v>0</v>
      </c>
      <c r="Y10" s="12">
        <v>0</v>
      </c>
    </row>
    <row r="11" spans="1:25" ht="14.25" customHeight="1" x14ac:dyDescent="0.25"/>
    <row r="12" spans="1:25" ht="14.25" customHeight="1" x14ac:dyDescent="0.25"/>
    <row r="13" spans="1:25" ht="14.25" customHeight="1" x14ac:dyDescent="0.25"/>
    <row r="14" spans="1:25" ht="14.25" customHeight="1" x14ac:dyDescent="0.25">
      <c r="A14" s="31"/>
      <c r="B14" s="12" t="s">
        <v>69</v>
      </c>
      <c r="C14" s="12" t="s">
        <v>26</v>
      </c>
      <c r="D14" s="20" t="s">
        <v>30</v>
      </c>
      <c r="E14" s="27" t="s">
        <v>31</v>
      </c>
      <c r="F14" s="27" t="s">
        <v>32</v>
      </c>
      <c r="G14" s="27" t="s">
        <v>33</v>
      </c>
      <c r="H14" s="27" t="s">
        <v>34</v>
      </c>
      <c r="I14" s="20"/>
      <c r="J14" s="20"/>
    </row>
    <row r="15" spans="1:25" ht="14.25" customHeight="1" x14ac:dyDescent="0.25">
      <c r="A15" s="32"/>
      <c r="B15" s="12" t="s">
        <v>69</v>
      </c>
      <c r="C15" s="12" t="s">
        <v>26</v>
      </c>
      <c r="D15" s="20" t="s">
        <v>30</v>
      </c>
      <c r="E15" s="27" t="s">
        <v>31</v>
      </c>
      <c r="F15" s="27" t="s">
        <v>32</v>
      </c>
      <c r="G15" s="27" t="s">
        <v>33</v>
      </c>
      <c r="H15" s="27" t="s">
        <v>34</v>
      </c>
      <c r="I15" s="4"/>
      <c r="J15" s="4"/>
      <c r="K15" s="4"/>
      <c r="M15" s="6"/>
      <c r="T15" s="4"/>
      <c r="U15" s="4"/>
      <c r="V15" s="4"/>
      <c r="W15" s="4"/>
    </row>
    <row r="16" spans="1:25" ht="14.25" customHeight="1" x14ac:dyDescent="0.25">
      <c r="A16" s="27" t="s">
        <v>68</v>
      </c>
      <c r="B16" s="14">
        <f t="shared" ref="B16:B21" si="0">B3</f>
        <v>0</v>
      </c>
      <c r="C16" s="14">
        <f t="shared" ref="C16:C21" si="1">SUM(C3:E3)</f>
        <v>0</v>
      </c>
      <c r="D16" s="14">
        <f t="shared" ref="D16:D21" si="2">SUM(F3:L3)</f>
        <v>16637567.999688501</v>
      </c>
      <c r="E16" s="14">
        <f t="shared" ref="E16:E21" si="3">SUM(M3:O3)</f>
        <v>730192.17268644203</v>
      </c>
      <c r="F16" s="14">
        <f t="shared" ref="F16:F21" si="4">SUM(P3:Q3)</f>
        <v>3925074.8100831201</v>
      </c>
      <c r="G16" s="14">
        <f t="shared" ref="G16:G21" si="5">SUM(R3:S3)</f>
        <v>569048.40123061906</v>
      </c>
      <c r="H16" s="14">
        <f t="shared" ref="H16:H21" si="6">SUM(T3:Y3)</f>
        <v>42703826.969454996</v>
      </c>
      <c r="I16" s="33">
        <f>H16/H$23*100</f>
        <v>9.4827967131685522</v>
      </c>
      <c r="M16" s="6"/>
    </row>
    <row r="17" spans="1:19" ht="14.25" customHeight="1" x14ac:dyDescent="0.25">
      <c r="A17" s="27" t="s">
        <v>69</v>
      </c>
      <c r="B17" s="14">
        <f t="shared" si="0"/>
        <v>309753317.699148</v>
      </c>
      <c r="C17" s="14">
        <f t="shared" si="1"/>
        <v>0</v>
      </c>
      <c r="D17" s="14">
        <f t="shared" si="2"/>
        <v>0</v>
      </c>
      <c r="E17" s="14">
        <f t="shared" si="3"/>
        <v>0</v>
      </c>
      <c r="F17" s="14">
        <f t="shared" si="4"/>
        <v>0</v>
      </c>
      <c r="G17" s="14">
        <f t="shared" si="5"/>
        <v>0</v>
      </c>
      <c r="H17" s="14">
        <f t="shared" si="6"/>
        <v>0</v>
      </c>
      <c r="I17" s="33">
        <f t="shared" ref="I17:I22" si="7">H17/H$23*100</f>
        <v>0</v>
      </c>
      <c r="L17" s="32"/>
      <c r="M17" s="12"/>
      <c r="N17" s="12"/>
      <c r="O17" s="20"/>
      <c r="P17" s="27"/>
      <c r="Q17" s="27"/>
      <c r="R17" s="27"/>
      <c r="S17" s="27"/>
    </row>
    <row r="18" spans="1:19" ht="14.25" customHeight="1" x14ac:dyDescent="0.25">
      <c r="A18" s="27" t="s">
        <v>64</v>
      </c>
      <c r="B18" s="14">
        <f t="shared" si="0"/>
        <v>0</v>
      </c>
      <c r="C18" s="14">
        <f t="shared" si="1"/>
        <v>0</v>
      </c>
      <c r="D18" s="14">
        <f t="shared" si="2"/>
        <v>2062035.77406101</v>
      </c>
      <c r="E18" s="14">
        <f t="shared" si="3"/>
        <v>0</v>
      </c>
      <c r="F18" s="14">
        <f t="shared" si="4"/>
        <v>0</v>
      </c>
      <c r="G18" s="14">
        <f t="shared" si="5"/>
        <v>0</v>
      </c>
      <c r="H18" s="14">
        <f t="shared" si="6"/>
        <v>6933172.5206346903</v>
      </c>
      <c r="I18" s="33">
        <f t="shared" si="7"/>
        <v>1.539577837778604</v>
      </c>
      <c r="L18" s="27"/>
      <c r="M18" s="14"/>
      <c r="N18" s="14"/>
      <c r="O18" s="14"/>
      <c r="P18" s="14"/>
      <c r="Q18" s="14"/>
      <c r="R18" s="14"/>
      <c r="S18" s="14"/>
    </row>
    <row r="19" spans="1:19" ht="14.25" customHeight="1" x14ac:dyDescent="0.25">
      <c r="A19" s="27" t="s">
        <v>65</v>
      </c>
      <c r="B19" s="14">
        <f t="shared" si="0"/>
        <v>0</v>
      </c>
      <c r="C19" s="14">
        <f t="shared" si="1"/>
        <v>36251208.237779103</v>
      </c>
      <c r="D19" s="14">
        <f t="shared" si="2"/>
        <v>14718737.991625199</v>
      </c>
      <c r="E19" s="14">
        <f t="shared" si="3"/>
        <v>909152.86996766995</v>
      </c>
      <c r="F19" s="14">
        <f t="shared" si="4"/>
        <v>2081898.45230438</v>
      </c>
      <c r="G19" s="14">
        <f t="shared" si="5"/>
        <v>0</v>
      </c>
      <c r="H19" s="14">
        <f t="shared" si="6"/>
        <v>31319252.437318798</v>
      </c>
      <c r="I19" s="33">
        <f t="shared" si="7"/>
        <v>6.9547421191064549</v>
      </c>
    </row>
    <row r="20" spans="1:19" ht="14.25" customHeight="1" x14ac:dyDescent="0.25">
      <c r="A20" s="27" t="s">
        <v>66</v>
      </c>
      <c r="B20" s="14">
        <f t="shared" si="0"/>
        <v>0</v>
      </c>
      <c r="C20" s="14">
        <f t="shared" si="1"/>
        <v>31336391.4725607</v>
      </c>
      <c r="D20" s="14">
        <f t="shared" si="2"/>
        <v>16846156.651215501</v>
      </c>
      <c r="E20" s="14">
        <f t="shared" si="3"/>
        <v>0</v>
      </c>
      <c r="F20" s="14">
        <f t="shared" si="4"/>
        <v>1936649.7230738499</v>
      </c>
      <c r="G20" s="14">
        <f t="shared" si="5"/>
        <v>0</v>
      </c>
      <c r="H20" s="14">
        <f t="shared" si="6"/>
        <v>33203183.39985</v>
      </c>
      <c r="I20" s="33">
        <f t="shared" si="7"/>
        <v>7.3730871623295293</v>
      </c>
      <c r="Q20" s="34"/>
      <c r="R20" s="34"/>
    </row>
    <row r="21" spans="1:19" ht="14.25" customHeight="1" x14ac:dyDescent="0.25">
      <c r="A21" s="27" t="s">
        <v>67</v>
      </c>
      <c r="B21" s="14">
        <f t="shared" si="0"/>
        <v>0</v>
      </c>
      <c r="C21" s="14">
        <f t="shared" si="1"/>
        <v>18991463.442525901</v>
      </c>
      <c r="D21" s="14">
        <f t="shared" si="2"/>
        <v>42470920.459367298</v>
      </c>
      <c r="E21" s="14">
        <f t="shared" si="3"/>
        <v>0</v>
      </c>
      <c r="F21" s="14">
        <f t="shared" si="4"/>
        <v>0</v>
      </c>
      <c r="G21" s="14">
        <f t="shared" si="5"/>
        <v>0</v>
      </c>
      <c r="H21" s="14">
        <f t="shared" si="6"/>
        <v>291366228.00454497</v>
      </c>
      <c r="I21" s="33">
        <f>H21/H$23*100</f>
        <v>64.70068153905973</v>
      </c>
      <c r="O21" s="27"/>
    </row>
    <row r="22" spans="1:19" ht="14.25" customHeight="1" x14ac:dyDescent="0.25">
      <c r="A22" s="27" t="s">
        <v>70</v>
      </c>
      <c r="B22" s="14">
        <f>B10</f>
        <v>0</v>
      </c>
      <c r="C22" s="14">
        <f>SUM(C10:E10)</f>
        <v>0</v>
      </c>
      <c r="D22" s="14">
        <f>SUM(F10:L10)</f>
        <v>9841424.1421893109</v>
      </c>
      <c r="E22" s="14">
        <f>SUM(M10:O10)</f>
        <v>693579.64409708604</v>
      </c>
      <c r="F22" s="14">
        <f>SUM(P10:Q10)</f>
        <v>0</v>
      </c>
      <c r="G22" s="14">
        <f>SUM(R10:S10)</f>
        <v>22189155.382755201</v>
      </c>
      <c r="H22" s="14">
        <f>SUM(T10:Y10)</f>
        <v>44803793.906830899</v>
      </c>
      <c r="I22" s="33">
        <f t="shared" si="7"/>
        <v>9.9491146285571297</v>
      </c>
      <c r="M22" s="35"/>
      <c r="N22" s="27"/>
      <c r="O22" s="14"/>
      <c r="P22" s="6"/>
      <c r="Q22" s="6"/>
      <c r="R22" s="6"/>
    </row>
    <row r="23" spans="1:19" ht="14.25" customHeight="1" x14ac:dyDescent="0.25">
      <c r="A23" s="20" t="s">
        <v>28</v>
      </c>
      <c r="B23" s="14">
        <f t="shared" ref="B23:H23" si="8">SUM(B16:B22)</f>
        <v>309753317.699148</v>
      </c>
      <c r="C23" s="36">
        <f t="shared" si="8"/>
        <v>86579063.152865708</v>
      </c>
      <c r="D23" s="28">
        <f t="shared" si="8"/>
        <v>102576843.01814683</v>
      </c>
      <c r="E23" s="28">
        <f t="shared" si="8"/>
        <v>2332924.686751198</v>
      </c>
      <c r="F23" s="28">
        <f t="shared" si="8"/>
        <v>7943622.9854613505</v>
      </c>
      <c r="G23" s="28">
        <f t="shared" si="8"/>
        <v>22758203.78398582</v>
      </c>
      <c r="H23" s="28">
        <f t="shared" si="8"/>
        <v>450329457.23863435</v>
      </c>
      <c r="I23" s="6"/>
      <c r="M23" s="35"/>
      <c r="N23" s="27"/>
      <c r="O23" s="14"/>
      <c r="P23" s="6"/>
      <c r="Q23" s="6"/>
      <c r="R23" s="6"/>
    </row>
    <row r="24" spans="1:19" ht="14.25" customHeight="1" x14ac:dyDescent="0.25">
      <c r="M24" s="35"/>
      <c r="N24" s="27"/>
      <c r="O24" s="14"/>
      <c r="P24" s="6"/>
      <c r="Q24" s="6"/>
      <c r="R24" s="6"/>
    </row>
    <row r="25" spans="1:19" ht="14.25" customHeight="1" x14ac:dyDescent="0.25">
      <c r="M25" s="35"/>
      <c r="N25" s="27"/>
      <c r="O25" s="14"/>
      <c r="P25" s="6"/>
      <c r="Q25" s="6"/>
      <c r="R25" s="6"/>
    </row>
    <row r="26" spans="1:19" ht="14.25" customHeight="1" x14ac:dyDescent="0.25">
      <c r="M26" s="35"/>
      <c r="N26" s="27"/>
      <c r="O26" s="14"/>
      <c r="P26" s="6"/>
      <c r="Q26" s="6"/>
      <c r="R26" s="6"/>
    </row>
    <row r="27" spans="1:19" ht="14.25" customHeight="1" x14ac:dyDescent="0.25">
      <c r="M27" s="35"/>
      <c r="N27" s="27"/>
      <c r="O27" s="14"/>
      <c r="P27" s="6"/>
      <c r="Q27" s="6"/>
      <c r="R27" s="6"/>
    </row>
    <row r="28" spans="1:19" ht="14.25" customHeight="1" x14ac:dyDescent="0.25">
      <c r="M28" s="35"/>
      <c r="N28" s="27"/>
      <c r="O28" s="14"/>
      <c r="P28" s="6"/>
      <c r="Q28" s="6"/>
      <c r="R28" s="6"/>
    </row>
    <row r="29" spans="1:19" ht="14.25" customHeight="1" x14ac:dyDescent="0.25">
      <c r="L29" s="37"/>
      <c r="M29" s="35"/>
      <c r="O29" s="6"/>
      <c r="P29" s="6"/>
      <c r="Q29" s="6"/>
      <c r="R29" s="6"/>
    </row>
    <row r="30" spans="1:19" ht="14.25" customHeight="1" x14ac:dyDescent="0.25">
      <c r="L30" s="38"/>
      <c r="M30" s="35"/>
      <c r="O30" s="35"/>
      <c r="P30" s="35"/>
      <c r="Q30" s="35"/>
      <c r="R30" s="35"/>
    </row>
    <row r="31" spans="1:19" ht="14.25" customHeight="1" x14ac:dyDescent="0.25">
      <c r="M31" s="35"/>
    </row>
    <row r="32" spans="1:19" ht="14.25" customHeight="1" x14ac:dyDescent="0.25">
      <c r="M32" s="35"/>
    </row>
    <row r="33" spans="13:16" ht="14.25" customHeight="1" x14ac:dyDescent="0.25">
      <c r="M33" s="35"/>
      <c r="P33" s="35"/>
    </row>
    <row r="34" spans="13:16" ht="14.25" customHeight="1" x14ac:dyDescent="0.25">
      <c r="M34" s="35"/>
    </row>
    <row r="35" spans="13:16" ht="14.25" customHeight="1" x14ac:dyDescent="0.25"/>
    <row r="36" spans="13:16" ht="14.25" customHeight="1" x14ac:dyDescent="0.25"/>
    <row r="37" spans="13:16" ht="14.25" customHeight="1" x14ac:dyDescent="0.25"/>
    <row r="38" spans="13:16" ht="14.25" customHeight="1" x14ac:dyDescent="0.25"/>
    <row r="39" spans="13:16" ht="14.25" customHeight="1" x14ac:dyDescent="0.25"/>
    <row r="40" spans="13:16" ht="14.25" customHeight="1" x14ac:dyDescent="0.25"/>
    <row r="41" spans="13:16" ht="14.25" customHeight="1" x14ac:dyDescent="0.25"/>
    <row r="42" spans="13:16" ht="14.25" customHeight="1" x14ac:dyDescent="0.25"/>
    <row r="43" spans="13:16" ht="14.25" customHeight="1" x14ac:dyDescent="0.25"/>
    <row r="44" spans="13:16" ht="14.25" customHeight="1" x14ac:dyDescent="0.25"/>
    <row r="45" spans="13:16" ht="14.25" customHeight="1" x14ac:dyDescent="0.25"/>
    <row r="46" spans="13:16" ht="14.25" customHeight="1" x14ac:dyDescent="0.25"/>
    <row r="47" spans="13:16" ht="14.25" customHeight="1" x14ac:dyDescent="0.25"/>
    <row r="48" spans="13:16" ht="14.25" customHeight="1" x14ac:dyDescent="0.25"/>
    <row r="49" s="2" customFormat="1" ht="14.25" customHeight="1" x14ac:dyDescent="0.25"/>
    <row r="50" s="2" customFormat="1" ht="14.25" customHeight="1" x14ac:dyDescent="0.25"/>
    <row r="51" s="2" customFormat="1" ht="14.25" customHeight="1" x14ac:dyDescent="0.25"/>
    <row r="52" s="2" customFormat="1" ht="14.25" customHeight="1" x14ac:dyDescent="0.25"/>
    <row r="53" s="2" customFormat="1" ht="14.25" customHeight="1" x14ac:dyDescent="0.25"/>
    <row r="54" s="2" customFormat="1" ht="14.25" customHeight="1" x14ac:dyDescent="0.25"/>
    <row r="55" s="2" customFormat="1" ht="14.25" customHeight="1" x14ac:dyDescent="0.25"/>
    <row r="56" s="2" customFormat="1" ht="14.25" customHeight="1" x14ac:dyDescent="0.25"/>
    <row r="57" s="2" customFormat="1" ht="14.25" customHeight="1" x14ac:dyDescent="0.25"/>
    <row r="58" s="2" customFormat="1" ht="14.25" customHeight="1" x14ac:dyDescent="0.25"/>
    <row r="59" s="2" customFormat="1" ht="14.25" customHeight="1" x14ac:dyDescent="0.25"/>
    <row r="60" s="2" customFormat="1" ht="14.25" customHeight="1" x14ac:dyDescent="0.25"/>
    <row r="61" s="2" customFormat="1" ht="14.25" customHeight="1" x14ac:dyDescent="0.25"/>
    <row r="62" s="2" customFormat="1" ht="14.25" customHeight="1" x14ac:dyDescent="0.25"/>
    <row r="63" s="2" customFormat="1" ht="14.25" customHeight="1" x14ac:dyDescent="0.25"/>
    <row r="64" s="2" customFormat="1" ht="14.25" customHeight="1" x14ac:dyDescent="0.25"/>
    <row r="65" s="2" customFormat="1" ht="14.25" customHeight="1" x14ac:dyDescent="0.25"/>
    <row r="66" s="2" customFormat="1" ht="14.25" customHeight="1" x14ac:dyDescent="0.25"/>
    <row r="67" s="2" customFormat="1" ht="14.25" customHeight="1" x14ac:dyDescent="0.25"/>
    <row r="68" s="2" customFormat="1" ht="14.25" customHeight="1" x14ac:dyDescent="0.25"/>
    <row r="69" s="2" customFormat="1" ht="14.25" customHeight="1" x14ac:dyDescent="0.25"/>
    <row r="70" s="2" customFormat="1" ht="14.25" customHeight="1" x14ac:dyDescent="0.25"/>
    <row r="71" s="2" customFormat="1" ht="14.25" customHeight="1" x14ac:dyDescent="0.25"/>
    <row r="72" s="2" customFormat="1" ht="14.25" customHeight="1" x14ac:dyDescent="0.25"/>
    <row r="73" s="2" customFormat="1" ht="14.25" customHeight="1" x14ac:dyDescent="0.25"/>
    <row r="74" s="2" customFormat="1" ht="14.25" customHeight="1" x14ac:dyDescent="0.25"/>
    <row r="75" s="2" customFormat="1" ht="14.25" customHeight="1" x14ac:dyDescent="0.25"/>
    <row r="76" s="2" customFormat="1" ht="14.25" customHeight="1" x14ac:dyDescent="0.25"/>
    <row r="77" s="2" customFormat="1" ht="14.25" customHeight="1" x14ac:dyDescent="0.25"/>
    <row r="78" s="2" customFormat="1" ht="14.25" customHeight="1" x14ac:dyDescent="0.25"/>
    <row r="79" s="2" customFormat="1" ht="14.25" customHeight="1" x14ac:dyDescent="0.25"/>
    <row r="80" s="2" customFormat="1" ht="14.25" customHeight="1" x14ac:dyDescent="0.25"/>
    <row r="81" s="2" customFormat="1" ht="14.25" customHeight="1" x14ac:dyDescent="0.25"/>
    <row r="82" s="2" customFormat="1" ht="14.25" customHeight="1" x14ac:dyDescent="0.25"/>
    <row r="83" s="2" customFormat="1" ht="14.25" customHeight="1" x14ac:dyDescent="0.25"/>
    <row r="84" s="2" customFormat="1" ht="14.25" customHeight="1" x14ac:dyDescent="0.25"/>
    <row r="85" s="2" customFormat="1" ht="14.25" customHeight="1" x14ac:dyDescent="0.25"/>
    <row r="86" s="2" customFormat="1" ht="14.25" customHeight="1" x14ac:dyDescent="0.25"/>
    <row r="87" s="2" customFormat="1" ht="14.25" customHeight="1" x14ac:dyDescent="0.25"/>
    <row r="88" s="2" customFormat="1" ht="14.25" customHeight="1" x14ac:dyDescent="0.25"/>
    <row r="89" s="2" customFormat="1" ht="14.25" customHeight="1" x14ac:dyDescent="0.25"/>
    <row r="90" s="2" customFormat="1" ht="14.25" customHeight="1" x14ac:dyDescent="0.25"/>
    <row r="91" s="2" customFormat="1" ht="14.25" customHeight="1" x14ac:dyDescent="0.25"/>
    <row r="92" s="2" customFormat="1" ht="14.25" customHeight="1" x14ac:dyDescent="0.25"/>
    <row r="93" s="2" customFormat="1" ht="14.25" customHeight="1" x14ac:dyDescent="0.25"/>
    <row r="94" s="2" customFormat="1" ht="14.25" customHeight="1" x14ac:dyDescent="0.25"/>
    <row r="95" s="2" customFormat="1" ht="14.25" customHeight="1" x14ac:dyDescent="0.25"/>
    <row r="96" s="2" customFormat="1" ht="14.25" customHeight="1" x14ac:dyDescent="0.25"/>
    <row r="97" s="2" customFormat="1" ht="14.25" customHeight="1" x14ac:dyDescent="0.25"/>
    <row r="98" s="2" customFormat="1" ht="14.25" customHeight="1" x14ac:dyDescent="0.25"/>
    <row r="99" s="2" customFormat="1" ht="14.25" customHeight="1" x14ac:dyDescent="0.25"/>
    <row r="100" s="2" customFormat="1" ht="14.25" customHeight="1" x14ac:dyDescent="0.25"/>
    <row r="101" s="2" customFormat="1" ht="14.25" customHeight="1" x14ac:dyDescent="0.25"/>
    <row r="102" s="2" customFormat="1" ht="14.25" customHeight="1" x14ac:dyDescent="0.25"/>
    <row r="103" s="2" customFormat="1" ht="14.25" customHeight="1" x14ac:dyDescent="0.25"/>
    <row r="104" s="2" customFormat="1" ht="14.25" customHeight="1" x14ac:dyDescent="0.25"/>
    <row r="105" s="2" customFormat="1" ht="14.25" customHeight="1" x14ac:dyDescent="0.25"/>
    <row r="106" s="2" customFormat="1" ht="14.25" customHeight="1" x14ac:dyDescent="0.25"/>
    <row r="107" s="2" customFormat="1" ht="14.25" customHeight="1" x14ac:dyDescent="0.25"/>
    <row r="108" s="2" customFormat="1" ht="14.25" customHeight="1" x14ac:dyDescent="0.25"/>
    <row r="109" s="2" customFormat="1" ht="14.25" customHeight="1" x14ac:dyDescent="0.25"/>
    <row r="110" s="2" customFormat="1" ht="14.25" customHeight="1" x14ac:dyDescent="0.25"/>
    <row r="111" s="2" customFormat="1" ht="14.25" customHeight="1" x14ac:dyDescent="0.25"/>
    <row r="112" s="2" customFormat="1" ht="14.25" customHeight="1" x14ac:dyDescent="0.25"/>
    <row r="113" s="2" customFormat="1" ht="14.25" customHeight="1" x14ac:dyDescent="0.25"/>
    <row r="114" s="2" customFormat="1" ht="14.25" customHeight="1" x14ac:dyDescent="0.25"/>
    <row r="115" s="2" customFormat="1" ht="14.25" customHeight="1" x14ac:dyDescent="0.25"/>
    <row r="116" s="2" customFormat="1" ht="14.25" customHeight="1" x14ac:dyDescent="0.25"/>
    <row r="117" s="2" customFormat="1" ht="14.25" customHeight="1" x14ac:dyDescent="0.25"/>
    <row r="118" s="2" customFormat="1" ht="14.25" customHeight="1" x14ac:dyDescent="0.25"/>
    <row r="119" s="2" customFormat="1" ht="14.25" customHeight="1" x14ac:dyDescent="0.25"/>
    <row r="120" s="2" customFormat="1" ht="14.25" customHeight="1" x14ac:dyDescent="0.25"/>
    <row r="121" s="2" customFormat="1" ht="14.25" customHeight="1" x14ac:dyDescent="0.25"/>
    <row r="122" s="2" customFormat="1" ht="14.25" customHeight="1" x14ac:dyDescent="0.25"/>
    <row r="123" s="2" customFormat="1" ht="14.25" customHeight="1" x14ac:dyDescent="0.25"/>
    <row r="124" s="2" customFormat="1" ht="14.25" customHeight="1" x14ac:dyDescent="0.25"/>
    <row r="125" s="2" customFormat="1" ht="14.25" customHeight="1" x14ac:dyDescent="0.25"/>
    <row r="126" s="2" customFormat="1" ht="14.25" customHeight="1" x14ac:dyDescent="0.25"/>
    <row r="127" s="2" customFormat="1" ht="14.25" customHeight="1" x14ac:dyDescent="0.25"/>
    <row r="128" s="2" customFormat="1" ht="14.25" customHeight="1" x14ac:dyDescent="0.25"/>
    <row r="129" s="2" customFormat="1" ht="14.25" customHeight="1" x14ac:dyDescent="0.25"/>
    <row r="130" s="2" customFormat="1" ht="14.25" customHeight="1" x14ac:dyDescent="0.25"/>
    <row r="131" s="2" customFormat="1" ht="14.25" customHeight="1" x14ac:dyDescent="0.25"/>
    <row r="132" s="2" customFormat="1" ht="14.25" customHeight="1" x14ac:dyDescent="0.25"/>
    <row r="133" s="2" customFormat="1" ht="14.25" customHeight="1" x14ac:dyDescent="0.25"/>
    <row r="134" s="2" customFormat="1" ht="14.25" customHeight="1" x14ac:dyDescent="0.25"/>
    <row r="135" s="2" customFormat="1" ht="14.25" customHeight="1" x14ac:dyDescent="0.25"/>
    <row r="136" s="2" customFormat="1" ht="14.25" customHeight="1" x14ac:dyDescent="0.25"/>
    <row r="137" s="2" customFormat="1" ht="14.25" customHeight="1" x14ac:dyDescent="0.25"/>
    <row r="138" s="2" customFormat="1" ht="14.25" customHeight="1" x14ac:dyDescent="0.25"/>
    <row r="139" s="2" customFormat="1" ht="14.25" customHeight="1" x14ac:dyDescent="0.25"/>
    <row r="140" s="2" customFormat="1" ht="14.25" customHeight="1" x14ac:dyDescent="0.25"/>
    <row r="141" s="2" customFormat="1" ht="14.25" customHeight="1" x14ac:dyDescent="0.25"/>
    <row r="142" s="2" customFormat="1" ht="14.25" customHeight="1" x14ac:dyDescent="0.25"/>
    <row r="143" s="2" customFormat="1" ht="14.25" customHeight="1" x14ac:dyDescent="0.25"/>
    <row r="144" s="2" customFormat="1" ht="14.25" customHeight="1" x14ac:dyDescent="0.25"/>
    <row r="145" s="2" customFormat="1" ht="14.25" customHeight="1" x14ac:dyDescent="0.25"/>
    <row r="146" s="2" customFormat="1" ht="14.25" customHeight="1" x14ac:dyDescent="0.25"/>
    <row r="147" s="2" customFormat="1" ht="14.25" customHeight="1" x14ac:dyDescent="0.25"/>
    <row r="148" s="2" customFormat="1" ht="14.25" customHeight="1" x14ac:dyDescent="0.25"/>
    <row r="149" s="2" customFormat="1" ht="14.25" customHeight="1" x14ac:dyDescent="0.25"/>
    <row r="150" s="2" customFormat="1" ht="14.25" customHeight="1" x14ac:dyDescent="0.25"/>
    <row r="151" s="2" customFormat="1" ht="14.25" customHeight="1" x14ac:dyDescent="0.25"/>
    <row r="152" s="2" customFormat="1" ht="14.25" customHeight="1" x14ac:dyDescent="0.25"/>
    <row r="153" s="2" customFormat="1" ht="14.25" customHeight="1" x14ac:dyDescent="0.25"/>
    <row r="154" s="2" customFormat="1" ht="14.25" customHeight="1" x14ac:dyDescent="0.25"/>
    <row r="155" s="2" customFormat="1" ht="14.25" customHeight="1" x14ac:dyDescent="0.25"/>
    <row r="156" s="2" customFormat="1" ht="14.25" customHeight="1" x14ac:dyDescent="0.25"/>
    <row r="157" s="2" customFormat="1" ht="14.25" customHeight="1" x14ac:dyDescent="0.25"/>
    <row r="158" s="2" customFormat="1" ht="14.25" customHeight="1" x14ac:dyDescent="0.25"/>
    <row r="159" s="2" customFormat="1" ht="14.25" customHeight="1" x14ac:dyDescent="0.25"/>
    <row r="160" s="2" customFormat="1" ht="14.25" customHeight="1" x14ac:dyDescent="0.25"/>
    <row r="161" s="2" customFormat="1" ht="14.25" customHeight="1" x14ac:dyDescent="0.25"/>
    <row r="162" s="2" customFormat="1" ht="14.25" customHeight="1" x14ac:dyDescent="0.25"/>
    <row r="163" s="2" customFormat="1" ht="14.25" customHeight="1" x14ac:dyDescent="0.25"/>
    <row r="164" s="2" customFormat="1" ht="14.25" customHeight="1" x14ac:dyDescent="0.25"/>
    <row r="165" s="2" customFormat="1" ht="14.25" customHeight="1" x14ac:dyDescent="0.25"/>
    <row r="166" s="2" customFormat="1" ht="14.25" customHeight="1" x14ac:dyDescent="0.25"/>
    <row r="167" s="2" customFormat="1" ht="14.25" customHeight="1" x14ac:dyDescent="0.25"/>
    <row r="168" s="2" customFormat="1" ht="14.25" customHeight="1" x14ac:dyDescent="0.25"/>
    <row r="169" s="2" customFormat="1" ht="14.25" customHeight="1" x14ac:dyDescent="0.25"/>
    <row r="170" s="2" customFormat="1" ht="14.25" customHeight="1" x14ac:dyDescent="0.25"/>
    <row r="171" s="2" customFormat="1" ht="14.25" customHeight="1" x14ac:dyDescent="0.25"/>
    <row r="172" s="2" customFormat="1" ht="14.25" customHeight="1" x14ac:dyDescent="0.25"/>
    <row r="173" s="2" customFormat="1" ht="14.25" customHeight="1" x14ac:dyDescent="0.25"/>
    <row r="174" s="2" customFormat="1" ht="14.25" customHeight="1" x14ac:dyDescent="0.25"/>
    <row r="175" s="2" customFormat="1" ht="14.25" customHeight="1" x14ac:dyDescent="0.25"/>
    <row r="176" s="2" customFormat="1" ht="14.25" customHeight="1" x14ac:dyDescent="0.25"/>
    <row r="177" s="2" customFormat="1" ht="14.25" customHeight="1" x14ac:dyDescent="0.25"/>
    <row r="178" s="2" customFormat="1" ht="14.25" customHeight="1" x14ac:dyDescent="0.25"/>
    <row r="179" s="2" customFormat="1" ht="14.25" customHeight="1" x14ac:dyDescent="0.25"/>
    <row r="180" s="2" customFormat="1" ht="14.25" customHeight="1" x14ac:dyDescent="0.25"/>
    <row r="181" s="2" customFormat="1" ht="14.25" customHeight="1" x14ac:dyDescent="0.25"/>
    <row r="182" s="2" customFormat="1" ht="14.25" customHeight="1" x14ac:dyDescent="0.25"/>
    <row r="183" s="2" customFormat="1" ht="14.25" customHeight="1" x14ac:dyDescent="0.25"/>
    <row r="184" s="2" customFormat="1" ht="14.25" customHeight="1" x14ac:dyDescent="0.25"/>
    <row r="185" s="2" customFormat="1" ht="14.25" customHeight="1" x14ac:dyDescent="0.25"/>
    <row r="186" s="2" customFormat="1" ht="14.25" customHeight="1" x14ac:dyDescent="0.25"/>
    <row r="187" s="2" customFormat="1" ht="14.25" customHeight="1" x14ac:dyDescent="0.25"/>
    <row r="188" s="2" customFormat="1" ht="14.25" customHeight="1" x14ac:dyDescent="0.25"/>
    <row r="189" s="2" customFormat="1" ht="14.25" customHeight="1" x14ac:dyDescent="0.25"/>
    <row r="190" s="2" customFormat="1" ht="14.25" customHeight="1" x14ac:dyDescent="0.25"/>
    <row r="191" s="2" customFormat="1" ht="14.25" customHeight="1" x14ac:dyDescent="0.25"/>
    <row r="192" s="2" customFormat="1" ht="14.25" customHeight="1" x14ac:dyDescent="0.25"/>
    <row r="193" s="2" customFormat="1" ht="14.25" customHeight="1" x14ac:dyDescent="0.25"/>
    <row r="194" s="2" customFormat="1" ht="14.25" customHeight="1" x14ac:dyDescent="0.25"/>
    <row r="195" s="2" customFormat="1" ht="14.25" customHeight="1" x14ac:dyDescent="0.25"/>
    <row r="196" s="2" customFormat="1" ht="14.25" customHeight="1" x14ac:dyDescent="0.25"/>
    <row r="197" s="2" customFormat="1" ht="14.25" customHeight="1" x14ac:dyDescent="0.25"/>
    <row r="198" s="2" customFormat="1" ht="14.25" customHeight="1" x14ac:dyDescent="0.25"/>
    <row r="199" s="2" customFormat="1" ht="14.25" customHeight="1" x14ac:dyDescent="0.25"/>
    <row r="200" s="2" customFormat="1" ht="14.25" customHeight="1" x14ac:dyDescent="0.25"/>
    <row r="201" s="2" customFormat="1" ht="14.25" customHeight="1" x14ac:dyDescent="0.25"/>
    <row r="202" s="2" customFormat="1" ht="14.25" customHeight="1" x14ac:dyDescent="0.25"/>
    <row r="203" s="2" customFormat="1" ht="14.25" customHeight="1" x14ac:dyDescent="0.25"/>
    <row r="204" s="2" customFormat="1" ht="14.25" customHeight="1" x14ac:dyDescent="0.25"/>
    <row r="205" s="2" customFormat="1" ht="14.25" customHeight="1" x14ac:dyDescent="0.25"/>
    <row r="206" s="2" customFormat="1" ht="14.25" customHeight="1" x14ac:dyDescent="0.25"/>
    <row r="207" s="2" customFormat="1" ht="14.25" customHeight="1" x14ac:dyDescent="0.25"/>
    <row r="208" s="2" customFormat="1" ht="14.25" customHeight="1" x14ac:dyDescent="0.25"/>
    <row r="209" s="2" customFormat="1" ht="14.25" customHeight="1" x14ac:dyDescent="0.25"/>
    <row r="210" s="2" customFormat="1" ht="14.25" customHeight="1" x14ac:dyDescent="0.25"/>
    <row r="211" s="2" customFormat="1" ht="14.25" customHeight="1" x14ac:dyDescent="0.25"/>
    <row r="212" s="2" customFormat="1" ht="14.25" customHeight="1" x14ac:dyDescent="0.25"/>
    <row r="213" s="2" customFormat="1" ht="14.25" customHeight="1" x14ac:dyDescent="0.25"/>
    <row r="214" s="2" customFormat="1" ht="14.25" customHeight="1" x14ac:dyDescent="0.25"/>
    <row r="215" s="2" customFormat="1" ht="14.25" customHeight="1" x14ac:dyDescent="0.25"/>
    <row r="216" s="2" customFormat="1" ht="14.25" customHeight="1" x14ac:dyDescent="0.25"/>
    <row r="217" s="2" customFormat="1" ht="14.25" customHeight="1" x14ac:dyDescent="0.25"/>
    <row r="218" s="2" customFormat="1" ht="14.25" customHeight="1" x14ac:dyDescent="0.25"/>
    <row r="219" s="2" customFormat="1" ht="14.25" customHeight="1" x14ac:dyDescent="0.25"/>
    <row r="220" s="2" customFormat="1" ht="14.25" customHeight="1" x14ac:dyDescent="0.25"/>
    <row r="221" s="2" customFormat="1" ht="14.25" customHeight="1" x14ac:dyDescent="0.25"/>
    <row r="222" s="2" customFormat="1" ht="14.25" customHeight="1" x14ac:dyDescent="0.25"/>
    <row r="223" s="2" customFormat="1" ht="14.25" customHeight="1" x14ac:dyDescent="0.25"/>
    <row r="224" s="2" customFormat="1" ht="14.25" customHeight="1" x14ac:dyDescent="0.25"/>
    <row r="225" s="2" customFormat="1" ht="14.25" customHeight="1" x14ac:dyDescent="0.25"/>
    <row r="226" s="2" customFormat="1" ht="14.25" customHeight="1" x14ac:dyDescent="0.25"/>
    <row r="227" s="2" customFormat="1" ht="14.25" customHeight="1" x14ac:dyDescent="0.25"/>
    <row r="228" s="2" customFormat="1" ht="14.25" customHeight="1" x14ac:dyDescent="0.25"/>
    <row r="229" s="2" customFormat="1" ht="14.25" customHeight="1" x14ac:dyDescent="0.25"/>
    <row r="230" s="2" customFormat="1" ht="14.25" customHeight="1" x14ac:dyDescent="0.25"/>
    <row r="231" s="2" customFormat="1" ht="14.25" customHeight="1" x14ac:dyDescent="0.25"/>
    <row r="232" s="2" customFormat="1" ht="14.25" customHeight="1" x14ac:dyDescent="0.25"/>
    <row r="233" s="2" customFormat="1" ht="14.25" customHeight="1" x14ac:dyDescent="0.25"/>
    <row r="234" s="2" customFormat="1" ht="14.25" customHeight="1" x14ac:dyDescent="0.25"/>
    <row r="235" s="2" customFormat="1" ht="14.25" customHeight="1" x14ac:dyDescent="0.25"/>
    <row r="236" s="2" customFormat="1" ht="14.25" customHeight="1" x14ac:dyDescent="0.25"/>
    <row r="237" s="2" customFormat="1" ht="14.25" customHeight="1" x14ac:dyDescent="0.25"/>
    <row r="238" s="2" customFormat="1" ht="14.25" customHeight="1" x14ac:dyDescent="0.25"/>
    <row r="239" s="2" customFormat="1" ht="14.25" customHeight="1" x14ac:dyDescent="0.25"/>
    <row r="240" s="2" customFormat="1" ht="14.25" customHeight="1" x14ac:dyDescent="0.25"/>
    <row r="241" s="2" customFormat="1" ht="14.25" customHeight="1" x14ac:dyDescent="0.25"/>
    <row r="242" s="2" customFormat="1" ht="14.25" customHeight="1" x14ac:dyDescent="0.25"/>
    <row r="243" s="2" customFormat="1" ht="14.25" customHeight="1" x14ac:dyDescent="0.25"/>
    <row r="244" s="2" customFormat="1" ht="14.25" customHeight="1" x14ac:dyDescent="0.25"/>
    <row r="245" s="2" customFormat="1" ht="14.25" customHeight="1" x14ac:dyDescent="0.25"/>
    <row r="246" s="2" customFormat="1" ht="14.25" customHeight="1" x14ac:dyDescent="0.25"/>
    <row r="247" s="2" customFormat="1" ht="14.25" customHeight="1" x14ac:dyDescent="0.25"/>
    <row r="248" s="2" customFormat="1" ht="14.25" customHeight="1" x14ac:dyDescent="0.25"/>
    <row r="249" s="2" customFormat="1" ht="14.25" customHeight="1" x14ac:dyDescent="0.25"/>
    <row r="250" s="2" customFormat="1" ht="14.25" customHeight="1" x14ac:dyDescent="0.25"/>
    <row r="251" s="2" customFormat="1" ht="14.25" customHeight="1" x14ac:dyDescent="0.25"/>
    <row r="252" s="2" customFormat="1" ht="14.25" customHeight="1" x14ac:dyDescent="0.25"/>
    <row r="253" s="2" customFormat="1" ht="14.25" customHeight="1" x14ac:dyDescent="0.25"/>
    <row r="254" s="2" customFormat="1" ht="14.25" customHeight="1" x14ac:dyDescent="0.25"/>
    <row r="255" s="2" customFormat="1" ht="14.25" customHeight="1" x14ac:dyDescent="0.25"/>
    <row r="256" s="2" customFormat="1" ht="14.25" customHeight="1" x14ac:dyDescent="0.25"/>
    <row r="257" s="2" customFormat="1" ht="14.25" customHeight="1" x14ac:dyDescent="0.25"/>
    <row r="258" s="2" customFormat="1" ht="14.25" customHeight="1" x14ac:dyDescent="0.25"/>
    <row r="259" s="2" customFormat="1" ht="14.25" customHeight="1" x14ac:dyDescent="0.25"/>
    <row r="260" s="2" customFormat="1" ht="14.25" customHeight="1" x14ac:dyDescent="0.25"/>
    <row r="261" s="2" customFormat="1" ht="14.25" customHeight="1" x14ac:dyDescent="0.25"/>
    <row r="262" s="2" customFormat="1" ht="14.25" customHeight="1" x14ac:dyDescent="0.25"/>
    <row r="263" s="2" customFormat="1" ht="14.25" customHeight="1" x14ac:dyDescent="0.25"/>
    <row r="264" s="2" customFormat="1" ht="14.25" customHeight="1" x14ac:dyDescent="0.25"/>
    <row r="265" s="2" customFormat="1" ht="14.25" customHeight="1" x14ac:dyDescent="0.25"/>
    <row r="266" s="2" customFormat="1" ht="14.25" customHeight="1" x14ac:dyDescent="0.25"/>
    <row r="267" s="2" customFormat="1" ht="14.25" customHeight="1" x14ac:dyDescent="0.25"/>
    <row r="268" s="2" customFormat="1" ht="14.25" customHeight="1" x14ac:dyDescent="0.25"/>
    <row r="269" s="2" customFormat="1" ht="14.25" customHeight="1" x14ac:dyDescent="0.25"/>
    <row r="270" s="2" customFormat="1" ht="14.25" customHeight="1" x14ac:dyDescent="0.25"/>
    <row r="271" s="2" customFormat="1" ht="14.25" customHeight="1" x14ac:dyDescent="0.25"/>
    <row r="272" s="2" customFormat="1" ht="14.25" customHeight="1" x14ac:dyDescent="0.25"/>
    <row r="273" s="2" customFormat="1" ht="14.25" customHeight="1" x14ac:dyDescent="0.25"/>
    <row r="274" s="2" customFormat="1" ht="14.25" customHeight="1" x14ac:dyDescent="0.25"/>
    <row r="275" s="2" customFormat="1" ht="14.25" customHeight="1" x14ac:dyDescent="0.25"/>
    <row r="276" s="2" customFormat="1" ht="14.25" customHeight="1" x14ac:dyDescent="0.25"/>
    <row r="277" s="2" customFormat="1" ht="14.25" customHeight="1" x14ac:dyDescent="0.25"/>
    <row r="278" s="2" customFormat="1" ht="14.25" customHeight="1" x14ac:dyDescent="0.25"/>
    <row r="279" s="2" customFormat="1" ht="14.25" customHeight="1" x14ac:dyDescent="0.25"/>
    <row r="280" s="2" customFormat="1" ht="14.25" customHeight="1" x14ac:dyDescent="0.25"/>
    <row r="281" s="2" customFormat="1" ht="14.25" customHeight="1" x14ac:dyDescent="0.25"/>
    <row r="282" s="2" customFormat="1" ht="14.25" customHeight="1" x14ac:dyDescent="0.25"/>
    <row r="283" s="2" customFormat="1" ht="14.25" customHeight="1" x14ac:dyDescent="0.25"/>
    <row r="284" s="2" customFormat="1" ht="14.25" customHeight="1" x14ac:dyDescent="0.25"/>
    <row r="285" s="2" customFormat="1" ht="14.25" customHeight="1" x14ac:dyDescent="0.25"/>
    <row r="286" s="2" customFormat="1" ht="14.25" customHeight="1" x14ac:dyDescent="0.25"/>
    <row r="287" s="2" customFormat="1" ht="14.25" customHeight="1" x14ac:dyDescent="0.25"/>
    <row r="288" s="2" customFormat="1" ht="14.25" customHeight="1" x14ac:dyDescent="0.25"/>
    <row r="289" s="2" customFormat="1" ht="14.25" customHeight="1" x14ac:dyDescent="0.25"/>
    <row r="290" s="2" customFormat="1" ht="14.25" customHeight="1" x14ac:dyDescent="0.25"/>
    <row r="291" s="2" customFormat="1" ht="14.25" customHeight="1" x14ac:dyDescent="0.25"/>
    <row r="292" s="2" customFormat="1" ht="14.25" customHeight="1" x14ac:dyDescent="0.25"/>
    <row r="293" s="2" customFormat="1" ht="14.25" customHeight="1" x14ac:dyDescent="0.25"/>
    <row r="294" s="2" customFormat="1" ht="14.25" customHeight="1" x14ac:dyDescent="0.25"/>
    <row r="295" s="2" customFormat="1" ht="14.25" customHeight="1" x14ac:dyDescent="0.25"/>
    <row r="296" s="2" customFormat="1" ht="14.25" customHeight="1" x14ac:dyDescent="0.25"/>
    <row r="297" s="2" customFormat="1" ht="14.25" customHeight="1" x14ac:dyDescent="0.25"/>
    <row r="298" s="2" customFormat="1" ht="14.25" customHeight="1" x14ac:dyDescent="0.25"/>
    <row r="299" s="2" customFormat="1" ht="14.25" customHeight="1" x14ac:dyDescent="0.25"/>
    <row r="300" s="2" customFormat="1" ht="14.25" customHeight="1" x14ac:dyDescent="0.25"/>
    <row r="301" s="2" customFormat="1" ht="14.25" customHeight="1" x14ac:dyDescent="0.25"/>
    <row r="302" s="2" customFormat="1" ht="14.25" customHeight="1" x14ac:dyDescent="0.25"/>
    <row r="303" s="2" customFormat="1" ht="14.25" customHeight="1" x14ac:dyDescent="0.25"/>
    <row r="304" s="2" customFormat="1" ht="14.25" customHeight="1" x14ac:dyDescent="0.25"/>
    <row r="305" s="2" customFormat="1" ht="14.25" customHeight="1" x14ac:dyDescent="0.25"/>
    <row r="306" s="2" customFormat="1" ht="14.25" customHeight="1" x14ac:dyDescent="0.25"/>
    <row r="307" s="2" customFormat="1" ht="14.25" customHeight="1" x14ac:dyDescent="0.25"/>
    <row r="308" s="2" customFormat="1" ht="14.25" customHeight="1" x14ac:dyDescent="0.25"/>
    <row r="309" s="2" customFormat="1" ht="14.25" customHeight="1" x14ac:dyDescent="0.25"/>
    <row r="310" s="2" customFormat="1" ht="14.25" customHeight="1" x14ac:dyDescent="0.25"/>
    <row r="311" s="2" customFormat="1" ht="14.25" customHeight="1" x14ac:dyDescent="0.25"/>
    <row r="312" s="2" customFormat="1" ht="14.25" customHeight="1" x14ac:dyDescent="0.25"/>
    <row r="313" s="2" customFormat="1" ht="14.25" customHeight="1" x14ac:dyDescent="0.25"/>
    <row r="314" s="2" customFormat="1" ht="14.25" customHeight="1" x14ac:dyDescent="0.25"/>
    <row r="315" s="2" customFormat="1" ht="14.25" customHeight="1" x14ac:dyDescent="0.25"/>
    <row r="316" s="2" customFormat="1" ht="14.25" customHeight="1" x14ac:dyDescent="0.25"/>
    <row r="317" s="2" customFormat="1" ht="14.25" customHeight="1" x14ac:dyDescent="0.25"/>
    <row r="318" s="2" customFormat="1" ht="14.25" customHeight="1" x14ac:dyDescent="0.25"/>
    <row r="319" s="2" customFormat="1" ht="14.25" customHeight="1" x14ac:dyDescent="0.25"/>
    <row r="320" s="2" customFormat="1" ht="14.25" customHeight="1" x14ac:dyDescent="0.25"/>
    <row r="321" s="2" customFormat="1" ht="14.25" customHeight="1" x14ac:dyDescent="0.25"/>
    <row r="322" s="2" customFormat="1" ht="14.25" customHeight="1" x14ac:dyDescent="0.25"/>
    <row r="323" s="2" customFormat="1" ht="14.25" customHeight="1" x14ac:dyDescent="0.25"/>
    <row r="324" s="2" customFormat="1" ht="14.25" customHeight="1" x14ac:dyDescent="0.25"/>
    <row r="325" s="2" customFormat="1" ht="14.25" customHeight="1" x14ac:dyDescent="0.25"/>
    <row r="326" s="2" customFormat="1" ht="14.25" customHeight="1" x14ac:dyDescent="0.25"/>
    <row r="327" s="2" customFormat="1" ht="14.25" customHeight="1" x14ac:dyDescent="0.25"/>
    <row r="328" s="2" customFormat="1" ht="14.25" customHeight="1" x14ac:dyDescent="0.25"/>
    <row r="329" s="2" customFormat="1" ht="14.25" customHeight="1" x14ac:dyDescent="0.25"/>
    <row r="330" s="2" customFormat="1" ht="14.25" customHeight="1" x14ac:dyDescent="0.25"/>
    <row r="331" s="2" customFormat="1" ht="14.25" customHeight="1" x14ac:dyDescent="0.25"/>
    <row r="332" s="2" customFormat="1" ht="14.25" customHeight="1" x14ac:dyDescent="0.25"/>
    <row r="333" s="2" customFormat="1" ht="14.25" customHeight="1" x14ac:dyDescent="0.25"/>
    <row r="334" s="2" customFormat="1" ht="14.25" customHeight="1" x14ac:dyDescent="0.25"/>
    <row r="335" s="2" customFormat="1" ht="14.25" customHeight="1" x14ac:dyDescent="0.25"/>
    <row r="336" s="2" customFormat="1" ht="14.25" customHeight="1" x14ac:dyDescent="0.25"/>
    <row r="337" s="2" customFormat="1" ht="14.25" customHeight="1" x14ac:dyDescent="0.25"/>
    <row r="338" s="2" customFormat="1" ht="14.25" customHeight="1" x14ac:dyDescent="0.25"/>
    <row r="339" s="2" customFormat="1" ht="14.25" customHeight="1" x14ac:dyDescent="0.25"/>
    <row r="340" s="2" customFormat="1" ht="14.25" customHeight="1" x14ac:dyDescent="0.25"/>
    <row r="341" s="2" customFormat="1" ht="14.25" customHeight="1" x14ac:dyDescent="0.25"/>
    <row r="342" s="2" customFormat="1" ht="14.25" customHeight="1" x14ac:dyDescent="0.25"/>
    <row r="343" s="2" customFormat="1" ht="14.25" customHeight="1" x14ac:dyDescent="0.25"/>
    <row r="344" s="2" customFormat="1" ht="14.25" customHeight="1" x14ac:dyDescent="0.25"/>
    <row r="345" s="2" customFormat="1" ht="14.25" customHeight="1" x14ac:dyDescent="0.25"/>
    <row r="346" s="2" customFormat="1" ht="14.25" customHeight="1" x14ac:dyDescent="0.25"/>
    <row r="347" s="2" customFormat="1" ht="14.25" customHeight="1" x14ac:dyDescent="0.25"/>
    <row r="348" s="2" customFormat="1" ht="14.25" customHeight="1" x14ac:dyDescent="0.25"/>
    <row r="349" s="2" customFormat="1" ht="14.25" customHeight="1" x14ac:dyDescent="0.25"/>
    <row r="350" s="2" customFormat="1" ht="14.25" customHeight="1" x14ac:dyDescent="0.25"/>
    <row r="351" s="2" customFormat="1" ht="14.25" customHeight="1" x14ac:dyDescent="0.25"/>
    <row r="352" s="2" customFormat="1" ht="14.25" customHeight="1" x14ac:dyDescent="0.25"/>
    <row r="353" s="2" customFormat="1" ht="14.25" customHeight="1" x14ac:dyDescent="0.25"/>
    <row r="354" s="2" customFormat="1" ht="14.25" customHeight="1" x14ac:dyDescent="0.25"/>
    <row r="355" s="2" customFormat="1" ht="14.25" customHeight="1" x14ac:dyDescent="0.25"/>
    <row r="356" s="2" customFormat="1" ht="14.25" customHeight="1" x14ac:dyDescent="0.25"/>
    <row r="357" s="2" customFormat="1" ht="14.25" customHeight="1" x14ac:dyDescent="0.25"/>
    <row r="358" s="2" customFormat="1" ht="14.25" customHeight="1" x14ac:dyDescent="0.25"/>
    <row r="359" s="2" customFormat="1" ht="14.25" customHeight="1" x14ac:dyDescent="0.25"/>
    <row r="360" s="2" customFormat="1" ht="14.25" customHeight="1" x14ac:dyDescent="0.25"/>
    <row r="361" s="2" customFormat="1" ht="14.25" customHeight="1" x14ac:dyDescent="0.25"/>
    <row r="362" s="2" customFormat="1" ht="14.25" customHeight="1" x14ac:dyDescent="0.25"/>
    <row r="363" s="2" customFormat="1" ht="14.25" customHeight="1" x14ac:dyDescent="0.25"/>
    <row r="364" s="2" customFormat="1" ht="14.25" customHeight="1" x14ac:dyDescent="0.25"/>
    <row r="365" s="2" customFormat="1" ht="14.25" customHeight="1" x14ac:dyDescent="0.25"/>
    <row r="366" s="2" customFormat="1" ht="14.25" customHeight="1" x14ac:dyDescent="0.25"/>
    <row r="367" s="2" customFormat="1" ht="14.25" customHeight="1" x14ac:dyDescent="0.25"/>
    <row r="368" s="2" customFormat="1" ht="14.25" customHeight="1" x14ac:dyDescent="0.25"/>
    <row r="369" s="2" customFormat="1" ht="14.25" customHeight="1" x14ac:dyDescent="0.25"/>
    <row r="370" s="2" customFormat="1" ht="14.25" customHeight="1" x14ac:dyDescent="0.25"/>
    <row r="371" s="2" customFormat="1" ht="14.25" customHeight="1" x14ac:dyDescent="0.25"/>
    <row r="372" s="2" customFormat="1" ht="14.25" customHeight="1" x14ac:dyDescent="0.25"/>
    <row r="373" s="2" customFormat="1" ht="14.25" customHeight="1" x14ac:dyDescent="0.25"/>
    <row r="374" s="2" customFormat="1" ht="14.25" customHeight="1" x14ac:dyDescent="0.25"/>
    <row r="375" s="2" customFormat="1" ht="14.25" customHeight="1" x14ac:dyDescent="0.25"/>
    <row r="376" s="2" customFormat="1" ht="14.25" customHeight="1" x14ac:dyDescent="0.25"/>
    <row r="377" s="2" customFormat="1" ht="14.25" customHeight="1" x14ac:dyDescent="0.25"/>
    <row r="378" s="2" customFormat="1" ht="14.25" customHeight="1" x14ac:dyDescent="0.25"/>
    <row r="379" s="2" customFormat="1" ht="14.25" customHeight="1" x14ac:dyDescent="0.25"/>
    <row r="380" s="2" customFormat="1" ht="14.25" customHeight="1" x14ac:dyDescent="0.25"/>
    <row r="381" s="2" customFormat="1" ht="14.25" customHeight="1" x14ac:dyDescent="0.25"/>
    <row r="382" s="2" customFormat="1" ht="14.25" customHeight="1" x14ac:dyDescent="0.25"/>
    <row r="383" s="2" customFormat="1" ht="14.25" customHeight="1" x14ac:dyDescent="0.25"/>
    <row r="384" s="2" customFormat="1" ht="14.25" customHeight="1" x14ac:dyDescent="0.25"/>
    <row r="385" s="2" customFormat="1" ht="14.25" customHeight="1" x14ac:dyDescent="0.25"/>
    <row r="386" s="2" customFormat="1" ht="14.25" customHeight="1" x14ac:dyDescent="0.25"/>
    <row r="387" s="2" customFormat="1" ht="14.25" customHeight="1" x14ac:dyDescent="0.25"/>
    <row r="388" s="2" customFormat="1" ht="14.25" customHeight="1" x14ac:dyDescent="0.25"/>
    <row r="389" s="2" customFormat="1" ht="14.25" customHeight="1" x14ac:dyDescent="0.25"/>
    <row r="390" s="2" customFormat="1" ht="14.25" customHeight="1" x14ac:dyDescent="0.25"/>
    <row r="391" s="2" customFormat="1" ht="14.25" customHeight="1" x14ac:dyDescent="0.25"/>
    <row r="392" s="2" customFormat="1" ht="14.25" customHeight="1" x14ac:dyDescent="0.25"/>
    <row r="393" s="2" customFormat="1" ht="14.25" customHeight="1" x14ac:dyDescent="0.25"/>
    <row r="394" s="2" customFormat="1" ht="14.25" customHeight="1" x14ac:dyDescent="0.25"/>
    <row r="395" s="2" customFormat="1" ht="14.25" customHeight="1" x14ac:dyDescent="0.25"/>
    <row r="396" s="2" customFormat="1" ht="14.25" customHeight="1" x14ac:dyDescent="0.25"/>
    <row r="397" s="2" customFormat="1" ht="14.25" customHeight="1" x14ac:dyDescent="0.25"/>
    <row r="398" s="2" customFormat="1" ht="14.25" customHeight="1" x14ac:dyDescent="0.25"/>
    <row r="399" s="2" customFormat="1" ht="14.25" customHeight="1" x14ac:dyDescent="0.25"/>
    <row r="400" s="2" customFormat="1" ht="14.25" customHeight="1" x14ac:dyDescent="0.25"/>
    <row r="401" s="2" customFormat="1" ht="14.25" customHeight="1" x14ac:dyDescent="0.25"/>
    <row r="402" s="2" customFormat="1" ht="14.25" customHeight="1" x14ac:dyDescent="0.25"/>
    <row r="403" s="2" customFormat="1" ht="14.25" customHeight="1" x14ac:dyDescent="0.25"/>
    <row r="404" s="2" customFormat="1" ht="14.25" customHeight="1" x14ac:dyDescent="0.25"/>
    <row r="405" s="2" customFormat="1" ht="14.25" customHeight="1" x14ac:dyDescent="0.25"/>
    <row r="406" s="2" customFormat="1" ht="14.25" customHeight="1" x14ac:dyDescent="0.25"/>
    <row r="407" s="2" customFormat="1" ht="14.25" customHeight="1" x14ac:dyDescent="0.25"/>
    <row r="408" s="2" customFormat="1" ht="14.25" customHeight="1" x14ac:dyDescent="0.25"/>
    <row r="409" s="2" customFormat="1" ht="14.25" customHeight="1" x14ac:dyDescent="0.25"/>
    <row r="410" s="2" customFormat="1" ht="14.25" customHeight="1" x14ac:dyDescent="0.25"/>
    <row r="411" s="2" customFormat="1" ht="14.25" customHeight="1" x14ac:dyDescent="0.25"/>
    <row r="412" s="2" customFormat="1" ht="14.25" customHeight="1" x14ac:dyDescent="0.25"/>
    <row r="413" s="2" customFormat="1" ht="14.25" customHeight="1" x14ac:dyDescent="0.25"/>
    <row r="414" s="2" customFormat="1" ht="14.25" customHeight="1" x14ac:dyDescent="0.25"/>
    <row r="415" s="2" customFormat="1" ht="14.25" customHeight="1" x14ac:dyDescent="0.25"/>
    <row r="416" s="2" customFormat="1" ht="14.25" customHeight="1" x14ac:dyDescent="0.25"/>
    <row r="417" s="2" customFormat="1" ht="14.25" customHeight="1" x14ac:dyDescent="0.25"/>
    <row r="418" s="2" customFormat="1" ht="14.25" customHeight="1" x14ac:dyDescent="0.25"/>
    <row r="419" s="2" customFormat="1" ht="14.25" customHeight="1" x14ac:dyDescent="0.25"/>
    <row r="420" s="2" customFormat="1" ht="14.25" customHeight="1" x14ac:dyDescent="0.25"/>
    <row r="421" s="2" customFormat="1" ht="14.25" customHeight="1" x14ac:dyDescent="0.25"/>
    <row r="422" s="2" customFormat="1" ht="14.25" customHeight="1" x14ac:dyDescent="0.25"/>
    <row r="423" s="2" customFormat="1" ht="14.25" customHeight="1" x14ac:dyDescent="0.25"/>
    <row r="424" s="2" customFormat="1" ht="14.25" customHeight="1" x14ac:dyDescent="0.25"/>
    <row r="425" s="2" customFormat="1" ht="14.25" customHeight="1" x14ac:dyDescent="0.25"/>
    <row r="426" s="2" customFormat="1" ht="14.25" customHeight="1" x14ac:dyDescent="0.25"/>
    <row r="427" s="2" customFormat="1" ht="14.25" customHeight="1" x14ac:dyDescent="0.25"/>
    <row r="428" s="2" customFormat="1" ht="14.25" customHeight="1" x14ac:dyDescent="0.25"/>
    <row r="429" s="2" customFormat="1" ht="14.25" customHeight="1" x14ac:dyDescent="0.25"/>
    <row r="430" s="2" customFormat="1" ht="14.25" customHeight="1" x14ac:dyDescent="0.25"/>
    <row r="431" s="2" customFormat="1" ht="14.25" customHeight="1" x14ac:dyDescent="0.25"/>
    <row r="432" s="2" customFormat="1" ht="14.25" customHeight="1" x14ac:dyDescent="0.25"/>
    <row r="433" s="2" customFormat="1" ht="14.25" customHeight="1" x14ac:dyDescent="0.25"/>
    <row r="434" s="2" customFormat="1" ht="14.25" customHeight="1" x14ac:dyDescent="0.25"/>
    <row r="435" s="2" customFormat="1" ht="14.25" customHeight="1" x14ac:dyDescent="0.25"/>
    <row r="436" s="2" customFormat="1" ht="14.25" customHeight="1" x14ac:dyDescent="0.25"/>
    <row r="437" s="2" customFormat="1" ht="14.25" customHeight="1" x14ac:dyDescent="0.25"/>
    <row r="438" s="2" customFormat="1" ht="14.25" customHeight="1" x14ac:dyDescent="0.25"/>
    <row r="439" s="2" customFormat="1" ht="14.25" customHeight="1" x14ac:dyDescent="0.25"/>
    <row r="440" s="2" customFormat="1" ht="14.25" customHeight="1" x14ac:dyDescent="0.25"/>
    <row r="441" s="2" customFormat="1" ht="14.25" customHeight="1" x14ac:dyDescent="0.25"/>
    <row r="442" s="2" customFormat="1" ht="14.25" customHeight="1" x14ac:dyDescent="0.25"/>
    <row r="443" s="2" customFormat="1" ht="14.25" customHeight="1" x14ac:dyDescent="0.25"/>
    <row r="444" s="2" customFormat="1" ht="14.25" customHeight="1" x14ac:dyDescent="0.25"/>
    <row r="445" s="2" customFormat="1" ht="14.25" customHeight="1" x14ac:dyDescent="0.25"/>
    <row r="446" s="2" customFormat="1" ht="14.25" customHeight="1" x14ac:dyDescent="0.25"/>
    <row r="447" s="2" customFormat="1" ht="14.25" customHeight="1" x14ac:dyDescent="0.25"/>
    <row r="448" s="2" customFormat="1" ht="14.25" customHeight="1" x14ac:dyDescent="0.25"/>
    <row r="449" s="2" customFormat="1" ht="14.25" customHeight="1" x14ac:dyDescent="0.25"/>
    <row r="450" s="2" customFormat="1" ht="14.25" customHeight="1" x14ac:dyDescent="0.25"/>
    <row r="451" s="2" customFormat="1" ht="14.25" customHeight="1" x14ac:dyDescent="0.25"/>
    <row r="452" s="2" customFormat="1" ht="14.25" customHeight="1" x14ac:dyDescent="0.25"/>
    <row r="453" s="2" customFormat="1" ht="14.25" customHeight="1" x14ac:dyDescent="0.25"/>
    <row r="454" s="2" customFormat="1" ht="14.25" customHeight="1" x14ac:dyDescent="0.25"/>
    <row r="455" s="2" customFormat="1" ht="14.25" customHeight="1" x14ac:dyDescent="0.25"/>
    <row r="456" s="2" customFormat="1" ht="14.25" customHeight="1" x14ac:dyDescent="0.25"/>
    <row r="457" s="2" customFormat="1" ht="14.25" customHeight="1" x14ac:dyDescent="0.25"/>
    <row r="458" s="2" customFormat="1" ht="14.25" customHeight="1" x14ac:dyDescent="0.25"/>
    <row r="459" s="2" customFormat="1" ht="14.25" customHeight="1" x14ac:dyDescent="0.25"/>
    <row r="460" s="2" customFormat="1" ht="14.25" customHeight="1" x14ac:dyDescent="0.25"/>
    <row r="461" s="2" customFormat="1" ht="14.25" customHeight="1" x14ac:dyDescent="0.25"/>
    <row r="462" s="2" customFormat="1" ht="14.25" customHeight="1" x14ac:dyDescent="0.25"/>
    <row r="463" s="2" customFormat="1" ht="14.25" customHeight="1" x14ac:dyDescent="0.25"/>
    <row r="464" s="2" customFormat="1" ht="14.25" customHeight="1" x14ac:dyDescent="0.25"/>
    <row r="465" s="2" customFormat="1" ht="14.25" customHeight="1" x14ac:dyDescent="0.25"/>
    <row r="466" s="2" customFormat="1" ht="14.25" customHeight="1" x14ac:dyDescent="0.25"/>
    <row r="467" s="2" customFormat="1" ht="14.25" customHeight="1" x14ac:dyDescent="0.25"/>
    <row r="468" s="2" customFormat="1" ht="14.25" customHeight="1" x14ac:dyDescent="0.25"/>
    <row r="469" s="2" customFormat="1" ht="14.25" customHeight="1" x14ac:dyDescent="0.25"/>
    <row r="470" s="2" customFormat="1" ht="14.25" customHeight="1" x14ac:dyDescent="0.25"/>
    <row r="471" s="2" customFormat="1" ht="14.25" customHeight="1" x14ac:dyDescent="0.25"/>
    <row r="472" s="2" customFormat="1" ht="14.25" customHeight="1" x14ac:dyDescent="0.25"/>
    <row r="473" s="2" customFormat="1" ht="14.25" customHeight="1" x14ac:dyDescent="0.25"/>
    <row r="474" s="2" customFormat="1" ht="14.25" customHeight="1" x14ac:dyDescent="0.25"/>
    <row r="475" s="2" customFormat="1" ht="14.25" customHeight="1" x14ac:dyDescent="0.25"/>
    <row r="476" s="2" customFormat="1" ht="14.25" customHeight="1" x14ac:dyDescent="0.25"/>
    <row r="477" s="2" customFormat="1" ht="14.25" customHeight="1" x14ac:dyDescent="0.25"/>
    <row r="478" s="2" customFormat="1" ht="14.25" customHeight="1" x14ac:dyDescent="0.25"/>
    <row r="479" s="2" customFormat="1" ht="14.25" customHeight="1" x14ac:dyDescent="0.25"/>
    <row r="480" s="2" customFormat="1" ht="14.25" customHeight="1" x14ac:dyDescent="0.25"/>
    <row r="481" s="2" customFormat="1" ht="14.25" customHeight="1" x14ac:dyDescent="0.25"/>
    <row r="482" s="2" customFormat="1" ht="14.25" customHeight="1" x14ac:dyDescent="0.25"/>
    <row r="483" s="2" customFormat="1" ht="14.25" customHeight="1" x14ac:dyDescent="0.25"/>
    <row r="484" s="2" customFormat="1" ht="14.25" customHeight="1" x14ac:dyDescent="0.25"/>
    <row r="485" s="2" customFormat="1" ht="14.25" customHeight="1" x14ac:dyDescent="0.25"/>
    <row r="486" s="2" customFormat="1" ht="14.25" customHeight="1" x14ac:dyDescent="0.25"/>
    <row r="487" s="2" customFormat="1" ht="14.25" customHeight="1" x14ac:dyDescent="0.25"/>
    <row r="488" s="2" customFormat="1" ht="14.25" customHeight="1" x14ac:dyDescent="0.25"/>
    <row r="489" s="2" customFormat="1" ht="14.25" customHeight="1" x14ac:dyDescent="0.25"/>
    <row r="490" s="2" customFormat="1" ht="14.25" customHeight="1" x14ac:dyDescent="0.25"/>
    <row r="491" s="2" customFormat="1" ht="14.25" customHeight="1" x14ac:dyDescent="0.25"/>
    <row r="492" s="2" customFormat="1" ht="14.25" customHeight="1" x14ac:dyDescent="0.25"/>
    <row r="493" s="2" customFormat="1" ht="14.25" customHeight="1" x14ac:dyDescent="0.25"/>
    <row r="494" s="2" customFormat="1" ht="14.25" customHeight="1" x14ac:dyDescent="0.25"/>
    <row r="495" s="2" customFormat="1" ht="14.25" customHeight="1" x14ac:dyDescent="0.25"/>
    <row r="496" s="2" customFormat="1" ht="14.25" customHeight="1" x14ac:dyDescent="0.25"/>
    <row r="497" s="2" customFormat="1" ht="14.25" customHeight="1" x14ac:dyDescent="0.25"/>
    <row r="498" s="2" customFormat="1" ht="14.25" customHeight="1" x14ac:dyDescent="0.25"/>
    <row r="499" s="2" customFormat="1" ht="14.25" customHeight="1" x14ac:dyDescent="0.25"/>
    <row r="500" s="2" customFormat="1" ht="14.25" customHeight="1" x14ac:dyDescent="0.25"/>
    <row r="501" s="2" customFormat="1" ht="14.25" customHeight="1" x14ac:dyDescent="0.25"/>
    <row r="502" s="2" customFormat="1" ht="14.25" customHeight="1" x14ac:dyDescent="0.25"/>
    <row r="503" s="2" customFormat="1" ht="14.25" customHeight="1" x14ac:dyDescent="0.25"/>
    <row r="504" s="2" customFormat="1" ht="14.25" customHeight="1" x14ac:dyDescent="0.25"/>
    <row r="505" s="2" customFormat="1" ht="14.25" customHeight="1" x14ac:dyDescent="0.25"/>
    <row r="506" s="2" customFormat="1" ht="14.25" customHeight="1" x14ac:dyDescent="0.25"/>
    <row r="507" s="2" customFormat="1" ht="14.25" customHeight="1" x14ac:dyDescent="0.25"/>
    <row r="508" s="2" customFormat="1" ht="14.25" customHeight="1" x14ac:dyDescent="0.25"/>
    <row r="509" s="2" customFormat="1" ht="14.25" customHeight="1" x14ac:dyDescent="0.25"/>
    <row r="510" s="2" customFormat="1" ht="14.25" customHeight="1" x14ac:dyDescent="0.25"/>
    <row r="511" s="2" customFormat="1" ht="14.25" customHeight="1" x14ac:dyDescent="0.25"/>
    <row r="512" s="2" customFormat="1" ht="14.25" customHeight="1" x14ac:dyDescent="0.25"/>
    <row r="513" s="2" customFormat="1" ht="14.25" customHeight="1" x14ac:dyDescent="0.25"/>
    <row r="514" s="2" customFormat="1" ht="14.25" customHeight="1" x14ac:dyDescent="0.25"/>
    <row r="515" s="2" customFormat="1" ht="14.25" customHeight="1" x14ac:dyDescent="0.25"/>
    <row r="516" s="2" customFormat="1" ht="14.25" customHeight="1" x14ac:dyDescent="0.25"/>
    <row r="517" s="2" customFormat="1" ht="14.25" customHeight="1" x14ac:dyDescent="0.25"/>
    <row r="518" s="2" customFormat="1" ht="14.25" customHeight="1" x14ac:dyDescent="0.25"/>
    <row r="519" s="2" customFormat="1" ht="14.25" customHeight="1" x14ac:dyDescent="0.25"/>
    <row r="520" s="2" customFormat="1" ht="14.25" customHeight="1" x14ac:dyDescent="0.25"/>
    <row r="521" s="2" customFormat="1" ht="14.25" customHeight="1" x14ac:dyDescent="0.25"/>
    <row r="522" s="2" customFormat="1" ht="14.25" customHeight="1" x14ac:dyDescent="0.25"/>
    <row r="523" s="2" customFormat="1" ht="14.25" customHeight="1" x14ac:dyDescent="0.25"/>
    <row r="524" s="2" customFormat="1" ht="14.25" customHeight="1" x14ac:dyDescent="0.25"/>
    <row r="525" s="2" customFormat="1" ht="14.25" customHeight="1" x14ac:dyDescent="0.25"/>
    <row r="526" s="2" customFormat="1" ht="14.25" customHeight="1" x14ac:dyDescent="0.25"/>
    <row r="527" s="2" customFormat="1" ht="14.25" customHeight="1" x14ac:dyDescent="0.25"/>
    <row r="528" s="2" customFormat="1" ht="14.25" customHeight="1" x14ac:dyDescent="0.25"/>
    <row r="529" s="2" customFormat="1" ht="14.25" customHeight="1" x14ac:dyDescent="0.25"/>
    <row r="530" s="2" customFormat="1" ht="14.25" customHeight="1" x14ac:dyDescent="0.25"/>
    <row r="531" s="2" customFormat="1" ht="14.25" customHeight="1" x14ac:dyDescent="0.25"/>
    <row r="532" s="2" customFormat="1" ht="14.25" customHeight="1" x14ac:dyDescent="0.25"/>
    <row r="533" s="2" customFormat="1" ht="14.25" customHeight="1" x14ac:dyDescent="0.25"/>
    <row r="534" s="2" customFormat="1" ht="14.25" customHeight="1" x14ac:dyDescent="0.25"/>
    <row r="535" s="2" customFormat="1" ht="14.25" customHeight="1" x14ac:dyDescent="0.25"/>
    <row r="536" s="2" customFormat="1" ht="14.25" customHeight="1" x14ac:dyDescent="0.25"/>
    <row r="537" s="2" customFormat="1" ht="14.25" customHeight="1" x14ac:dyDescent="0.25"/>
    <row r="538" s="2" customFormat="1" ht="14.25" customHeight="1" x14ac:dyDescent="0.25"/>
    <row r="539" s="2" customFormat="1" ht="14.25" customHeight="1" x14ac:dyDescent="0.25"/>
    <row r="540" s="2" customFormat="1" ht="14.25" customHeight="1" x14ac:dyDescent="0.25"/>
    <row r="541" s="2" customFormat="1" ht="14.25" customHeight="1" x14ac:dyDescent="0.25"/>
    <row r="542" s="2" customFormat="1" ht="14.25" customHeight="1" x14ac:dyDescent="0.25"/>
    <row r="543" s="2" customFormat="1" ht="14.25" customHeight="1" x14ac:dyDescent="0.25"/>
    <row r="544" s="2" customFormat="1" ht="14.25" customHeight="1" x14ac:dyDescent="0.25"/>
    <row r="545" s="2" customFormat="1" ht="14.25" customHeight="1" x14ac:dyDescent="0.25"/>
    <row r="546" s="2" customFormat="1" ht="14.25" customHeight="1" x14ac:dyDescent="0.25"/>
    <row r="547" s="2" customFormat="1" ht="14.25" customHeight="1" x14ac:dyDescent="0.25"/>
    <row r="548" s="2" customFormat="1" ht="14.25" customHeight="1" x14ac:dyDescent="0.25"/>
    <row r="549" s="2" customFormat="1" ht="14.25" customHeight="1" x14ac:dyDescent="0.25"/>
    <row r="550" s="2" customFormat="1" ht="14.25" customHeight="1" x14ac:dyDescent="0.25"/>
    <row r="551" s="2" customFormat="1" ht="14.25" customHeight="1" x14ac:dyDescent="0.25"/>
    <row r="552" s="2" customFormat="1" ht="14.25" customHeight="1" x14ac:dyDescent="0.25"/>
    <row r="553" s="2" customFormat="1" ht="14.25" customHeight="1" x14ac:dyDescent="0.25"/>
    <row r="554" s="2" customFormat="1" ht="14.25" customHeight="1" x14ac:dyDescent="0.25"/>
    <row r="555" s="2" customFormat="1" ht="14.25" customHeight="1" x14ac:dyDescent="0.25"/>
    <row r="556" s="2" customFormat="1" ht="14.25" customHeight="1" x14ac:dyDescent="0.25"/>
    <row r="557" s="2" customFormat="1" ht="14.25" customHeight="1" x14ac:dyDescent="0.25"/>
    <row r="558" s="2" customFormat="1" ht="14.25" customHeight="1" x14ac:dyDescent="0.25"/>
    <row r="559" s="2" customFormat="1" ht="14.25" customHeight="1" x14ac:dyDescent="0.25"/>
    <row r="560" s="2" customFormat="1" ht="14.25" customHeight="1" x14ac:dyDescent="0.25"/>
    <row r="561" s="2" customFormat="1" ht="14.25" customHeight="1" x14ac:dyDescent="0.25"/>
    <row r="562" s="2" customFormat="1" ht="14.25" customHeight="1" x14ac:dyDescent="0.25"/>
    <row r="563" s="2" customFormat="1" ht="14.25" customHeight="1" x14ac:dyDescent="0.25"/>
    <row r="564" s="2" customFormat="1" ht="14.25" customHeight="1" x14ac:dyDescent="0.25"/>
    <row r="565" s="2" customFormat="1" ht="14.25" customHeight="1" x14ac:dyDescent="0.25"/>
    <row r="566" s="2" customFormat="1" ht="14.25" customHeight="1" x14ac:dyDescent="0.25"/>
    <row r="567" s="2" customFormat="1" ht="14.25" customHeight="1" x14ac:dyDescent="0.25"/>
    <row r="568" s="2" customFormat="1" ht="14.25" customHeight="1" x14ac:dyDescent="0.25"/>
    <row r="569" s="2" customFormat="1" ht="14.25" customHeight="1" x14ac:dyDescent="0.25"/>
    <row r="570" s="2" customFormat="1" ht="14.25" customHeight="1" x14ac:dyDescent="0.25"/>
    <row r="571" s="2" customFormat="1" ht="14.25" customHeight="1" x14ac:dyDescent="0.25"/>
    <row r="572" s="2" customFormat="1" ht="14.25" customHeight="1" x14ac:dyDescent="0.25"/>
    <row r="573" s="2" customFormat="1" ht="14.25" customHeight="1" x14ac:dyDescent="0.25"/>
    <row r="574" s="2" customFormat="1" ht="14.25" customHeight="1" x14ac:dyDescent="0.25"/>
    <row r="575" s="2" customFormat="1" ht="14.25" customHeight="1" x14ac:dyDescent="0.25"/>
    <row r="576" s="2" customFormat="1" ht="14.25" customHeight="1" x14ac:dyDescent="0.25"/>
    <row r="577" s="2" customFormat="1" ht="14.25" customHeight="1" x14ac:dyDescent="0.25"/>
    <row r="578" s="2" customFormat="1" ht="14.25" customHeight="1" x14ac:dyDescent="0.25"/>
    <row r="579" s="2" customFormat="1" ht="14.25" customHeight="1" x14ac:dyDescent="0.25"/>
    <row r="580" s="2" customFormat="1" ht="14.25" customHeight="1" x14ac:dyDescent="0.25"/>
    <row r="581" s="2" customFormat="1" ht="14.25" customHeight="1" x14ac:dyDescent="0.25"/>
    <row r="582" s="2" customFormat="1" ht="14.25" customHeight="1" x14ac:dyDescent="0.25"/>
    <row r="583" s="2" customFormat="1" ht="14.25" customHeight="1" x14ac:dyDescent="0.25"/>
    <row r="584" s="2" customFormat="1" ht="14.25" customHeight="1" x14ac:dyDescent="0.25"/>
    <row r="585" s="2" customFormat="1" ht="14.25" customHeight="1" x14ac:dyDescent="0.25"/>
    <row r="586" s="2" customFormat="1" ht="14.25" customHeight="1" x14ac:dyDescent="0.25"/>
    <row r="587" s="2" customFormat="1" ht="14.25" customHeight="1" x14ac:dyDescent="0.25"/>
    <row r="588" s="2" customFormat="1" ht="14.25" customHeight="1" x14ac:dyDescent="0.25"/>
    <row r="589" s="2" customFormat="1" ht="14.25" customHeight="1" x14ac:dyDescent="0.25"/>
    <row r="590" s="2" customFormat="1" ht="14.25" customHeight="1" x14ac:dyDescent="0.25"/>
    <row r="591" s="2" customFormat="1" ht="14.25" customHeight="1" x14ac:dyDescent="0.25"/>
    <row r="592" s="2" customFormat="1" ht="14.25" customHeight="1" x14ac:dyDescent="0.25"/>
    <row r="593" s="2" customFormat="1" ht="14.25" customHeight="1" x14ac:dyDescent="0.25"/>
    <row r="594" s="2" customFormat="1" ht="14.25" customHeight="1" x14ac:dyDescent="0.25"/>
    <row r="595" s="2" customFormat="1" ht="14.25" customHeight="1" x14ac:dyDescent="0.25"/>
    <row r="596" s="2" customFormat="1" ht="14.25" customHeight="1" x14ac:dyDescent="0.25"/>
    <row r="597" s="2" customFormat="1" ht="14.25" customHeight="1" x14ac:dyDescent="0.25"/>
    <row r="598" s="2" customFormat="1" ht="14.25" customHeight="1" x14ac:dyDescent="0.25"/>
    <row r="599" s="2" customFormat="1" ht="14.25" customHeight="1" x14ac:dyDescent="0.25"/>
    <row r="600" s="2" customFormat="1" ht="14.25" customHeight="1" x14ac:dyDescent="0.25"/>
    <row r="601" s="2" customFormat="1" ht="14.25" customHeight="1" x14ac:dyDescent="0.25"/>
    <row r="602" s="2" customFormat="1" ht="14.25" customHeight="1" x14ac:dyDescent="0.25"/>
    <row r="603" s="2" customFormat="1" ht="14.25" customHeight="1" x14ac:dyDescent="0.25"/>
    <row r="604" s="2" customFormat="1" ht="14.25" customHeight="1" x14ac:dyDescent="0.25"/>
    <row r="605" s="2" customFormat="1" ht="14.25" customHeight="1" x14ac:dyDescent="0.25"/>
    <row r="606" s="2" customFormat="1" ht="14.25" customHeight="1" x14ac:dyDescent="0.25"/>
    <row r="607" s="2" customFormat="1" ht="14.25" customHeight="1" x14ac:dyDescent="0.25"/>
    <row r="608" s="2" customFormat="1" ht="14.25" customHeight="1" x14ac:dyDescent="0.25"/>
    <row r="609" s="2" customFormat="1" ht="14.25" customHeight="1" x14ac:dyDescent="0.25"/>
    <row r="610" s="2" customFormat="1" ht="14.25" customHeight="1" x14ac:dyDescent="0.25"/>
    <row r="611" s="2" customFormat="1" ht="14.25" customHeight="1" x14ac:dyDescent="0.25"/>
    <row r="612" s="2" customFormat="1" ht="14.25" customHeight="1" x14ac:dyDescent="0.25"/>
    <row r="613" s="2" customFormat="1" ht="14.25" customHeight="1" x14ac:dyDescent="0.25"/>
    <row r="614" s="2" customFormat="1" ht="14.25" customHeight="1" x14ac:dyDescent="0.25"/>
    <row r="615" s="2" customFormat="1" ht="14.25" customHeight="1" x14ac:dyDescent="0.25"/>
    <row r="616" s="2" customFormat="1" ht="14.25" customHeight="1" x14ac:dyDescent="0.25"/>
    <row r="617" s="2" customFormat="1" ht="14.25" customHeight="1" x14ac:dyDescent="0.25"/>
    <row r="618" s="2" customFormat="1" ht="14.25" customHeight="1" x14ac:dyDescent="0.25"/>
    <row r="619" s="2" customFormat="1" ht="14.25" customHeight="1" x14ac:dyDescent="0.25"/>
    <row r="620" s="2" customFormat="1" ht="14.25" customHeight="1" x14ac:dyDescent="0.25"/>
    <row r="621" s="2" customFormat="1" ht="14.25" customHeight="1" x14ac:dyDescent="0.25"/>
    <row r="622" s="2" customFormat="1" ht="14.25" customHeight="1" x14ac:dyDescent="0.25"/>
    <row r="623" s="2" customFormat="1" ht="14.25" customHeight="1" x14ac:dyDescent="0.25"/>
    <row r="624" s="2" customFormat="1" ht="14.25" customHeight="1" x14ac:dyDescent="0.25"/>
    <row r="625" s="2" customFormat="1" ht="14.25" customHeight="1" x14ac:dyDescent="0.25"/>
    <row r="626" s="2" customFormat="1" ht="14.25" customHeight="1" x14ac:dyDescent="0.25"/>
    <row r="627" s="2" customFormat="1" ht="14.25" customHeight="1" x14ac:dyDescent="0.25"/>
    <row r="628" s="2" customFormat="1" ht="14.25" customHeight="1" x14ac:dyDescent="0.25"/>
    <row r="629" s="2" customFormat="1" ht="14.25" customHeight="1" x14ac:dyDescent="0.25"/>
    <row r="630" s="2" customFormat="1" ht="14.25" customHeight="1" x14ac:dyDescent="0.25"/>
    <row r="631" s="2" customFormat="1" ht="14.25" customHeight="1" x14ac:dyDescent="0.25"/>
    <row r="632" s="2" customFormat="1" ht="14.25" customHeight="1" x14ac:dyDescent="0.25"/>
    <row r="633" s="2" customFormat="1" ht="14.25" customHeight="1" x14ac:dyDescent="0.25"/>
    <row r="634" s="2" customFormat="1" ht="14.25" customHeight="1" x14ac:dyDescent="0.25"/>
    <row r="635" s="2" customFormat="1" ht="14.25" customHeight="1" x14ac:dyDescent="0.25"/>
    <row r="636" s="2" customFormat="1" ht="14.25" customHeight="1" x14ac:dyDescent="0.25"/>
    <row r="637" s="2" customFormat="1" ht="14.25" customHeight="1" x14ac:dyDescent="0.25"/>
    <row r="638" s="2" customFormat="1" ht="14.25" customHeight="1" x14ac:dyDescent="0.25"/>
    <row r="639" s="2" customFormat="1" ht="14.25" customHeight="1" x14ac:dyDescent="0.25"/>
    <row r="640" s="2" customFormat="1" ht="14.25" customHeight="1" x14ac:dyDescent="0.25"/>
    <row r="641" s="2" customFormat="1" ht="14.25" customHeight="1" x14ac:dyDescent="0.25"/>
    <row r="642" s="2" customFormat="1" ht="14.25" customHeight="1" x14ac:dyDescent="0.25"/>
    <row r="643" s="2" customFormat="1" ht="14.25" customHeight="1" x14ac:dyDescent="0.25"/>
    <row r="644" s="2" customFormat="1" ht="14.25" customHeight="1" x14ac:dyDescent="0.25"/>
    <row r="645" s="2" customFormat="1" ht="14.25" customHeight="1" x14ac:dyDescent="0.25"/>
    <row r="646" s="2" customFormat="1" ht="14.25" customHeight="1" x14ac:dyDescent="0.25"/>
    <row r="647" s="2" customFormat="1" ht="14.25" customHeight="1" x14ac:dyDescent="0.25"/>
    <row r="648" s="2" customFormat="1" ht="14.25" customHeight="1" x14ac:dyDescent="0.25"/>
    <row r="649" s="2" customFormat="1" ht="14.25" customHeight="1" x14ac:dyDescent="0.25"/>
    <row r="650" s="2" customFormat="1" ht="14.25" customHeight="1" x14ac:dyDescent="0.25"/>
    <row r="651" s="2" customFormat="1" ht="14.25" customHeight="1" x14ac:dyDescent="0.25"/>
    <row r="652" s="2" customFormat="1" ht="14.25" customHeight="1" x14ac:dyDescent="0.25"/>
    <row r="653" s="2" customFormat="1" ht="14.25" customHeight="1" x14ac:dyDescent="0.25"/>
    <row r="654" s="2" customFormat="1" ht="14.25" customHeight="1" x14ac:dyDescent="0.25"/>
    <row r="655" s="2" customFormat="1" ht="14.25" customHeight="1" x14ac:dyDescent="0.25"/>
    <row r="656" s="2" customFormat="1" ht="14.25" customHeight="1" x14ac:dyDescent="0.25"/>
    <row r="657" s="2" customFormat="1" ht="14.25" customHeight="1" x14ac:dyDescent="0.25"/>
    <row r="658" s="2" customFormat="1" ht="14.25" customHeight="1" x14ac:dyDescent="0.25"/>
    <row r="659" s="2" customFormat="1" ht="14.25" customHeight="1" x14ac:dyDescent="0.25"/>
    <row r="660" s="2" customFormat="1" ht="14.25" customHeight="1" x14ac:dyDescent="0.25"/>
    <row r="661" s="2" customFormat="1" ht="14.25" customHeight="1" x14ac:dyDescent="0.25"/>
    <row r="662" s="2" customFormat="1" ht="14.25" customHeight="1" x14ac:dyDescent="0.25"/>
    <row r="663" s="2" customFormat="1" ht="14.25" customHeight="1" x14ac:dyDescent="0.25"/>
    <row r="664" s="2" customFormat="1" ht="14.25" customHeight="1" x14ac:dyDescent="0.25"/>
    <row r="665" s="2" customFormat="1" ht="14.25" customHeight="1" x14ac:dyDescent="0.25"/>
    <row r="666" s="2" customFormat="1" ht="14.25" customHeight="1" x14ac:dyDescent="0.25"/>
    <row r="667" s="2" customFormat="1" ht="14.25" customHeight="1" x14ac:dyDescent="0.25"/>
    <row r="668" s="2" customFormat="1" ht="14.25" customHeight="1" x14ac:dyDescent="0.25"/>
    <row r="669" s="2" customFormat="1" ht="14.25" customHeight="1" x14ac:dyDescent="0.25"/>
    <row r="670" s="2" customFormat="1" ht="14.25" customHeight="1" x14ac:dyDescent="0.25"/>
    <row r="671" s="2" customFormat="1" ht="14.25" customHeight="1" x14ac:dyDescent="0.25"/>
    <row r="672" s="2" customFormat="1" ht="14.25" customHeight="1" x14ac:dyDescent="0.25"/>
    <row r="673" s="2" customFormat="1" ht="14.25" customHeight="1" x14ac:dyDescent="0.25"/>
    <row r="674" s="2" customFormat="1" ht="14.25" customHeight="1" x14ac:dyDescent="0.25"/>
    <row r="675" s="2" customFormat="1" ht="14.25" customHeight="1" x14ac:dyDescent="0.25"/>
    <row r="676" s="2" customFormat="1" ht="14.25" customHeight="1" x14ac:dyDescent="0.25"/>
    <row r="677" s="2" customFormat="1" ht="14.25" customHeight="1" x14ac:dyDescent="0.25"/>
    <row r="678" s="2" customFormat="1" ht="14.25" customHeight="1" x14ac:dyDescent="0.25"/>
    <row r="679" s="2" customFormat="1" ht="14.25" customHeight="1" x14ac:dyDescent="0.25"/>
    <row r="680" s="2" customFormat="1" ht="14.25" customHeight="1" x14ac:dyDescent="0.25"/>
    <row r="681" s="2" customFormat="1" ht="14.25" customHeight="1" x14ac:dyDescent="0.25"/>
    <row r="682" s="2" customFormat="1" ht="14.25" customHeight="1" x14ac:dyDescent="0.25"/>
    <row r="683" s="2" customFormat="1" ht="14.25" customHeight="1" x14ac:dyDescent="0.25"/>
    <row r="684" s="2" customFormat="1" ht="14.25" customHeight="1" x14ac:dyDescent="0.25"/>
    <row r="685" s="2" customFormat="1" ht="14.25" customHeight="1" x14ac:dyDescent="0.25"/>
    <row r="686" s="2" customFormat="1" ht="14.25" customHeight="1" x14ac:dyDescent="0.25"/>
    <row r="687" s="2" customFormat="1" ht="14.25" customHeight="1" x14ac:dyDescent="0.25"/>
    <row r="688" s="2" customFormat="1" ht="14.25" customHeight="1" x14ac:dyDescent="0.25"/>
    <row r="689" s="2" customFormat="1" ht="14.25" customHeight="1" x14ac:dyDescent="0.25"/>
    <row r="690" s="2" customFormat="1" ht="14.25" customHeight="1" x14ac:dyDescent="0.25"/>
    <row r="691" s="2" customFormat="1" ht="14.25" customHeight="1" x14ac:dyDescent="0.25"/>
    <row r="692" s="2" customFormat="1" ht="14.25" customHeight="1" x14ac:dyDescent="0.25"/>
    <row r="693" s="2" customFormat="1" ht="14.25" customHeight="1" x14ac:dyDescent="0.25"/>
    <row r="694" s="2" customFormat="1" ht="14.25" customHeight="1" x14ac:dyDescent="0.25"/>
    <row r="695" s="2" customFormat="1" ht="14.25" customHeight="1" x14ac:dyDescent="0.25"/>
    <row r="696" s="2" customFormat="1" ht="14.25" customHeight="1" x14ac:dyDescent="0.25"/>
    <row r="697" s="2" customFormat="1" ht="14.25" customHeight="1" x14ac:dyDescent="0.25"/>
    <row r="698" s="2" customFormat="1" ht="14.25" customHeight="1" x14ac:dyDescent="0.25"/>
    <row r="699" s="2" customFormat="1" ht="14.25" customHeight="1" x14ac:dyDescent="0.25"/>
    <row r="700" s="2" customFormat="1" ht="14.25" customHeight="1" x14ac:dyDescent="0.25"/>
    <row r="701" s="2" customFormat="1" ht="14.25" customHeight="1" x14ac:dyDescent="0.25"/>
    <row r="702" s="2" customFormat="1" ht="14.25" customHeight="1" x14ac:dyDescent="0.25"/>
    <row r="703" s="2" customFormat="1" ht="14.25" customHeight="1" x14ac:dyDescent="0.25"/>
    <row r="704" s="2" customFormat="1" ht="14.25" customHeight="1" x14ac:dyDescent="0.25"/>
    <row r="705" s="2" customFormat="1" ht="14.25" customHeight="1" x14ac:dyDescent="0.25"/>
    <row r="706" s="2" customFormat="1" ht="14.25" customHeight="1" x14ac:dyDescent="0.25"/>
    <row r="707" s="2" customFormat="1" ht="14.25" customHeight="1" x14ac:dyDescent="0.25"/>
    <row r="708" s="2" customFormat="1" ht="14.25" customHeight="1" x14ac:dyDescent="0.25"/>
    <row r="709" s="2" customFormat="1" ht="14.25" customHeight="1" x14ac:dyDescent="0.25"/>
    <row r="710" s="2" customFormat="1" ht="14.25" customHeight="1" x14ac:dyDescent="0.25"/>
    <row r="711" s="2" customFormat="1" ht="14.25" customHeight="1" x14ac:dyDescent="0.25"/>
    <row r="712" s="2" customFormat="1" ht="14.25" customHeight="1" x14ac:dyDescent="0.25"/>
    <row r="713" s="2" customFormat="1" ht="14.25" customHeight="1" x14ac:dyDescent="0.25"/>
    <row r="714" s="2" customFormat="1" ht="14.25" customHeight="1" x14ac:dyDescent="0.25"/>
    <row r="715" s="2" customFormat="1" ht="14.25" customHeight="1" x14ac:dyDescent="0.25"/>
    <row r="716" s="2" customFormat="1" ht="14.25" customHeight="1" x14ac:dyDescent="0.25"/>
    <row r="717" s="2" customFormat="1" ht="14.25" customHeight="1" x14ac:dyDescent="0.25"/>
    <row r="718" s="2" customFormat="1" ht="14.25" customHeight="1" x14ac:dyDescent="0.25"/>
    <row r="719" s="2" customFormat="1" ht="14.25" customHeight="1" x14ac:dyDescent="0.25"/>
    <row r="720" s="2" customFormat="1" ht="14.25" customHeight="1" x14ac:dyDescent="0.25"/>
    <row r="721" s="2" customFormat="1" ht="14.25" customHeight="1" x14ac:dyDescent="0.25"/>
    <row r="722" s="2" customFormat="1" ht="14.25" customHeight="1" x14ac:dyDescent="0.25"/>
    <row r="723" s="2" customFormat="1" ht="14.25" customHeight="1" x14ac:dyDescent="0.25"/>
    <row r="724" s="2" customFormat="1" ht="14.25" customHeight="1" x14ac:dyDescent="0.25"/>
    <row r="725" s="2" customFormat="1" ht="14.25" customHeight="1" x14ac:dyDescent="0.25"/>
    <row r="726" s="2" customFormat="1" ht="14.25" customHeight="1" x14ac:dyDescent="0.25"/>
    <row r="727" s="2" customFormat="1" ht="14.25" customHeight="1" x14ac:dyDescent="0.25"/>
    <row r="728" s="2" customFormat="1" ht="14.25" customHeight="1" x14ac:dyDescent="0.25"/>
    <row r="729" s="2" customFormat="1" ht="14.25" customHeight="1" x14ac:dyDescent="0.25"/>
    <row r="730" s="2" customFormat="1" ht="14.25" customHeight="1" x14ac:dyDescent="0.25"/>
    <row r="731" s="2" customFormat="1" ht="14.25" customHeight="1" x14ac:dyDescent="0.25"/>
    <row r="732" s="2" customFormat="1" ht="14.25" customHeight="1" x14ac:dyDescent="0.25"/>
    <row r="733" s="2" customFormat="1" ht="14.25" customHeight="1" x14ac:dyDescent="0.25"/>
    <row r="734" s="2" customFormat="1" ht="14.25" customHeight="1" x14ac:dyDescent="0.25"/>
    <row r="735" s="2" customFormat="1" ht="14.25" customHeight="1" x14ac:dyDescent="0.25"/>
    <row r="736" s="2" customFormat="1" ht="14.25" customHeight="1" x14ac:dyDescent="0.25"/>
    <row r="737" s="2" customFormat="1" ht="14.25" customHeight="1" x14ac:dyDescent="0.25"/>
    <row r="738" s="2" customFormat="1" ht="14.25" customHeight="1" x14ac:dyDescent="0.25"/>
    <row r="739" s="2" customFormat="1" ht="14.25" customHeight="1" x14ac:dyDescent="0.25"/>
    <row r="740" s="2" customFormat="1" ht="14.25" customHeight="1" x14ac:dyDescent="0.25"/>
    <row r="741" s="2" customFormat="1" ht="14.25" customHeight="1" x14ac:dyDescent="0.25"/>
    <row r="742" s="2" customFormat="1" ht="14.25" customHeight="1" x14ac:dyDescent="0.25"/>
    <row r="743" s="2" customFormat="1" ht="14.25" customHeight="1" x14ac:dyDescent="0.25"/>
    <row r="744" s="2" customFormat="1" ht="14.25" customHeight="1" x14ac:dyDescent="0.25"/>
    <row r="745" s="2" customFormat="1" ht="14.25" customHeight="1" x14ac:dyDescent="0.25"/>
    <row r="746" s="2" customFormat="1" ht="14.25" customHeight="1" x14ac:dyDescent="0.25"/>
    <row r="747" s="2" customFormat="1" ht="14.25" customHeight="1" x14ac:dyDescent="0.25"/>
    <row r="748" s="2" customFormat="1" ht="14.25" customHeight="1" x14ac:dyDescent="0.25"/>
    <row r="749" s="2" customFormat="1" ht="14.25" customHeight="1" x14ac:dyDescent="0.25"/>
    <row r="750" s="2" customFormat="1" ht="14.25" customHeight="1" x14ac:dyDescent="0.25"/>
    <row r="751" s="2" customFormat="1" ht="14.25" customHeight="1" x14ac:dyDescent="0.25"/>
    <row r="752" s="2" customFormat="1" ht="14.25" customHeight="1" x14ac:dyDescent="0.25"/>
    <row r="753" s="2" customFormat="1" ht="14.25" customHeight="1" x14ac:dyDescent="0.25"/>
    <row r="754" s="2" customFormat="1" ht="14.25" customHeight="1" x14ac:dyDescent="0.25"/>
    <row r="755" s="2" customFormat="1" ht="14.25" customHeight="1" x14ac:dyDescent="0.25"/>
    <row r="756" s="2" customFormat="1" ht="14.25" customHeight="1" x14ac:dyDescent="0.25"/>
    <row r="757" s="2" customFormat="1" ht="14.25" customHeight="1" x14ac:dyDescent="0.25"/>
    <row r="758" s="2" customFormat="1" ht="14.25" customHeight="1" x14ac:dyDescent="0.25"/>
    <row r="759" s="2" customFormat="1" ht="14.25" customHeight="1" x14ac:dyDescent="0.25"/>
    <row r="760" s="2" customFormat="1" ht="14.25" customHeight="1" x14ac:dyDescent="0.25"/>
    <row r="761" s="2" customFormat="1" ht="14.25" customHeight="1" x14ac:dyDescent="0.25"/>
    <row r="762" s="2" customFormat="1" ht="14.25" customHeight="1" x14ac:dyDescent="0.25"/>
    <row r="763" s="2" customFormat="1" ht="14.25" customHeight="1" x14ac:dyDescent="0.25"/>
    <row r="764" s="2" customFormat="1" ht="14.25" customHeight="1" x14ac:dyDescent="0.25"/>
    <row r="765" s="2" customFormat="1" ht="14.25" customHeight="1" x14ac:dyDescent="0.25"/>
    <row r="766" s="2" customFormat="1" ht="14.25" customHeight="1" x14ac:dyDescent="0.25"/>
    <row r="767" s="2" customFormat="1" ht="14.25" customHeight="1" x14ac:dyDescent="0.25"/>
    <row r="768" s="2" customFormat="1" ht="14.25" customHeight="1" x14ac:dyDescent="0.25"/>
    <row r="769" s="2" customFormat="1" ht="14.25" customHeight="1" x14ac:dyDescent="0.25"/>
    <row r="770" s="2" customFormat="1" ht="14.25" customHeight="1" x14ac:dyDescent="0.25"/>
    <row r="771" s="2" customFormat="1" ht="14.25" customHeight="1" x14ac:dyDescent="0.25"/>
    <row r="772" s="2" customFormat="1" ht="14.25" customHeight="1" x14ac:dyDescent="0.25"/>
    <row r="773" s="2" customFormat="1" ht="14.25" customHeight="1" x14ac:dyDescent="0.25"/>
    <row r="774" s="2" customFormat="1" ht="14.25" customHeight="1" x14ac:dyDescent="0.25"/>
    <row r="775" s="2" customFormat="1" ht="14.25" customHeight="1" x14ac:dyDescent="0.25"/>
    <row r="776" s="2" customFormat="1" ht="14.25" customHeight="1" x14ac:dyDescent="0.25"/>
    <row r="777" s="2" customFormat="1" ht="14.25" customHeight="1" x14ac:dyDescent="0.25"/>
    <row r="778" s="2" customFormat="1" ht="14.25" customHeight="1" x14ac:dyDescent="0.25"/>
    <row r="779" s="2" customFormat="1" ht="14.25" customHeight="1" x14ac:dyDescent="0.25"/>
    <row r="780" s="2" customFormat="1" ht="14.25" customHeight="1" x14ac:dyDescent="0.25"/>
    <row r="781" s="2" customFormat="1" ht="14.25" customHeight="1" x14ac:dyDescent="0.25"/>
    <row r="782" s="2" customFormat="1" ht="14.25" customHeight="1" x14ac:dyDescent="0.25"/>
    <row r="783" s="2" customFormat="1" ht="14.25" customHeight="1" x14ac:dyDescent="0.25"/>
    <row r="784" s="2" customFormat="1" ht="14.25" customHeight="1" x14ac:dyDescent="0.25"/>
    <row r="785" s="2" customFormat="1" ht="14.25" customHeight="1" x14ac:dyDescent="0.25"/>
    <row r="786" s="2" customFormat="1" ht="14.25" customHeight="1" x14ac:dyDescent="0.25"/>
    <row r="787" s="2" customFormat="1" ht="14.25" customHeight="1" x14ac:dyDescent="0.25"/>
    <row r="788" s="2" customFormat="1" ht="14.25" customHeight="1" x14ac:dyDescent="0.25"/>
    <row r="789" s="2" customFormat="1" ht="14.25" customHeight="1" x14ac:dyDescent="0.25"/>
    <row r="790" s="2" customFormat="1" ht="14.25" customHeight="1" x14ac:dyDescent="0.25"/>
    <row r="791" s="2" customFormat="1" ht="14.25" customHeight="1" x14ac:dyDescent="0.25"/>
    <row r="792" s="2" customFormat="1" ht="14.25" customHeight="1" x14ac:dyDescent="0.25"/>
    <row r="793" s="2" customFormat="1" ht="14.25" customHeight="1" x14ac:dyDescent="0.25"/>
    <row r="794" s="2" customFormat="1" ht="14.25" customHeight="1" x14ac:dyDescent="0.25"/>
    <row r="795" s="2" customFormat="1" ht="14.25" customHeight="1" x14ac:dyDescent="0.25"/>
    <row r="796" s="2" customFormat="1" ht="14.25" customHeight="1" x14ac:dyDescent="0.25"/>
    <row r="797" s="2" customFormat="1" ht="14.25" customHeight="1" x14ac:dyDescent="0.25"/>
    <row r="798" s="2" customFormat="1" ht="14.25" customHeight="1" x14ac:dyDescent="0.25"/>
    <row r="799" s="2" customFormat="1" ht="14.25" customHeight="1" x14ac:dyDescent="0.25"/>
    <row r="800" s="2" customFormat="1" ht="14.25" customHeight="1" x14ac:dyDescent="0.25"/>
    <row r="801" s="2" customFormat="1" ht="14.25" customHeight="1" x14ac:dyDescent="0.25"/>
    <row r="802" s="2" customFormat="1" ht="14.25" customHeight="1" x14ac:dyDescent="0.25"/>
    <row r="803" s="2" customFormat="1" ht="14.25" customHeight="1" x14ac:dyDescent="0.25"/>
    <row r="804" s="2" customFormat="1" ht="14.25" customHeight="1" x14ac:dyDescent="0.25"/>
    <row r="805" s="2" customFormat="1" ht="14.25" customHeight="1" x14ac:dyDescent="0.25"/>
    <row r="806" s="2" customFormat="1" ht="14.25" customHeight="1" x14ac:dyDescent="0.25"/>
    <row r="807" s="2" customFormat="1" ht="14.25" customHeight="1" x14ac:dyDescent="0.25"/>
    <row r="808" s="2" customFormat="1" ht="14.25" customHeight="1" x14ac:dyDescent="0.25"/>
    <row r="809" s="2" customFormat="1" ht="14.25" customHeight="1" x14ac:dyDescent="0.25"/>
    <row r="810" s="2" customFormat="1" ht="14.25" customHeight="1" x14ac:dyDescent="0.25"/>
    <row r="811" s="2" customFormat="1" ht="14.25" customHeight="1" x14ac:dyDescent="0.25"/>
    <row r="812" s="2" customFormat="1" ht="14.25" customHeight="1" x14ac:dyDescent="0.25"/>
    <row r="813" s="2" customFormat="1" ht="14.25" customHeight="1" x14ac:dyDescent="0.25"/>
    <row r="814" s="2" customFormat="1" ht="14.25" customHeight="1" x14ac:dyDescent="0.25"/>
    <row r="815" s="2" customFormat="1" ht="14.25" customHeight="1" x14ac:dyDescent="0.25"/>
    <row r="816" s="2" customFormat="1" ht="14.25" customHeight="1" x14ac:dyDescent="0.25"/>
    <row r="817" s="2" customFormat="1" ht="14.25" customHeight="1" x14ac:dyDescent="0.25"/>
    <row r="818" s="2" customFormat="1" ht="14.25" customHeight="1" x14ac:dyDescent="0.25"/>
    <row r="819" s="2" customFormat="1" ht="14.25" customHeight="1" x14ac:dyDescent="0.25"/>
    <row r="820" s="2" customFormat="1" ht="14.25" customHeight="1" x14ac:dyDescent="0.25"/>
    <row r="821" s="2" customFormat="1" ht="14.25" customHeight="1" x14ac:dyDescent="0.25"/>
    <row r="822" s="2" customFormat="1" ht="14.25" customHeight="1" x14ac:dyDescent="0.25"/>
    <row r="823" s="2" customFormat="1" ht="14.25" customHeight="1" x14ac:dyDescent="0.25"/>
    <row r="824" s="2" customFormat="1" ht="14.25" customHeight="1" x14ac:dyDescent="0.25"/>
    <row r="825" s="2" customFormat="1" ht="14.25" customHeight="1" x14ac:dyDescent="0.25"/>
    <row r="826" s="2" customFormat="1" ht="14.25" customHeight="1" x14ac:dyDescent="0.25"/>
    <row r="827" s="2" customFormat="1" ht="14.25" customHeight="1" x14ac:dyDescent="0.25"/>
    <row r="828" s="2" customFormat="1" ht="14.25" customHeight="1" x14ac:dyDescent="0.25"/>
    <row r="829" s="2" customFormat="1" ht="14.25" customHeight="1" x14ac:dyDescent="0.25"/>
    <row r="830" s="2" customFormat="1" ht="14.25" customHeight="1" x14ac:dyDescent="0.25"/>
    <row r="831" s="2" customFormat="1" ht="14.25" customHeight="1" x14ac:dyDescent="0.25"/>
    <row r="832" s="2" customFormat="1" ht="14.25" customHeight="1" x14ac:dyDescent="0.25"/>
    <row r="833" s="2" customFormat="1" ht="14.25" customHeight="1" x14ac:dyDescent="0.25"/>
    <row r="834" s="2" customFormat="1" ht="14.25" customHeight="1" x14ac:dyDescent="0.25"/>
    <row r="835" s="2" customFormat="1" ht="14.25" customHeight="1" x14ac:dyDescent="0.25"/>
    <row r="836" s="2" customFormat="1" ht="14.25" customHeight="1" x14ac:dyDescent="0.25"/>
    <row r="837" s="2" customFormat="1" ht="14.25" customHeight="1" x14ac:dyDescent="0.25"/>
    <row r="838" s="2" customFormat="1" ht="14.25" customHeight="1" x14ac:dyDescent="0.25"/>
    <row r="839" s="2" customFormat="1" ht="14.25" customHeight="1" x14ac:dyDescent="0.25"/>
    <row r="840" s="2" customFormat="1" ht="14.25" customHeight="1" x14ac:dyDescent="0.25"/>
    <row r="841" s="2" customFormat="1" ht="14.25" customHeight="1" x14ac:dyDescent="0.25"/>
    <row r="842" s="2" customFormat="1" ht="14.25" customHeight="1" x14ac:dyDescent="0.25"/>
    <row r="843" s="2" customFormat="1" ht="14.25" customHeight="1" x14ac:dyDescent="0.25"/>
    <row r="844" s="2" customFormat="1" ht="14.25" customHeight="1" x14ac:dyDescent="0.25"/>
    <row r="845" s="2" customFormat="1" ht="14.25" customHeight="1" x14ac:dyDescent="0.25"/>
    <row r="846" s="2" customFormat="1" ht="14.25" customHeight="1" x14ac:dyDescent="0.25"/>
    <row r="847" s="2" customFormat="1" ht="14.25" customHeight="1" x14ac:dyDescent="0.25"/>
    <row r="848" s="2" customFormat="1" ht="14.25" customHeight="1" x14ac:dyDescent="0.25"/>
    <row r="849" s="2" customFormat="1" ht="14.25" customHeight="1" x14ac:dyDescent="0.25"/>
    <row r="850" s="2" customFormat="1" ht="14.25" customHeight="1" x14ac:dyDescent="0.25"/>
    <row r="851" s="2" customFormat="1" ht="14.25" customHeight="1" x14ac:dyDescent="0.25"/>
    <row r="852" s="2" customFormat="1" ht="14.25" customHeight="1" x14ac:dyDescent="0.25"/>
    <row r="853" s="2" customFormat="1" ht="14.25" customHeight="1" x14ac:dyDescent="0.25"/>
    <row r="854" s="2" customFormat="1" ht="14.25" customHeight="1" x14ac:dyDescent="0.25"/>
    <row r="855" s="2" customFormat="1" ht="14.25" customHeight="1" x14ac:dyDescent="0.25"/>
    <row r="856" s="2" customFormat="1" ht="14.25" customHeight="1" x14ac:dyDescent="0.25"/>
    <row r="857" s="2" customFormat="1" ht="14.25" customHeight="1" x14ac:dyDescent="0.25"/>
    <row r="858" s="2" customFormat="1" ht="14.25" customHeight="1" x14ac:dyDescent="0.25"/>
    <row r="859" s="2" customFormat="1" ht="14.25" customHeight="1" x14ac:dyDescent="0.25"/>
    <row r="860" s="2" customFormat="1" ht="14.25" customHeight="1" x14ac:dyDescent="0.25"/>
    <row r="861" s="2" customFormat="1" ht="14.25" customHeight="1" x14ac:dyDescent="0.25"/>
    <row r="862" s="2" customFormat="1" ht="14.25" customHeight="1" x14ac:dyDescent="0.25"/>
    <row r="863" s="2" customFormat="1" ht="14.25" customHeight="1" x14ac:dyDescent="0.25"/>
    <row r="864" s="2" customFormat="1" ht="14.25" customHeight="1" x14ac:dyDescent="0.25"/>
    <row r="865" s="2" customFormat="1" ht="14.25" customHeight="1" x14ac:dyDescent="0.25"/>
    <row r="866" s="2" customFormat="1" ht="14.25" customHeight="1" x14ac:dyDescent="0.25"/>
    <row r="867" s="2" customFormat="1" ht="14.25" customHeight="1" x14ac:dyDescent="0.25"/>
    <row r="868" s="2" customFormat="1" ht="14.25" customHeight="1" x14ac:dyDescent="0.25"/>
    <row r="869" s="2" customFormat="1" ht="14.25" customHeight="1" x14ac:dyDescent="0.25"/>
    <row r="870" s="2" customFormat="1" ht="14.25" customHeight="1" x14ac:dyDescent="0.25"/>
    <row r="871" s="2" customFormat="1" ht="14.25" customHeight="1" x14ac:dyDescent="0.25"/>
    <row r="872" s="2" customFormat="1" ht="14.25" customHeight="1" x14ac:dyDescent="0.25"/>
    <row r="873" s="2" customFormat="1" ht="14.25" customHeight="1" x14ac:dyDescent="0.25"/>
    <row r="874" s="2" customFormat="1" ht="14.25" customHeight="1" x14ac:dyDescent="0.25"/>
    <row r="875" s="2" customFormat="1" ht="14.25" customHeight="1" x14ac:dyDescent="0.25"/>
    <row r="876" s="2" customFormat="1" ht="14.25" customHeight="1" x14ac:dyDescent="0.25"/>
    <row r="877" s="2" customFormat="1" ht="14.25" customHeight="1" x14ac:dyDescent="0.25"/>
    <row r="878" s="2" customFormat="1" ht="14.25" customHeight="1" x14ac:dyDescent="0.25"/>
    <row r="879" s="2" customFormat="1" ht="14.25" customHeight="1" x14ac:dyDescent="0.25"/>
    <row r="880" s="2" customFormat="1" ht="14.25" customHeight="1" x14ac:dyDescent="0.25"/>
    <row r="881" s="2" customFormat="1" ht="14.25" customHeight="1" x14ac:dyDescent="0.25"/>
    <row r="882" s="2" customFormat="1" ht="14.25" customHeight="1" x14ac:dyDescent="0.25"/>
    <row r="883" s="2" customFormat="1" ht="14.25" customHeight="1" x14ac:dyDescent="0.25"/>
    <row r="884" s="2" customFormat="1" ht="14.25" customHeight="1" x14ac:dyDescent="0.25"/>
    <row r="885" s="2" customFormat="1" ht="14.25" customHeight="1" x14ac:dyDescent="0.25"/>
    <row r="886" s="2" customFormat="1" ht="14.25" customHeight="1" x14ac:dyDescent="0.25"/>
    <row r="887" s="2" customFormat="1" ht="14.25" customHeight="1" x14ac:dyDescent="0.25"/>
    <row r="888" s="2" customFormat="1" ht="14.25" customHeight="1" x14ac:dyDescent="0.25"/>
    <row r="889" s="2" customFormat="1" ht="14.25" customHeight="1" x14ac:dyDescent="0.25"/>
    <row r="890" s="2" customFormat="1" ht="14.25" customHeight="1" x14ac:dyDescent="0.25"/>
    <row r="891" s="2" customFormat="1" ht="14.25" customHeight="1" x14ac:dyDescent="0.25"/>
    <row r="892" s="2" customFormat="1" ht="14.25" customHeight="1" x14ac:dyDescent="0.25"/>
    <row r="893" s="2" customFormat="1" ht="14.25" customHeight="1" x14ac:dyDescent="0.25"/>
    <row r="894" s="2" customFormat="1" ht="14.25" customHeight="1" x14ac:dyDescent="0.25"/>
    <row r="895" s="2" customFormat="1" ht="14.25" customHeight="1" x14ac:dyDescent="0.25"/>
    <row r="896" s="2" customFormat="1" ht="14.25" customHeight="1" x14ac:dyDescent="0.25"/>
    <row r="897" s="2" customFormat="1" ht="14.25" customHeight="1" x14ac:dyDescent="0.25"/>
    <row r="898" s="2" customFormat="1" ht="14.25" customHeight="1" x14ac:dyDescent="0.25"/>
    <row r="899" s="2" customFormat="1" ht="14.25" customHeight="1" x14ac:dyDescent="0.25"/>
    <row r="900" s="2" customFormat="1" ht="14.25" customHeight="1" x14ac:dyDescent="0.25"/>
    <row r="901" s="2" customFormat="1" ht="14.25" customHeight="1" x14ac:dyDescent="0.25"/>
    <row r="902" s="2" customFormat="1" ht="14.25" customHeight="1" x14ac:dyDescent="0.25"/>
    <row r="903" s="2" customFormat="1" ht="14.25" customHeight="1" x14ac:dyDescent="0.25"/>
    <row r="904" s="2" customFormat="1" ht="14.25" customHeight="1" x14ac:dyDescent="0.25"/>
    <row r="905" s="2" customFormat="1" ht="14.25" customHeight="1" x14ac:dyDescent="0.25"/>
    <row r="906" s="2" customFormat="1" ht="14.25" customHeight="1" x14ac:dyDescent="0.25"/>
    <row r="907" s="2" customFormat="1" ht="14.25" customHeight="1" x14ac:dyDescent="0.25"/>
    <row r="908" s="2" customFormat="1" ht="14.25" customHeight="1" x14ac:dyDescent="0.25"/>
    <row r="909" s="2" customFormat="1" ht="14.25" customHeight="1" x14ac:dyDescent="0.25"/>
    <row r="910" s="2" customFormat="1" ht="14.25" customHeight="1" x14ac:dyDescent="0.25"/>
    <row r="911" s="2" customFormat="1" ht="14.25" customHeight="1" x14ac:dyDescent="0.25"/>
    <row r="912" s="2" customFormat="1" ht="14.25" customHeight="1" x14ac:dyDescent="0.25"/>
    <row r="913" s="2" customFormat="1" ht="14.25" customHeight="1" x14ac:dyDescent="0.25"/>
    <row r="914" s="2" customFormat="1" ht="14.25" customHeight="1" x14ac:dyDescent="0.25"/>
    <row r="915" s="2" customFormat="1" ht="14.25" customHeight="1" x14ac:dyDescent="0.25"/>
    <row r="916" s="2" customFormat="1" ht="14.25" customHeight="1" x14ac:dyDescent="0.25"/>
    <row r="917" s="2" customFormat="1" ht="14.25" customHeight="1" x14ac:dyDescent="0.25"/>
    <row r="918" s="2" customFormat="1" ht="14.25" customHeight="1" x14ac:dyDescent="0.25"/>
    <row r="919" s="2" customFormat="1" ht="14.25" customHeight="1" x14ac:dyDescent="0.25"/>
    <row r="920" s="2" customFormat="1" ht="14.25" customHeight="1" x14ac:dyDescent="0.25"/>
    <row r="921" s="2" customFormat="1" ht="14.25" customHeight="1" x14ac:dyDescent="0.25"/>
    <row r="922" s="2" customFormat="1" ht="14.25" customHeight="1" x14ac:dyDescent="0.25"/>
    <row r="923" s="2" customFormat="1" ht="14.25" customHeight="1" x14ac:dyDescent="0.25"/>
    <row r="924" s="2" customFormat="1" ht="14.25" customHeight="1" x14ac:dyDescent="0.25"/>
    <row r="925" s="2" customFormat="1" ht="14.25" customHeight="1" x14ac:dyDescent="0.25"/>
    <row r="926" s="2" customFormat="1" ht="14.25" customHeight="1" x14ac:dyDescent="0.25"/>
    <row r="927" s="2" customFormat="1" ht="14.25" customHeight="1" x14ac:dyDescent="0.25"/>
    <row r="928" s="2" customFormat="1" ht="14.25" customHeight="1" x14ac:dyDescent="0.25"/>
    <row r="929" s="2" customFormat="1" ht="14.25" customHeight="1" x14ac:dyDescent="0.25"/>
    <row r="930" s="2" customFormat="1" ht="14.25" customHeight="1" x14ac:dyDescent="0.25"/>
    <row r="931" s="2" customFormat="1" ht="14.25" customHeight="1" x14ac:dyDescent="0.25"/>
    <row r="932" s="2" customFormat="1" ht="14.25" customHeight="1" x14ac:dyDescent="0.25"/>
    <row r="933" s="2" customFormat="1" ht="14.25" customHeight="1" x14ac:dyDescent="0.25"/>
    <row r="934" s="2" customFormat="1" ht="14.25" customHeight="1" x14ac:dyDescent="0.25"/>
    <row r="935" s="2" customFormat="1" ht="14.25" customHeight="1" x14ac:dyDescent="0.25"/>
    <row r="936" s="2" customFormat="1" ht="14.25" customHeight="1" x14ac:dyDescent="0.25"/>
    <row r="937" s="2" customFormat="1" ht="14.25" customHeight="1" x14ac:dyDescent="0.25"/>
    <row r="938" s="2" customFormat="1" ht="14.25" customHeight="1" x14ac:dyDescent="0.25"/>
    <row r="939" s="2" customFormat="1" ht="14.25" customHeight="1" x14ac:dyDescent="0.25"/>
    <row r="940" s="2" customFormat="1" ht="14.25" customHeight="1" x14ac:dyDescent="0.25"/>
    <row r="941" s="2" customFormat="1" ht="14.25" customHeight="1" x14ac:dyDescent="0.25"/>
    <row r="942" s="2" customFormat="1" ht="14.25" customHeight="1" x14ac:dyDescent="0.25"/>
    <row r="943" s="2" customFormat="1" ht="14.25" customHeight="1" x14ac:dyDescent="0.25"/>
    <row r="944" s="2" customFormat="1" ht="14.25" customHeight="1" x14ac:dyDescent="0.25"/>
    <row r="945" s="2" customFormat="1" ht="14.25" customHeight="1" x14ac:dyDescent="0.25"/>
    <row r="946" s="2" customFormat="1" ht="14.25" customHeight="1" x14ac:dyDescent="0.25"/>
    <row r="947" s="2" customFormat="1" ht="14.25" customHeight="1" x14ac:dyDescent="0.25"/>
    <row r="948" s="2" customFormat="1" ht="14.25" customHeight="1" x14ac:dyDescent="0.25"/>
    <row r="949" s="2" customFormat="1" ht="14.25" customHeight="1" x14ac:dyDescent="0.25"/>
    <row r="950" s="2" customFormat="1" ht="14.25" customHeight="1" x14ac:dyDescent="0.25"/>
    <row r="951" s="2" customFormat="1" ht="14.25" customHeight="1" x14ac:dyDescent="0.25"/>
    <row r="952" s="2" customFormat="1" ht="14.25" customHeight="1" x14ac:dyDescent="0.25"/>
    <row r="953" s="2" customFormat="1" ht="14.25" customHeight="1" x14ac:dyDescent="0.25"/>
    <row r="954" s="2" customFormat="1" ht="14.25" customHeight="1" x14ac:dyDescent="0.25"/>
    <row r="955" s="2" customFormat="1" ht="14.25" customHeight="1" x14ac:dyDescent="0.25"/>
    <row r="956" s="2" customFormat="1" ht="14.25" customHeight="1" x14ac:dyDescent="0.25"/>
    <row r="957" s="2" customFormat="1" ht="14.25" customHeight="1" x14ac:dyDescent="0.25"/>
    <row r="958" s="2" customFormat="1" ht="14.25" customHeight="1" x14ac:dyDescent="0.25"/>
    <row r="959" s="2" customFormat="1" ht="14.25" customHeight="1" x14ac:dyDescent="0.25"/>
    <row r="960" s="2" customFormat="1" ht="14.25" customHeight="1" x14ac:dyDescent="0.25"/>
    <row r="961" s="2" customFormat="1" ht="14.25" customHeight="1" x14ac:dyDescent="0.25"/>
    <row r="962" s="2" customFormat="1" ht="14.25" customHeight="1" x14ac:dyDescent="0.25"/>
    <row r="963" s="2" customFormat="1" ht="14.25" customHeight="1" x14ac:dyDescent="0.25"/>
    <row r="964" s="2" customFormat="1" ht="14.25" customHeight="1" x14ac:dyDescent="0.25"/>
    <row r="965" s="2" customFormat="1" ht="14.25" customHeight="1" x14ac:dyDescent="0.25"/>
    <row r="966" s="2" customFormat="1" ht="14.25" customHeight="1" x14ac:dyDescent="0.25"/>
    <row r="967" s="2" customFormat="1" ht="14.25" customHeight="1" x14ac:dyDescent="0.25"/>
    <row r="968" s="2" customFormat="1" ht="14.25" customHeight="1" x14ac:dyDescent="0.25"/>
    <row r="969" s="2" customFormat="1" ht="14.25" customHeight="1" x14ac:dyDescent="0.25"/>
    <row r="970" s="2" customFormat="1" ht="14.25" customHeight="1" x14ac:dyDescent="0.25"/>
    <row r="971" s="2" customFormat="1" ht="14.25" customHeight="1" x14ac:dyDescent="0.25"/>
    <row r="972" s="2" customFormat="1" ht="14.25" customHeight="1" x14ac:dyDescent="0.25"/>
    <row r="973" s="2" customFormat="1" ht="14.25" customHeight="1" x14ac:dyDescent="0.25"/>
    <row r="974" s="2" customFormat="1" ht="14.25" customHeight="1" x14ac:dyDescent="0.25"/>
    <row r="975" s="2" customFormat="1" ht="14.25" customHeight="1" x14ac:dyDescent="0.25"/>
    <row r="976" s="2" customFormat="1" ht="14.25" customHeight="1" x14ac:dyDescent="0.25"/>
    <row r="977" s="2" customFormat="1" ht="14.25" customHeight="1" x14ac:dyDescent="0.25"/>
    <row r="978" s="2" customFormat="1" ht="14.25" customHeight="1" x14ac:dyDescent="0.25"/>
    <row r="979" s="2" customFormat="1" ht="14.25" customHeight="1" x14ac:dyDescent="0.25"/>
    <row r="980" s="2" customFormat="1" ht="14.25" customHeight="1" x14ac:dyDescent="0.25"/>
    <row r="981" s="2" customFormat="1" ht="14.25" customHeight="1" x14ac:dyDescent="0.25"/>
    <row r="982" s="2" customFormat="1" ht="14.25" customHeight="1" x14ac:dyDescent="0.25"/>
    <row r="983" s="2" customFormat="1" ht="14.25" customHeight="1" x14ac:dyDescent="0.25"/>
    <row r="984" s="2" customFormat="1" ht="14.25" customHeight="1" x14ac:dyDescent="0.25"/>
    <row r="985" s="2" customFormat="1" ht="14.25" customHeight="1" x14ac:dyDescent="0.25"/>
    <row r="986" s="2" customFormat="1" ht="14.25" customHeight="1" x14ac:dyDescent="0.25"/>
    <row r="987" s="2" customFormat="1" ht="14.25" customHeight="1" x14ac:dyDescent="0.25"/>
    <row r="988" s="2" customFormat="1" ht="14.25" customHeight="1" x14ac:dyDescent="0.25"/>
    <row r="989" s="2" customFormat="1" ht="14.25" customHeight="1" x14ac:dyDescent="0.25"/>
    <row r="990" s="2" customFormat="1" ht="14.25" customHeight="1" x14ac:dyDescent="0.25"/>
    <row r="991" s="2" customFormat="1" ht="14.25" customHeight="1" x14ac:dyDescent="0.25"/>
    <row r="992" s="2" customFormat="1" ht="14.25" customHeight="1" x14ac:dyDescent="0.25"/>
    <row r="993" s="2" customFormat="1" ht="14.25" customHeight="1" x14ac:dyDescent="0.25"/>
    <row r="994" s="2" customFormat="1" ht="14.25" customHeight="1" x14ac:dyDescent="0.25"/>
    <row r="995" s="2" customFormat="1" ht="14.25" customHeight="1" x14ac:dyDescent="0.25"/>
    <row r="996" s="2" customFormat="1" ht="14.25" customHeight="1" x14ac:dyDescent="0.25"/>
    <row r="997" s="2" customFormat="1" ht="14.25" customHeight="1" x14ac:dyDescent="0.25"/>
    <row r="998" s="2" customFormat="1" ht="14.25" customHeight="1" x14ac:dyDescent="0.25"/>
    <row r="999" s="2" customFormat="1" ht="14.25" customHeight="1" x14ac:dyDescent="0.25"/>
    <row r="1000" s="2" customFormat="1" ht="14.25" customHeight="1" x14ac:dyDescent="0.25"/>
  </sheetData>
  <mergeCells count="5">
    <mergeCell ref="F1:L1"/>
    <mergeCell ref="M1:O1"/>
    <mergeCell ref="P1:Q1"/>
    <mergeCell ref="R1:S1"/>
    <mergeCell ref="T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CDD9-8F5A-48DE-BA1A-32BCBE4D82E3}">
  <dimension ref="A1:AK8"/>
  <sheetViews>
    <sheetView workbookViewId="0">
      <selection activeCell="O8" sqref="O8"/>
    </sheetView>
  </sheetViews>
  <sheetFormatPr defaultRowHeight="15" x14ac:dyDescent="0.25"/>
  <cols>
    <col min="1" max="1" width="9.140625" style="2"/>
    <col min="2" max="36" width="10.5703125" style="2" bestFit="1" customWidth="1"/>
    <col min="37" max="16384" width="9.140625" style="2"/>
  </cols>
  <sheetData>
    <row r="1" spans="1:37" ht="45" x14ac:dyDescent="0.25">
      <c r="B1" s="7" t="s">
        <v>0</v>
      </c>
      <c r="C1" s="7"/>
      <c r="D1" s="7"/>
      <c r="E1" s="7"/>
      <c r="F1" s="7"/>
      <c r="G1" s="7"/>
      <c r="H1" s="7"/>
      <c r="I1" s="8" t="s">
        <v>1</v>
      </c>
      <c r="J1" s="8"/>
      <c r="K1" s="8"/>
      <c r="L1" s="8"/>
      <c r="M1" s="3" t="s">
        <v>2</v>
      </c>
      <c r="N1" s="8" t="s">
        <v>3</v>
      </c>
      <c r="O1" s="8"/>
      <c r="P1" s="8"/>
      <c r="Q1" s="8"/>
      <c r="R1" s="3" t="s">
        <v>4</v>
      </c>
      <c r="S1" s="8" t="s">
        <v>5</v>
      </c>
      <c r="T1" s="8"/>
      <c r="U1" s="3" t="s">
        <v>6</v>
      </c>
      <c r="V1" s="9" t="s">
        <v>7</v>
      </c>
      <c r="W1" s="7" t="s">
        <v>8</v>
      </c>
      <c r="X1" s="7"/>
      <c r="Y1" s="7" t="s">
        <v>9</v>
      </c>
      <c r="Z1" s="7"/>
      <c r="AA1" s="7"/>
      <c r="AB1" s="8" t="s">
        <v>10</v>
      </c>
      <c r="AC1" s="8"/>
      <c r="AD1" s="8"/>
      <c r="AE1" s="8"/>
      <c r="AF1" s="8"/>
      <c r="AG1" s="8"/>
      <c r="AH1" s="8"/>
      <c r="AI1" s="2" t="s">
        <v>11</v>
      </c>
      <c r="AJ1" s="2" t="s">
        <v>12</v>
      </c>
      <c r="AK1" s="2" t="s">
        <v>13</v>
      </c>
    </row>
    <row r="2" spans="1:37" x14ac:dyDescent="0.25">
      <c r="B2" s="3" t="str">
        <f ca="1">IFERROR(__xludf.DUMMYFUNCTION("ARRAY_CONSTRAIN(ARRAYFORMULA(UNIQUE(D2:D165)), 35, 1)"),"Cereals")</f>
        <v>Cereals</v>
      </c>
      <c r="C2" s="3" t="str">
        <f ca="1">IFERROR(__xludf.DUMMYFUNCTION("""COMPUTED_VALUE"""),"Vegetables, fruit, nuts, pulses, spices")</f>
        <v>Vegetables, fruit, nuts, pulses, spices</v>
      </c>
      <c r="D2" s="3" t="str">
        <f ca="1">IFERROR(__xludf.DUMMYFUNCTION("""COMPUTED_VALUE"""),"Oil crops")</f>
        <v>Oil crops</v>
      </c>
      <c r="E2" s="3" t="s">
        <v>14</v>
      </c>
      <c r="F2" s="3" t="str">
        <f ca="1">IFERROR(__xludf.DUMMYFUNCTION("""COMPUTED_VALUE"""),"Fibre crops")</f>
        <v>Fibre crops</v>
      </c>
      <c r="G2" s="3" t="str">
        <f ca="1">IFERROR(__xludf.DUMMYFUNCTION("""COMPUTED_VALUE"""),"Roots and tubers")</f>
        <v>Roots and tubers</v>
      </c>
      <c r="H2" s="3" t="str">
        <f ca="1">IFERROR(__xludf.DUMMYFUNCTION("""COMPUTED_VALUE"""),"Tobacco")</f>
        <v>Tobacco</v>
      </c>
      <c r="I2" s="3" t="str">
        <f ca="1">IFERROR(__xludf.DUMMYFUNCTION("""COMPUTED_VALUE"""),"Vegetable oils, oil cakes")</f>
        <v>Vegetable oils, oil cakes</v>
      </c>
      <c r="J2" s="3" t="str">
        <f ca="1">IFERROR(__xludf.DUMMYFUNCTION("""COMPUTED_VALUE"""),"Processed food products")</f>
        <v>Processed food products</v>
      </c>
      <c r="K2" s="3" t="str">
        <f ca="1">IFERROR(__xludf.DUMMYFUNCTION("""COMPUTED_VALUE"""),"Coffee, tea, cocoa, ")</f>
        <v xml:space="preserve">Coffee, tea, cocoa, </v>
      </c>
      <c r="L2" s="3" t="str">
        <f ca="1">IFERROR(__xludf.DUMMYFUNCTION("""COMPUTED_VALUE"""),"Alcohol")</f>
        <v>Alcohol</v>
      </c>
      <c r="M2" s="3" t="str">
        <f ca="1">IFERROR(__xludf.DUMMYFUNCTION("""COMPUTED_VALUE"""),"Live animals")</f>
        <v>Live animals</v>
      </c>
      <c r="N2" s="10" t="str">
        <f ca="1">IFERROR(__xludf.DUMMYFUNCTION("""COMPUTED_VALUE"""),"Milk, Eggs, and Honey")</f>
        <v>Milk, Eggs, and Honey</v>
      </c>
      <c r="O2" s="3" t="str">
        <f ca="1">IFERROR(__xludf.DUMMYFUNCTION("""COMPUTED_VALUE"""),"Hides, skins, wool")</f>
        <v>Hides, skins, wool</v>
      </c>
      <c r="P2" s="3" t="str">
        <f ca="1">IFERROR(__xludf.DUMMYFUNCTION("""COMPUTED_VALUE"""),"Manure")</f>
        <v>Manure</v>
      </c>
      <c r="Q2" s="3" t="str">
        <f ca="1">IFERROR(__xludf.DUMMYFUNCTION("""COMPUTED_VALUE"""),"Meat, Animal Fats, and Fish")</f>
        <v>Meat, Animal Fats, and Fish</v>
      </c>
      <c r="R2" s="3" t="str">
        <f ca="1">IFERROR(__xludf.DUMMYFUNCTION("""COMPUTED_VALUE"""),"Wood products")</f>
        <v>Wood products</v>
      </c>
      <c r="S2" s="3" t="str">
        <f ca="1">IFERROR(__xludf.DUMMYFUNCTION("""COMPUTED_VALUE"""),"Textiles and Wearing apparel")</f>
        <v>Textiles and Wearing apparel</v>
      </c>
      <c r="T2" s="3" t="str">
        <f ca="1">IFERROR(__xludf.DUMMYFUNCTION("""COMPUTED_VALUE"""),"Paper and Pulp")</f>
        <v>Paper and Pulp</v>
      </c>
      <c r="U2" s="3" t="s">
        <v>15</v>
      </c>
      <c r="V2" s="3" t="str">
        <f ca="1">IFERROR(__xludf.DUMMYFUNCTION("""COMPUTED_VALUE"""),"biofuels, charcoal, rubber")</f>
        <v>biofuels, charcoal, rubber</v>
      </c>
      <c r="W2" s="3" t="str">
        <f ca="1">IFERROR(__xludf.DUMMYFUNCTION("""COMPUTED_VALUE"""),"Transport Vehicles")</f>
        <v>Transport Vehicles</v>
      </c>
      <c r="X2" s="3" t="str">
        <f ca="1">IFERROR(__xludf.DUMMYFUNCTION("""COMPUTED_VALUE"""),"Heterogeneous Machinery")</f>
        <v>Heterogeneous Machinery</v>
      </c>
      <c r="Y2" s="3" t="str">
        <f ca="1">IFERROR(__xludf.DUMMYFUNCTION("""COMPUTED_VALUE"""),"Electricity Production and Services")</f>
        <v>Electricity Production and Services</v>
      </c>
      <c r="Z2" s="3" t="str">
        <f ca="1">IFERROR(__xludf.DUMMYFUNCTION("""COMPUTED_VALUE"""),"Secondary Gases and Services")</f>
        <v>Secondary Gases and Services</v>
      </c>
      <c r="AA2" s="3" t="str">
        <f ca="1">IFERROR(__xludf.DUMMYFUNCTION("""COMPUTED_VALUE"""),"Water Services")</f>
        <v>Water Services</v>
      </c>
      <c r="AB2" s="3" t="str">
        <f ca="1">IFERROR(__xludf.DUMMYFUNCTION("""COMPUTED_VALUE"""),"Construction ")</f>
        <v xml:space="preserve">Construction </v>
      </c>
      <c r="AC2" s="3" t="str">
        <f ca="1">IFERROR(__xludf.DUMMYFUNCTION("""COMPUTED_VALUE"""),"Wholesale and retail trade ")</f>
        <v xml:space="preserve">Wholesale and retail trade </v>
      </c>
      <c r="AD2" s="3" t="str">
        <f ca="1">IFERROR(__xludf.DUMMYFUNCTION("""COMPUTED_VALUE"""),"Hotels and restaurants ")</f>
        <v xml:space="preserve">Hotels and restaurants </v>
      </c>
      <c r="AE2" s="3" t="str">
        <f ca="1">IFERROR(__xludf.DUMMYFUNCTION("""COMPUTED_VALUE"""),"Transport, storage and communications ")</f>
        <v xml:space="preserve">Transport, storage and communications </v>
      </c>
      <c r="AF2" s="3" t="str">
        <f ca="1">IFERROR(__xludf.DUMMYFUNCTION("""COMPUTED_VALUE"""),"Financial and Insurance Activities ")</f>
        <v xml:space="preserve">Financial and Insurance Activities </v>
      </c>
      <c r="AG2" s="3" t="str">
        <f ca="1">IFERROR(__xludf.DUMMYFUNCTION("""COMPUTED_VALUE"""),"Real estate, renting and business activities ")</f>
        <v xml:space="preserve">Real estate, renting and business activities </v>
      </c>
      <c r="AH2" s="3" t="str">
        <f ca="1">IFERROR(__xludf.DUMMYFUNCTION("""COMPUTED_VALUE"""),"Public Services")</f>
        <v>Public Services</v>
      </c>
      <c r="AI2" s="3" t="str">
        <f ca="1">IFERROR(__xludf.DUMMYFUNCTION("""COMPUTED_VALUE"""),"Recycling")</f>
        <v>Recycling</v>
      </c>
      <c r="AJ2" s="3" t="str">
        <f ca="1">IFERROR(__xludf.DUMMYFUNCTION("""COMPUTED_VALUE"""),"Waste treatment services")</f>
        <v>Waste treatment services</v>
      </c>
      <c r="AK2" s="2" t="s">
        <v>13</v>
      </c>
    </row>
    <row r="3" spans="1:37" x14ac:dyDescent="0.25">
      <c r="A3" s="3" t="s">
        <v>28</v>
      </c>
      <c r="B3" s="11">
        <v>1468785.4584385001</v>
      </c>
      <c r="C3" s="11">
        <v>86198.491499460099</v>
      </c>
      <c r="D3" s="11">
        <v>173725.89560938699</v>
      </c>
      <c r="E3" s="11">
        <v>28239.705507260798</v>
      </c>
      <c r="F3" s="11">
        <v>14130.9579066061</v>
      </c>
      <c r="G3" s="11">
        <v>6987.2904742606897</v>
      </c>
      <c r="H3" s="11">
        <v>518494.72214519797</v>
      </c>
      <c r="I3" s="11">
        <v>731498.38941304001</v>
      </c>
      <c r="J3" s="11">
        <v>252450.443994417</v>
      </c>
      <c r="K3" s="11">
        <v>373432.545364258</v>
      </c>
      <c r="L3" s="11">
        <v>245115.22114001599</v>
      </c>
      <c r="M3" s="11">
        <v>327848930.94997102</v>
      </c>
      <c r="N3" s="11">
        <v>220735733.89968801</v>
      </c>
      <c r="O3" s="11">
        <v>1940888.54516816</v>
      </c>
      <c r="P3" s="11">
        <v>97163.447898211802</v>
      </c>
      <c r="Q3" s="11">
        <v>153994.13596449699</v>
      </c>
      <c r="R3" s="11">
        <v>155657.038488155</v>
      </c>
      <c r="S3" s="11">
        <v>260260.88031156399</v>
      </c>
      <c r="T3" s="11">
        <v>259562.66164197499</v>
      </c>
      <c r="U3" s="11">
        <v>1732679.4823765999</v>
      </c>
      <c r="V3" s="11">
        <v>47318556.128812298</v>
      </c>
      <c r="W3" s="11">
        <v>1324820.4247143499</v>
      </c>
      <c r="X3" s="11">
        <v>405240.44031076098</v>
      </c>
      <c r="Y3" s="11">
        <v>482869.64623845398</v>
      </c>
      <c r="Z3" s="11">
        <v>35772.035194506403</v>
      </c>
      <c r="AA3" s="11">
        <v>277150.17646989098</v>
      </c>
      <c r="AB3" s="11">
        <v>1422548.0053834801</v>
      </c>
      <c r="AC3" s="11">
        <v>2942578.09506359</v>
      </c>
      <c r="AD3" s="11">
        <v>167977780.46179599</v>
      </c>
      <c r="AE3" s="11">
        <v>5940641.6604660396</v>
      </c>
      <c r="AF3" s="11">
        <v>220639.03967239999</v>
      </c>
      <c r="AG3" s="11">
        <v>4004384.0202554399</v>
      </c>
      <c r="AH3" s="11">
        <v>133045272.93387</v>
      </c>
      <c r="AI3" s="11">
        <v>146587.115853642</v>
      </c>
      <c r="AJ3" s="11">
        <v>661530.79803285596</v>
      </c>
      <c r="AK3" s="6">
        <f>1503672733.2-Durables!O15</f>
        <v>1251461608.9964404</v>
      </c>
    </row>
    <row r="6" spans="1:37" x14ac:dyDescent="0.25">
      <c r="B6" s="3" t="s">
        <v>20</v>
      </c>
      <c r="C6" s="3" t="s">
        <v>21</v>
      </c>
      <c r="D6" s="3" t="s">
        <v>2</v>
      </c>
      <c r="E6" s="3" t="s">
        <v>22</v>
      </c>
      <c r="F6" s="3" t="s">
        <v>4</v>
      </c>
      <c r="G6" s="3" t="s">
        <v>23</v>
      </c>
      <c r="H6" s="3" t="s">
        <v>15</v>
      </c>
      <c r="I6" s="3" t="s">
        <v>7</v>
      </c>
      <c r="J6" s="3" t="s">
        <v>24</v>
      </c>
      <c r="K6" s="3" t="s">
        <v>25</v>
      </c>
      <c r="L6" s="3" t="s">
        <v>10</v>
      </c>
      <c r="M6" s="3" t="s">
        <v>26</v>
      </c>
      <c r="N6" s="3" t="s">
        <v>27</v>
      </c>
      <c r="O6" s="3" t="s">
        <v>13</v>
      </c>
    </row>
    <row r="7" spans="1:37" x14ac:dyDescent="0.25">
      <c r="A7" s="3" t="s">
        <v>28</v>
      </c>
      <c r="B7" s="5">
        <f>SUM(B3:H3)</f>
        <v>2296562.5215806728</v>
      </c>
      <c r="C7" s="5">
        <f>SUM(I3:L3)</f>
        <v>1602496.5999117307</v>
      </c>
      <c r="D7" s="5">
        <f>M3</f>
        <v>327848930.94997102</v>
      </c>
      <c r="E7" s="5">
        <f>SUM(N3:Q3)</f>
        <v>222927780.02871886</v>
      </c>
      <c r="F7" s="5">
        <f>SUM(R3)</f>
        <v>155657.038488155</v>
      </c>
      <c r="G7" s="5">
        <f>SUM(S3:T3)</f>
        <v>519823.54195353901</v>
      </c>
      <c r="H7" s="5">
        <f>U3</f>
        <v>1732679.4823765999</v>
      </c>
      <c r="I7" s="5">
        <f>V3</f>
        <v>47318556.128812298</v>
      </c>
      <c r="J7" s="5">
        <f>W3+X3</f>
        <v>1730060.865025111</v>
      </c>
      <c r="K7" s="5">
        <f>Y3+Z3+AA3</f>
        <v>795791.85790285142</v>
      </c>
      <c r="L7" s="5">
        <f>SUM(AB3:AH3)</f>
        <v>315553844.21650696</v>
      </c>
      <c r="M7" s="5">
        <f>AI3</f>
        <v>146587.115853642</v>
      </c>
      <c r="N7" s="5">
        <f>AJ3</f>
        <v>661530.79803285596</v>
      </c>
      <c r="O7" s="6">
        <v>241880000</v>
      </c>
    </row>
    <row r="8" spans="1:37" x14ac:dyDescent="0.25">
      <c r="O8" s="3"/>
    </row>
  </sheetData>
  <mergeCells count="7">
    <mergeCell ref="AB1:AH1"/>
    <mergeCell ref="B1:H1"/>
    <mergeCell ref="I1:L1"/>
    <mergeCell ref="N1:Q1"/>
    <mergeCell ref="S1:T1"/>
    <mergeCell ref="W1:X1"/>
    <mergeCell ref="Y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Emissions (act+FD)</vt:lpstr>
      <vt:lpstr>Emissions from Litter Waste +FD</vt:lpstr>
      <vt:lpstr>Waste From Stocks</vt:lpstr>
      <vt:lpstr>Waste Supply + Litter (act+fd)</vt:lpstr>
      <vt:lpstr>Emissions from WT</vt:lpstr>
      <vt:lpstr>Durables</vt:lpstr>
      <vt:lpstr>Waste Use (act+fd)</vt:lpstr>
      <vt:lpstr>Non-Durables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2024-10-28T19:09:26Z</dcterms:modified>
</cp:coreProperties>
</file>