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G:\My Drive\PhD\1- Fossil Carbon Article\Nature Climate Change\New Results\"/>
    </mc:Choice>
  </mc:AlternateContent>
  <xr:revisionPtr revIDLastSave="0" documentId="13_ncr:1_{F4B178EA-8A2F-4D47-AFD7-BB3698CA8D98}" xr6:coauthVersionLast="47" xr6:coauthVersionMax="47" xr10:uidLastSave="{00000000-0000-0000-0000-000000000000}"/>
  <bookViews>
    <workbookView xWindow="-23148" yWindow="1092" windowWidth="23256" windowHeight="12456" xr2:uid="{00000000-000D-0000-FFFF-FFFF00000000}"/>
  </bookViews>
  <sheets>
    <sheet name="Durables EoL WT 1996-2019" sheetId="6" r:id="rId1"/>
    <sheet name="Figure (EoL)" sheetId="7" r:id="rId2"/>
    <sheet name="Monte Carlo" sheetId="4" r:id="rId3"/>
    <sheet name="Waste Treatment Error Mar" sheetId="5" r:id="rId4"/>
    <sheet name="Het. Mach &amp; MV.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4" i="6" l="1"/>
  <c r="Q34" i="6"/>
  <c r="T34" i="6" s="1"/>
  <c r="O50" i="6" l="1"/>
  <c r="B10" i="7"/>
  <c r="C10" i="7" l="1"/>
  <c r="D10" i="7"/>
  <c r="E10" i="7"/>
  <c r="F10" i="7"/>
  <c r="G10" i="7"/>
  <c r="C22" i="6"/>
  <c r="C37" i="6" l="1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E16" i="4" l="1"/>
  <c r="E17" i="4"/>
  <c r="E18" i="4"/>
  <c r="E19" i="4"/>
  <c r="E20" i="4"/>
  <c r="E21" i="4"/>
  <c r="E22" i="4"/>
  <c r="E23" i="4"/>
  <c r="E24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16" i="4"/>
  <c r="D24" i="6"/>
  <c r="D42" i="6"/>
  <c r="D41" i="6"/>
  <c r="D38" i="6"/>
  <c r="D29" i="6"/>
  <c r="D28" i="6"/>
  <c r="F28" i="6" s="1"/>
  <c r="O31" i="6" s="1"/>
  <c r="M9" i="2"/>
  <c r="C38" i="6"/>
  <c r="G42" i="6"/>
  <c r="P29" i="6" s="1"/>
  <c r="F22" i="6"/>
  <c r="M26" i="6" s="1"/>
  <c r="I23" i="6"/>
  <c r="R27" i="6" s="1"/>
  <c r="E40" i="6"/>
  <c r="I40" i="6" s="1"/>
  <c r="E39" i="6"/>
  <c r="F39" i="6" s="1"/>
  <c r="E38" i="6"/>
  <c r="I27" i="6"/>
  <c r="R28" i="6" s="1"/>
  <c r="H26" i="6"/>
  <c r="Q30" i="6" s="1"/>
  <c r="I22" i="6"/>
  <c r="R26" i="6" s="1"/>
  <c r="H22" i="6"/>
  <c r="Q26" i="6" s="1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G24" i="6" l="1"/>
  <c r="P25" i="6" s="1"/>
  <c r="H24" i="6"/>
  <c r="Q25" i="6" s="1"/>
  <c r="I24" i="6"/>
  <c r="R25" i="6" s="1"/>
  <c r="F24" i="6"/>
  <c r="L25" i="6" s="1"/>
  <c r="E43" i="6"/>
  <c r="H38" i="6"/>
  <c r="Q33" i="6" s="1"/>
  <c r="H28" i="6"/>
  <c r="Q31" i="6" s="1"/>
  <c r="D43" i="6"/>
  <c r="I29" i="6"/>
  <c r="R32" i="6" s="1"/>
  <c r="G38" i="6"/>
  <c r="P33" i="6" s="1"/>
  <c r="I28" i="6"/>
  <c r="R31" i="6" s="1"/>
  <c r="G22" i="6"/>
  <c r="P26" i="6" s="1"/>
  <c r="H42" i="6"/>
  <c r="Q29" i="6" s="1"/>
  <c r="I26" i="6"/>
  <c r="R30" i="6" s="1"/>
  <c r="F29" i="6"/>
  <c r="O32" i="6" s="1"/>
  <c r="I38" i="6"/>
  <c r="R33" i="6" s="1"/>
  <c r="I42" i="6"/>
  <c r="R29" i="6" s="1"/>
  <c r="G23" i="6"/>
  <c r="P27" i="6" s="1"/>
  <c r="F26" i="6"/>
  <c r="O30" i="6" s="1"/>
  <c r="G29" i="6"/>
  <c r="P32" i="6" s="1"/>
  <c r="C43" i="6"/>
  <c r="H29" i="6"/>
  <c r="Q32" i="6" s="1"/>
  <c r="F23" i="6"/>
  <c r="M27" i="6" s="1"/>
  <c r="H23" i="6"/>
  <c r="Q27" i="6" s="1"/>
  <c r="F38" i="6"/>
  <c r="O33" i="6" s="1"/>
  <c r="I39" i="6"/>
  <c r="F42" i="6"/>
  <c r="O29" i="6" s="1"/>
  <c r="F40" i="6"/>
  <c r="F27" i="6"/>
  <c r="N28" i="6" s="1"/>
  <c r="G27" i="6"/>
  <c r="P28" i="6" s="1"/>
  <c r="H27" i="6"/>
  <c r="Q28" i="6" s="1"/>
  <c r="G26" i="6"/>
  <c r="P30" i="6" s="1"/>
  <c r="G28" i="6"/>
  <c r="P31" i="6" s="1"/>
  <c r="N4" i="4"/>
  <c r="O4" i="4"/>
  <c r="P4" i="4"/>
  <c r="O5" i="4"/>
  <c r="P5" i="4"/>
  <c r="N6" i="4"/>
  <c r="O6" i="4"/>
  <c r="P6" i="4"/>
  <c r="N7" i="4"/>
  <c r="O10" i="4"/>
  <c r="P10" i="4"/>
  <c r="O11" i="4"/>
  <c r="P11" i="4"/>
  <c r="M3" i="4"/>
  <c r="M4" i="4"/>
  <c r="H2" i="4"/>
  <c r="S2" i="4" s="1"/>
  <c r="J2" i="4"/>
  <c r="K2" i="4"/>
  <c r="H3" i="4"/>
  <c r="I3" i="4"/>
  <c r="J3" i="4"/>
  <c r="K3" i="4"/>
  <c r="H6" i="4"/>
  <c r="I6" i="4"/>
  <c r="J6" i="4"/>
  <c r="K6" i="4"/>
  <c r="I7" i="4"/>
  <c r="J7" i="4"/>
  <c r="K7" i="4"/>
  <c r="H10" i="4"/>
  <c r="J10" i="4"/>
  <c r="K10" i="4"/>
  <c r="J11" i="4"/>
  <c r="K11" i="4"/>
  <c r="H11" i="4"/>
  <c r="O2" i="4"/>
  <c r="P2" i="4"/>
  <c r="O3" i="4"/>
  <c r="P3" i="4"/>
  <c r="J4" i="4"/>
  <c r="K4" i="4"/>
  <c r="J5" i="4"/>
  <c r="K5" i="4"/>
  <c r="O7" i="4"/>
  <c r="P7" i="4"/>
  <c r="J8" i="4"/>
  <c r="K8" i="4"/>
  <c r="O9" i="4"/>
  <c r="P9" i="4"/>
  <c r="N3" i="4"/>
  <c r="I4" i="4"/>
  <c r="I5" i="4"/>
  <c r="I8" i="4"/>
  <c r="N9" i="4"/>
  <c r="N10" i="4"/>
  <c r="N11" i="4"/>
  <c r="N2" i="4"/>
  <c r="H7" i="4"/>
  <c r="H8" i="4"/>
  <c r="M9" i="4"/>
  <c r="M10" i="4"/>
  <c r="M11" i="4"/>
  <c r="M6" i="4"/>
  <c r="M5" i="4"/>
  <c r="H4" i="4"/>
  <c r="M2" i="4"/>
  <c r="T33" i="6" l="1"/>
  <c r="U33" i="6" s="1"/>
  <c r="T27" i="6"/>
  <c r="T25" i="6"/>
  <c r="T32" i="6"/>
  <c r="T31" i="6"/>
  <c r="T29" i="6"/>
  <c r="T30" i="6"/>
  <c r="T28" i="6"/>
  <c r="T26" i="6"/>
  <c r="O44" i="6"/>
  <c r="O46" i="6"/>
  <c r="O45" i="6"/>
  <c r="O43" i="6"/>
  <c r="O42" i="6"/>
  <c r="O41" i="6"/>
  <c r="O47" i="6"/>
  <c r="I43" i="6"/>
  <c r="I44" i="6" s="1"/>
  <c r="F43" i="6"/>
  <c r="F44" i="6" s="1"/>
  <c r="O48" i="6"/>
  <c r="G43" i="6"/>
  <c r="G44" i="6" s="1"/>
  <c r="H43" i="6"/>
  <c r="H44" i="6" s="1"/>
  <c r="I10" i="4"/>
  <c r="X11" i="4" s="1"/>
  <c r="I2" i="4"/>
  <c r="N5" i="4"/>
  <c r="X18" i="4" s="1"/>
  <c r="I9" i="4"/>
  <c r="X10" i="4" s="1"/>
  <c r="I11" i="4"/>
  <c r="H9" i="4"/>
  <c r="W10" i="4" s="1"/>
  <c r="H5" i="4"/>
  <c r="P8" i="4"/>
  <c r="Z22" i="4" s="1"/>
  <c r="M8" i="4"/>
  <c r="W22" i="4" s="1"/>
  <c r="O8" i="4"/>
  <c r="Y22" i="4" s="1"/>
  <c r="K9" i="4"/>
  <c r="Z10" i="4" s="1"/>
  <c r="M7" i="4"/>
  <c r="W21" i="4" s="1"/>
  <c r="N8" i="4"/>
  <c r="X22" i="4" s="1"/>
  <c r="J9" i="4"/>
  <c r="Y10" i="4" s="1"/>
  <c r="X30" i="4"/>
  <c r="W30" i="4"/>
  <c r="V30" i="4"/>
  <c r="U30" i="4"/>
  <c r="T30" i="4"/>
  <c r="S30" i="4"/>
  <c r="R30" i="4"/>
  <c r="Q30" i="4"/>
  <c r="X25" i="4"/>
  <c r="Z11" i="4"/>
  <c r="Y11" i="4"/>
  <c r="W24" i="4"/>
  <c r="Z20" i="4"/>
  <c r="Y20" i="4"/>
  <c r="X19" i="4"/>
  <c r="Z6" i="4"/>
  <c r="Y6" i="4"/>
  <c r="U18" i="4"/>
  <c r="Z18" i="4"/>
  <c r="Z15" i="4"/>
  <c r="Y2" i="4"/>
  <c r="X15" i="4"/>
  <c r="S15" i="4"/>
  <c r="Z25" i="4"/>
  <c r="Y25" i="4"/>
  <c r="W25" i="4"/>
  <c r="Z24" i="4"/>
  <c r="Y24" i="4"/>
  <c r="X24" i="4"/>
  <c r="Z23" i="4"/>
  <c r="Y23" i="4"/>
  <c r="X23" i="4"/>
  <c r="W23" i="4"/>
  <c r="Z9" i="4"/>
  <c r="Y9" i="4"/>
  <c r="X9" i="4"/>
  <c r="W9" i="4"/>
  <c r="Z21" i="4"/>
  <c r="Y21" i="4"/>
  <c r="X21" i="4"/>
  <c r="Z8" i="4"/>
  <c r="Y8" i="4"/>
  <c r="X8" i="4"/>
  <c r="W8" i="4"/>
  <c r="V19" i="4"/>
  <c r="W7" i="4"/>
  <c r="Z19" i="4"/>
  <c r="Y19" i="4"/>
  <c r="Y18" i="4"/>
  <c r="X17" i="4"/>
  <c r="U17" i="4"/>
  <c r="Z5" i="4"/>
  <c r="Y5" i="4"/>
  <c r="X5" i="4"/>
  <c r="U5" i="4"/>
  <c r="Z17" i="4"/>
  <c r="Y17" i="4"/>
  <c r="X16" i="4"/>
  <c r="T16" i="4"/>
  <c r="Z4" i="4"/>
  <c r="Y4" i="4"/>
  <c r="X4" i="4"/>
  <c r="U4" i="4"/>
  <c r="Z16" i="4"/>
  <c r="Y16" i="4"/>
  <c r="X20" i="4"/>
  <c r="W20" i="4"/>
  <c r="Z3" i="4"/>
  <c r="Y3" i="4"/>
  <c r="X3" i="4"/>
  <c r="T3" i="4"/>
  <c r="O39" i="6" l="1"/>
  <c r="O49" i="6"/>
  <c r="AB25" i="4"/>
  <c r="AB23" i="4"/>
  <c r="AB22" i="4"/>
  <c r="AB19" i="4"/>
  <c r="AB21" i="4"/>
  <c r="AB5" i="4"/>
  <c r="AB12" i="4"/>
  <c r="AB24" i="4"/>
  <c r="AB18" i="4"/>
  <c r="AB4" i="4"/>
  <c r="W31" i="4"/>
  <c r="AB16" i="4"/>
  <c r="AB8" i="4"/>
  <c r="AB3" i="4"/>
  <c r="W29" i="4"/>
  <c r="AB10" i="4"/>
  <c r="X31" i="4"/>
  <c r="AB20" i="4"/>
  <c r="T31" i="4"/>
  <c r="AB17" i="4"/>
  <c r="V31" i="4"/>
  <c r="R31" i="4"/>
  <c r="S29" i="4"/>
  <c r="AB9" i="4"/>
  <c r="Q31" i="4"/>
  <c r="X2" i="4"/>
  <c r="X7" i="4"/>
  <c r="Y7" i="4"/>
  <c r="V6" i="4"/>
  <c r="X6" i="4"/>
  <c r="W11" i="4"/>
  <c r="AB11" i="4" s="1"/>
  <c r="Z2" i="4"/>
  <c r="Y15" i="4"/>
  <c r="S31" i="4" s="1"/>
  <c r="U31" i="4"/>
  <c r="Z7" i="4"/>
  <c r="S34" i="6" l="1"/>
  <c r="S26" i="6"/>
  <c r="R35" i="6"/>
  <c r="M35" i="6"/>
  <c r="S27" i="6"/>
  <c r="S25" i="6"/>
  <c r="S31" i="6"/>
  <c r="S28" i="6"/>
  <c r="L35" i="6"/>
  <c r="P35" i="6"/>
  <c r="S29" i="6"/>
  <c r="S33" i="6"/>
  <c r="S30" i="6"/>
  <c r="N35" i="6"/>
  <c r="S32" i="6"/>
  <c r="O35" i="6"/>
  <c r="O36" i="6" s="1"/>
  <c r="Q35" i="6"/>
  <c r="AB7" i="4"/>
  <c r="AB2" i="4"/>
  <c r="Q29" i="4"/>
  <c r="R29" i="4"/>
  <c r="AB15" i="4"/>
  <c r="AB6" i="4"/>
  <c r="L36" i="6" l="1"/>
  <c r="N36" i="6"/>
  <c r="M36" i="6"/>
  <c r="Z26" i="4"/>
  <c r="X12" i="4"/>
  <c r="X26" i="4"/>
  <c r="Z12" i="4"/>
  <c r="T12" i="4"/>
  <c r="Y26" i="4"/>
  <c r="Y12" i="4"/>
  <c r="T26" i="4"/>
  <c r="S3" i="2" l="1"/>
  <c r="S9" i="2"/>
  <c r="S10" i="2"/>
  <c r="S7" i="2"/>
  <c r="S8" i="2"/>
  <c r="S11" i="2"/>
  <c r="S14" i="2"/>
  <c r="S13" i="2"/>
  <c r="S17" i="2"/>
  <c r="S18" i="2"/>
  <c r="S12" i="2"/>
  <c r="S4" i="2"/>
  <c r="S2" i="2"/>
  <c r="S6" i="2"/>
  <c r="S5" i="2"/>
  <c r="S16" i="2"/>
  <c r="S15" i="2"/>
  <c r="O15" i="2"/>
  <c r="O2" i="2"/>
  <c r="O10" i="2"/>
  <c r="O4" i="2"/>
  <c r="O9" i="2"/>
  <c r="O18" i="2"/>
  <c r="O11" i="2"/>
  <c r="O6" i="2"/>
  <c r="O8" i="2"/>
  <c r="O14" i="2"/>
  <c r="O16" i="2"/>
  <c r="O3" i="2"/>
  <c r="O13" i="2"/>
  <c r="O5" i="2"/>
  <c r="O17" i="2"/>
  <c r="O7" i="2"/>
  <c r="O12" i="2"/>
  <c r="R17" i="2"/>
  <c r="R6" i="2"/>
  <c r="R4" i="2"/>
  <c r="R13" i="2"/>
  <c r="R16" i="2"/>
  <c r="R18" i="2"/>
  <c r="R2" i="2"/>
  <c r="R3" i="2"/>
  <c r="R7" i="2"/>
  <c r="R10" i="2"/>
  <c r="R8" i="2"/>
  <c r="R15" i="2"/>
  <c r="R9" i="2"/>
  <c r="R14" i="2"/>
  <c r="R5" i="2"/>
  <c r="R12" i="2"/>
  <c r="R11" i="2"/>
  <c r="L12" i="2"/>
  <c r="L10" i="2"/>
  <c r="L2" i="2"/>
  <c r="L11" i="2"/>
  <c r="L8" i="2"/>
  <c r="L4" i="2"/>
  <c r="L7" i="2"/>
  <c r="L9" i="2"/>
  <c r="L16" i="2"/>
  <c r="L13" i="2"/>
  <c r="L18" i="2"/>
  <c r="L3" i="2"/>
  <c r="L15" i="2"/>
  <c r="L6" i="2"/>
  <c r="L17" i="2"/>
  <c r="L5" i="2"/>
  <c r="L14" i="2"/>
  <c r="P5" i="2"/>
  <c r="P17" i="2"/>
  <c r="P7" i="2"/>
  <c r="P11" i="2"/>
  <c r="P12" i="2"/>
  <c r="P8" i="2"/>
  <c r="P9" i="2"/>
  <c r="P15" i="2"/>
  <c r="P10" i="2"/>
  <c r="P3" i="2"/>
  <c r="P2" i="2"/>
  <c r="P6" i="2"/>
  <c r="P4" i="2"/>
  <c r="P13" i="2"/>
  <c r="P16" i="2"/>
  <c r="P18" i="2"/>
  <c r="P14" i="2"/>
  <c r="M11" i="2"/>
  <c r="M18" i="2"/>
  <c r="M7" i="2"/>
  <c r="M2" i="2"/>
  <c r="M17" i="2"/>
  <c r="M14" i="2"/>
  <c r="M5" i="2"/>
  <c r="M16" i="2"/>
  <c r="M12" i="2"/>
  <c r="M10" i="2"/>
  <c r="M8" i="2"/>
  <c r="M15" i="2"/>
  <c r="M6" i="2"/>
  <c r="M13" i="2"/>
  <c r="M4" i="2"/>
  <c r="M3" i="2"/>
  <c r="N13" i="2"/>
  <c r="N4" i="2"/>
  <c r="N11" i="2"/>
  <c r="N10" i="2"/>
  <c r="N18" i="2"/>
  <c r="N7" i="2"/>
  <c r="N16" i="2"/>
  <c r="N6" i="2"/>
  <c r="N5" i="2"/>
  <c r="N9" i="2"/>
  <c r="N12" i="2"/>
  <c r="N17" i="2"/>
  <c r="N8" i="2"/>
  <c r="N14" i="2"/>
  <c r="N15" i="2"/>
  <c r="N3" i="2"/>
  <c r="N2" i="2"/>
  <c r="Q8" i="2"/>
  <c r="Q13" i="2"/>
  <c r="Q4" i="2"/>
  <c r="Q2" i="2"/>
  <c r="Q10" i="2"/>
  <c r="Q6" i="2"/>
  <c r="Q18" i="2"/>
  <c r="Q5" i="2"/>
  <c r="Q16" i="2"/>
  <c r="Q11" i="2"/>
  <c r="Q3" i="2"/>
  <c r="Q9" i="2"/>
  <c r="Q12" i="2"/>
  <c r="Q7" i="2"/>
  <c r="Q15" i="2"/>
  <c r="Q17" i="2"/>
  <c r="Q14" i="2"/>
  <c r="L36" i="2" l="1"/>
  <c r="L24" i="2"/>
  <c r="L30" i="2"/>
  <c r="L28" i="2"/>
  <c r="L25" i="2"/>
  <c r="L32" i="2"/>
  <c r="L23" i="2"/>
  <c r="L39" i="2"/>
  <c r="L29" i="2"/>
  <c r="L33" i="2"/>
  <c r="L26" i="2"/>
  <c r="L38" i="2"/>
  <c r="L34" i="2"/>
  <c r="L37" i="2"/>
  <c r="L31" i="2"/>
  <c r="L35" i="2"/>
  <c r="L27" i="2"/>
  <c r="S26" i="4" l="1"/>
  <c r="S12" i="4"/>
  <c r="X29" i="4"/>
  <c r="V26" i="4" l="1"/>
  <c r="V12" i="4"/>
  <c r="U29" i="4"/>
  <c r="T29" i="4"/>
  <c r="W12" i="4"/>
  <c r="W26" i="4"/>
  <c r="U26" i="4"/>
  <c r="U12" i="4"/>
  <c r="V29" i="4"/>
</calcChain>
</file>

<file path=xl/sharedStrings.xml><?xml version="1.0" encoding="utf-8"?>
<sst xmlns="http://schemas.openxmlformats.org/spreadsheetml/2006/main" count="420" uniqueCount="115">
  <si>
    <t>Textiles (17)</t>
  </si>
  <si>
    <t>Leather and leather products (19)</t>
  </si>
  <si>
    <t>Wood and products of wood and cork (except furniture); articles of straw and plaiting materials (20)</t>
  </si>
  <si>
    <t>Paper and paper products</t>
  </si>
  <si>
    <t>Printed matter and recorded media (22)</t>
  </si>
  <si>
    <t>Bitumen</t>
  </si>
  <si>
    <t>Rubber and plastic products (25)</t>
  </si>
  <si>
    <t>Glass and glass products</t>
  </si>
  <si>
    <t>Basic iron and steel and of ferro-alloys and first products thereof</t>
  </si>
  <si>
    <t>Precious metals</t>
  </si>
  <si>
    <t>Fabricated metal products; except machinery and equipment (28)</t>
  </si>
  <si>
    <t>Machinery and equipment n.e.c. (29)</t>
  </si>
  <si>
    <t>Office machinery and computers (30)</t>
  </si>
  <si>
    <t>Electrical machinery and apparatus n.e.c. (31)</t>
  </si>
  <si>
    <t>Radio; television and communication equipment and apparatus (32)</t>
  </si>
  <si>
    <t>Medical; precision and optical instruments; watches and clocks (33)</t>
  </si>
  <si>
    <t>Motor vehicles; trailers and semi-trailers (34)</t>
  </si>
  <si>
    <t>Furniture; other manufactured goods n.e.c. (36)</t>
  </si>
  <si>
    <t>Plastics, basic</t>
  </si>
  <si>
    <t>From Durables</t>
  </si>
  <si>
    <t>From Heterog. Mach.</t>
  </si>
  <si>
    <t>Sent to Landfill</t>
  </si>
  <si>
    <t>Sent to Incin.</t>
  </si>
  <si>
    <t>Littered</t>
  </si>
  <si>
    <t>Recycled</t>
  </si>
  <si>
    <t>TOTAL</t>
  </si>
  <si>
    <t>DECOMPOSITION IN LANDFILL</t>
  </si>
  <si>
    <t>0-1 year</t>
  </si>
  <si>
    <t>15-50 years</t>
  </si>
  <si>
    <t>50-100</t>
  </si>
  <si>
    <t>100+</t>
  </si>
  <si>
    <t>Incinerators</t>
  </si>
  <si>
    <t>Share</t>
  </si>
  <si>
    <t>Total</t>
  </si>
  <si>
    <t>IPCC WASTE TREATMENT GLOBAL WEIGHTED AV</t>
  </si>
  <si>
    <t>Rubber</t>
  </si>
  <si>
    <t>Oils and Hazard. Mat.</t>
  </si>
  <si>
    <t>Wood</t>
  </si>
  <si>
    <t>Plastics</t>
  </si>
  <si>
    <t>Glass</t>
  </si>
  <si>
    <t>Steel</t>
  </si>
  <si>
    <t>Construction Materials</t>
  </si>
  <si>
    <t>Plastics (HDPE-LDPE-PET)</t>
  </si>
  <si>
    <t>Share (%)</t>
  </si>
  <si>
    <t>iron and steel</t>
  </si>
  <si>
    <t>%</t>
  </si>
  <si>
    <t>Landfills use %</t>
  </si>
  <si>
    <t>Incineration</t>
  </si>
  <si>
    <t>Recycle</t>
  </si>
  <si>
    <t>waste generation percentage as EU</t>
  </si>
  <si>
    <t>landfill</t>
  </si>
  <si>
    <t>incin.</t>
  </si>
  <si>
    <t>littered</t>
  </si>
  <si>
    <t>recycle</t>
  </si>
  <si>
    <t>textiles</t>
  </si>
  <si>
    <t>A new textiles economy, ellen mcarthur foundation</t>
  </si>
  <si>
    <t>leather</t>
  </si>
  <si>
    <t>estimated</t>
  </si>
  <si>
    <t>paper</t>
  </si>
  <si>
    <t>Actual Weight</t>
  </si>
  <si>
    <t>bitumen</t>
  </si>
  <si>
    <t>Asphalt in figure s european asphalt pavement association</t>
  </si>
  <si>
    <t xml:space="preserve">plastics </t>
  </si>
  <si>
    <t>source</t>
  </si>
  <si>
    <t>global plastics oultook</t>
  </si>
  <si>
    <t>rubber</t>
  </si>
  <si>
    <t>Recycling and Re-use of Waste Rubber</t>
  </si>
  <si>
    <t>glass</t>
  </si>
  <si>
    <t>iron</t>
  </si>
  <si>
    <t>oils and hazar.</t>
  </si>
  <si>
    <t>hazardous waste management, environmental change and sustainability</t>
  </si>
  <si>
    <t>Food</t>
  </si>
  <si>
    <t>tonne</t>
  </si>
  <si>
    <t>Manure</t>
  </si>
  <si>
    <t>Textile</t>
  </si>
  <si>
    <t>Paper</t>
  </si>
  <si>
    <t>Ashes</t>
  </si>
  <si>
    <t>Aluminium</t>
  </si>
  <si>
    <t>Lead</t>
  </si>
  <si>
    <t>Copper</t>
  </si>
  <si>
    <t>non-ferrous metals</t>
  </si>
  <si>
    <t>Construction materials and mining waste (excl. unused mining material)</t>
  </si>
  <si>
    <t>Oils and hazardous materials</t>
  </si>
  <si>
    <t>Sewage</t>
  </si>
  <si>
    <t>Mining waste</t>
  </si>
  <si>
    <t>Unused waste</t>
  </si>
  <si>
    <t>C_FABM</t>
  </si>
  <si>
    <t>C_MACH</t>
  </si>
  <si>
    <t>C_OFMA</t>
  </si>
  <si>
    <t>C_ELMA</t>
  </si>
  <si>
    <t>C_RATV</t>
  </si>
  <si>
    <t>C_MEIN</t>
  </si>
  <si>
    <t>C_FURN</t>
  </si>
  <si>
    <t>SHARES</t>
  </si>
  <si>
    <t>FC eq.</t>
  </si>
  <si>
    <t/>
  </si>
  <si>
    <t>Het . Mach.</t>
  </si>
  <si>
    <t xml:space="preserve">Rubber </t>
  </si>
  <si>
    <t>Low Range</t>
  </si>
  <si>
    <t>Default</t>
  </si>
  <si>
    <t>High Range</t>
  </si>
  <si>
    <t>LOWER</t>
  </si>
  <si>
    <t>UPPER</t>
  </si>
  <si>
    <t>1-15 years</t>
  </si>
  <si>
    <t xml:space="preserve">Textiles </t>
  </si>
  <si>
    <t>Leather products</t>
  </si>
  <si>
    <t>Glass products</t>
  </si>
  <si>
    <t xml:space="preserve">Basic iron and steel </t>
  </si>
  <si>
    <t>Low Error Margin</t>
  </si>
  <si>
    <t>High Error Margin</t>
  </si>
  <si>
    <t>1-50 years</t>
  </si>
  <si>
    <t>Inert Waste</t>
  </si>
  <si>
    <t>EOL Durables In 1995-2019 - Cohorts</t>
  </si>
  <si>
    <t>Iron and steel</t>
  </si>
  <si>
    <t>IPCC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</si>
</sst>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"/>
    <numFmt numFmtId="166" formatCode="0.000"/>
    <numFmt numFmtId="167" formatCode="0.000000"/>
    <numFmt numFmtId="168" formatCode="0.0"/>
    <numFmt numFmtId="169" formatCode="0.0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b/>
      <sz val="16"/>
      <color theme="1"/>
      <name val="Calibri"/>
      <family val="2"/>
      <charset val="162"/>
      <scheme val="minor"/>
    </font>
    <font>
      <b/>
      <sz val="28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3" fillId="4" borderId="2" xfId="0" applyFont="1" applyFill="1" applyBorder="1"/>
    <xf numFmtId="0" fontId="0" fillId="0" borderId="1" xfId="0" applyBorder="1"/>
    <xf numFmtId="0" fontId="3" fillId="0" borderId="0" xfId="0" applyFont="1"/>
    <xf numFmtId="164" fontId="0" fillId="0" borderId="0" xfId="0" applyNumberForma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165" fontId="3" fillId="0" borderId="0" xfId="0" applyNumberFormat="1" applyFont="1"/>
    <xf numFmtId="165" fontId="3" fillId="5" borderId="0" xfId="0" applyNumberFormat="1" applyFont="1" applyFill="1"/>
    <xf numFmtId="165" fontId="0" fillId="0" borderId="0" xfId="0" applyNumberFormat="1"/>
    <xf numFmtId="0" fontId="1" fillId="0" borderId="0" xfId="0" applyFont="1"/>
    <xf numFmtId="0" fontId="3" fillId="6" borderId="6" xfId="0" applyFont="1" applyFill="1" applyBorder="1"/>
    <xf numFmtId="0" fontId="3" fillId="6" borderId="7" xfId="0" applyFont="1" applyFill="1" applyBorder="1"/>
    <xf numFmtId="165" fontId="3" fillId="0" borderId="8" xfId="0" applyNumberFormat="1" applyFont="1" applyBorder="1"/>
    <xf numFmtId="164" fontId="3" fillId="6" borderId="0" xfId="0" applyNumberFormat="1" applyFont="1" applyFill="1"/>
    <xf numFmtId="166" fontId="3" fillId="6" borderId="0" xfId="0" applyNumberFormat="1" applyFont="1" applyFill="1"/>
    <xf numFmtId="0" fontId="5" fillId="0" borderId="0" xfId="0" applyFont="1" applyAlignment="1">
      <alignment horizontal="center" vertical="center" textRotation="90"/>
    </xf>
    <xf numFmtId="0" fontId="3" fillId="4" borderId="9" xfId="0" applyFont="1" applyFill="1" applyBorder="1"/>
    <xf numFmtId="0" fontId="0" fillId="0" borderId="10" xfId="0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3" fillId="4" borderId="11" xfId="0" applyFont="1" applyFill="1" applyBorder="1"/>
    <xf numFmtId="0" fontId="0" fillId="7" borderId="0" xfId="0" applyFill="1"/>
    <xf numFmtId="49" fontId="0" fillId="0" borderId="0" xfId="0" applyNumberFormat="1"/>
    <xf numFmtId="49" fontId="0" fillId="2" borderId="0" xfId="0" applyNumberFormat="1" applyFill="1"/>
    <xf numFmtId="49" fontId="8" fillId="2" borderId="0" xfId="0" applyNumberFormat="1" applyFont="1" applyFill="1"/>
    <xf numFmtId="0" fontId="8" fillId="2" borderId="0" xfId="0" applyFont="1" applyFill="1"/>
    <xf numFmtId="0" fontId="0" fillId="8" borderId="0" xfId="0" applyFill="1"/>
    <xf numFmtId="0" fontId="0" fillId="9" borderId="0" xfId="0" applyFill="1"/>
    <xf numFmtId="0" fontId="9" fillId="10" borderId="0" xfId="0" applyFont="1" applyFill="1"/>
    <xf numFmtId="0" fontId="0" fillId="0" borderId="0" xfId="0" quotePrefix="1"/>
    <xf numFmtId="0" fontId="9" fillId="0" borderId="0" xfId="0" applyFont="1"/>
    <xf numFmtId="0" fontId="0" fillId="0" borderId="2" xfId="0" applyBorder="1"/>
    <xf numFmtId="0" fontId="0" fillId="2" borderId="15" xfId="0" applyFill="1" applyBorder="1"/>
    <xf numFmtId="165" fontId="0" fillId="2" borderId="0" xfId="0" applyNumberFormat="1" applyFill="1"/>
    <xf numFmtId="167" fontId="0" fillId="0" borderId="0" xfId="0" applyNumberFormat="1"/>
    <xf numFmtId="11" fontId="0" fillId="0" borderId="0" xfId="0" applyNumberFormat="1"/>
    <xf numFmtId="0" fontId="0" fillId="0" borderId="0" xfId="0" applyAlignment="1">
      <alignment vertical="center" textRotation="90"/>
    </xf>
    <xf numFmtId="0" fontId="0" fillId="0" borderId="0" xfId="0" applyAlignment="1">
      <alignment vertical="center"/>
    </xf>
    <xf numFmtId="1" fontId="3" fillId="0" borderId="0" xfId="0" applyNumberFormat="1" applyFont="1"/>
    <xf numFmtId="1" fontId="0" fillId="0" borderId="0" xfId="0" applyNumberFormat="1"/>
    <xf numFmtId="0" fontId="4" fillId="0" borderId="0" xfId="0" applyFont="1" applyAlignment="1">
      <alignment vertical="center"/>
    </xf>
    <xf numFmtId="169" fontId="0" fillId="0" borderId="0" xfId="0" applyNumberFormat="1"/>
    <xf numFmtId="168" fontId="3" fillId="6" borderId="0" xfId="0" applyNumberFormat="1" applyFont="1" applyFill="1"/>
    <xf numFmtId="166" fontId="0" fillId="2" borderId="0" xfId="0" applyNumberFormat="1" applyFill="1"/>
    <xf numFmtId="1" fontId="3" fillId="0" borderId="8" xfId="0" applyNumberFormat="1" applyFont="1" applyBorder="1"/>
    <xf numFmtId="0" fontId="5" fillId="0" borderId="3" xfId="0" applyFont="1" applyBorder="1" applyAlignment="1">
      <alignment horizontal="center" vertical="center" textRotation="90"/>
    </xf>
    <xf numFmtId="0" fontId="6" fillId="0" borderId="0" xfId="0" applyFont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Fill="1"/>
    <xf numFmtId="0" fontId="3" fillId="0" borderId="0" xfId="0" applyFont="1" applyFill="1"/>
    <xf numFmtId="165" fontId="0" fillId="0" borderId="0" xfId="0" applyNumberFormat="1" applyFill="1"/>
    <xf numFmtId="164" fontId="3" fillId="0" borderId="0" xfId="0" applyNumberFormat="1" applyFont="1" applyFill="1"/>
    <xf numFmtId="167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B432-DF19-4788-9A3C-5102D85D5FA2}">
  <dimension ref="A1:BE86"/>
  <sheetViews>
    <sheetView tabSelected="1" topLeftCell="A13" zoomScale="70" zoomScaleNormal="70" workbookViewId="0">
      <selection activeCell="L48" sqref="L48"/>
    </sheetView>
  </sheetViews>
  <sheetFormatPr defaultRowHeight="14.4" x14ac:dyDescent="0.3"/>
  <cols>
    <col min="3" max="3" width="13" bestFit="1" customWidth="1"/>
    <col min="4" max="4" width="12.109375" customWidth="1"/>
    <col min="5" max="6" width="13" bestFit="1" customWidth="1"/>
    <col min="8" max="8" width="12.5546875" bestFit="1" customWidth="1"/>
    <col min="12" max="12" width="11.109375" bestFit="1" customWidth="1"/>
    <col min="13" max="13" width="16.77734375" customWidth="1"/>
    <col min="14" max="14" width="13.44140625" customWidth="1"/>
    <col min="15" max="15" width="12.88671875" customWidth="1"/>
    <col min="16" max="17" width="12.5546875" bestFit="1" customWidth="1"/>
    <col min="18" max="18" width="10.6640625" bestFit="1" customWidth="1"/>
    <col min="19" max="19" width="9" bestFit="1" customWidth="1"/>
    <col min="20" max="20" width="13.88671875" customWidth="1"/>
    <col min="21" max="22" width="11.88671875" bestFit="1" customWidth="1"/>
    <col min="26" max="26" width="10.5546875" bestFit="1" customWidth="1"/>
    <col min="28" max="28" width="12.44140625" bestFit="1" customWidth="1"/>
    <col min="30" max="30" width="12" bestFit="1" customWidth="1"/>
  </cols>
  <sheetData>
    <row r="1" spans="1:33" ht="21" x14ac:dyDescent="0.3">
      <c r="B1" s="55" t="s">
        <v>112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46"/>
    </row>
    <row r="2" spans="1:33" x14ac:dyDescent="0.3">
      <c r="B2">
        <v>1995</v>
      </c>
      <c r="C2">
        <v>1996</v>
      </c>
      <c r="D2">
        <v>1997</v>
      </c>
      <c r="E2">
        <v>1998</v>
      </c>
      <c r="F2">
        <v>1999</v>
      </c>
      <c r="G2">
        <v>2000</v>
      </c>
      <c r="H2">
        <v>2001</v>
      </c>
      <c r="I2">
        <v>2002</v>
      </c>
      <c r="J2">
        <v>2003</v>
      </c>
      <c r="K2">
        <v>2004</v>
      </c>
      <c r="L2">
        <v>2005</v>
      </c>
      <c r="M2">
        <v>2006</v>
      </c>
      <c r="N2">
        <v>2007</v>
      </c>
      <c r="O2">
        <v>2008</v>
      </c>
      <c r="P2">
        <v>2009</v>
      </c>
      <c r="Q2">
        <v>2010</v>
      </c>
      <c r="R2">
        <v>2011</v>
      </c>
      <c r="S2">
        <v>2012</v>
      </c>
      <c r="T2">
        <v>2013</v>
      </c>
      <c r="U2">
        <v>2014</v>
      </c>
      <c r="V2">
        <v>2015</v>
      </c>
      <c r="W2">
        <v>2016</v>
      </c>
      <c r="X2">
        <v>2017</v>
      </c>
      <c r="Y2">
        <v>2018</v>
      </c>
      <c r="Z2">
        <v>2019</v>
      </c>
    </row>
    <row r="3" spans="1:33" x14ac:dyDescent="0.3">
      <c r="A3" t="s">
        <v>0</v>
      </c>
      <c r="B3">
        <v>1.3108271516296923</v>
      </c>
      <c r="C3">
        <v>1.3493498382142581</v>
      </c>
      <c r="D3">
        <v>1.4509720630052771</v>
      </c>
      <c r="E3">
        <v>1.5863560788697302</v>
      </c>
      <c r="F3">
        <v>1.6325101966772479</v>
      </c>
      <c r="G3">
        <v>1.7878232251804846</v>
      </c>
      <c r="H3">
        <v>1.8033252816066268</v>
      </c>
      <c r="I3">
        <v>1.883124116200998</v>
      </c>
      <c r="J3">
        <v>1.8468845301060028</v>
      </c>
      <c r="K3">
        <v>2.0239718927438362</v>
      </c>
      <c r="L3">
        <v>2.133877364172303</v>
      </c>
      <c r="M3">
        <v>2.2384479123180405</v>
      </c>
      <c r="N3">
        <v>2.2331726459076133</v>
      </c>
      <c r="O3">
        <v>2.0449680321893848</v>
      </c>
      <c r="P3">
        <v>1.5500857940283064</v>
      </c>
      <c r="Q3">
        <v>1.6700252501933188</v>
      </c>
      <c r="R3">
        <v>1.425100898023284</v>
      </c>
      <c r="S3">
        <v>1.1990058361159512</v>
      </c>
      <c r="T3">
        <v>0.971542465924365</v>
      </c>
      <c r="U3">
        <v>0.72386504740864921</v>
      </c>
      <c r="V3">
        <v>0.6026335661960267</v>
      </c>
      <c r="W3">
        <v>0.40231222486120566</v>
      </c>
      <c r="X3">
        <v>0.2701303835745002</v>
      </c>
      <c r="Y3">
        <v>0.1704130128395645</v>
      </c>
      <c r="Z3">
        <v>7.5604506992418621E-2</v>
      </c>
    </row>
    <row r="4" spans="1:33" x14ac:dyDescent="0.3">
      <c r="A4" t="s">
        <v>1</v>
      </c>
      <c r="B4">
        <v>0.11267204136010313</v>
      </c>
      <c r="C4">
        <v>0.11598325575687711</v>
      </c>
      <c r="D4">
        <v>0.12471818583558672</v>
      </c>
      <c r="E4">
        <v>0.13635510792406486</v>
      </c>
      <c r="F4">
        <v>0.14032228137182454</v>
      </c>
      <c r="G4">
        <v>0.1536722001231437</v>
      </c>
      <c r="H4">
        <v>0.15500467812426036</v>
      </c>
      <c r="I4">
        <v>0.16479051464904992</v>
      </c>
      <c r="J4">
        <v>0.1658954011300984</v>
      </c>
      <c r="K4">
        <v>0.18860770831654461</v>
      </c>
      <c r="L4">
        <v>0.20905941298076969</v>
      </c>
      <c r="M4">
        <v>0.23432026986000479</v>
      </c>
      <c r="N4">
        <v>0.25458052720934482</v>
      </c>
      <c r="O4">
        <v>0.25951581161276494</v>
      </c>
      <c r="P4">
        <v>0.22448028885623039</v>
      </c>
      <c r="Q4">
        <v>0.28371239864805897</v>
      </c>
      <c r="R4">
        <v>0.29278224162226435</v>
      </c>
      <c r="S4">
        <v>0.30801179855489624</v>
      </c>
      <c r="T4">
        <v>0.3237726381480372</v>
      </c>
      <c r="U4">
        <v>0.32610627646651397</v>
      </c>
      <c r="V4">
        <v>0.38491560465554064</v>
      </c>
      <c r="W4">
        <v>0.32264073540834237</v>
      </c>
      <c r="X4">
        <v>0.22076041799344609</v>
      </c>
      <c r="Y4">
        <v>0.10389936889232551</v>
      </c>
      <c r="Z4">
        <v>2.4971626383306921E-2</v>
      </c>
    </row>
    <row r="5" spans="1:33" x14ac:dyDescent="0.3">
      <c r="A5" t="s">
        <v>3</v>
      </c>
      <c r="B5">
        <v>0.10637944268719093</v>
      </c>
      <c r="C5">
        <v>0.10950572972250641</v>
      </c>
      <c r="D5">
        <v>0.11775282440959832</v>
      </c>
      <c r="E5">
        <v>0.12873983832558933</v>
      </c>
      <c r="F5">
        <v>0.13248544988389321</v>
      </c>
      <c r="G5">
        <v>0.14508979164908545</v>
      </c>
      <c r="H5">
        <v>0.14634785234844477</v>
      </c>
      <c r="I5">
        <v>0.15558716161424532</v>
      </c>
      <c r="J5">
        <v>0.15663034150756866</v>
      </c>
      <c r="K5">
        <v>0.1780741935179572</v>
      </c>
      <c r="L5">
        <v>0.19738369495167912</v>
      </c>
      <c r="M5">
        <v>0.22123376320441834</v>
      </c>
      <c r="N5">
        <v>0.24036250942668244</v>
      </c>
      <c r="O5">
        <v>0.24502216410233232</v>
      </c>
      <c r="P5">
        <v>0.21194333336398843</v>
      </c>
      <c r="Q5">
        <v>0.26786740070828013</v>
      </c>
      <c r="R5">
        <v>0.27643070380645174</v>
      </c>
      <c r="S5">
        <v>0.29080970820993385</v>
      </c>
      <c r="T5">
        <v>0.3056900542479784</v>
      </c>
      <c r="U5">
        <v>0.30789141282292315</v>
      </c>
      <c r="V5">
        <v>0.363399429778199</v>
      </c>
      <c r="W5">
        <v>0.36455518751858335</v>
      </c>
      <c r="X5">
        <v>0.3975268466832288</v>
      </c>
      <c r="Y5">
        <v>0.45692630438912546</v>
      </c>
      <c r="Z5">
        <v>0.4430411579700107</v>
      </c>
    </row>
    <row r="6" spans="1:33" x14ac:dyDescent="0.3">
      <c r="A6" t="s">
        <v>4</v>
      </c>
      <c r="B6">
        <v>0.13803824084726665</v>
      </c>
      <c r="C6">
        <v>0.13208160486756365</v>
      </c>
      <c r="D6">
        <v>0.13170895372668809</v>
      </c>
      <c r="E6">
        <v>0.13320177798213709</v>
      </c>
      <c r="F6">
        <v>0.12646314038895828</v>
      </c>
      <c r="G6">
        <v>0.12740814647260243</v>
      </c>
      <c r="H6">
        <v>0.11786483904277331</v>
      </c>
      <c r="I6">
        <v>0.11454428550085095</v>
      </c>
      <c r="J6">
        <v>0.10502989356164423</v>
      </c>
      <c r="K6">
        <v>0.10833224790409815</v>
      </c>
      <c r="L6">
        <v>0.10846404402821644</v>
      </c>
      <c r="M6">
        <v>0.10927415429344436</v>
      </c>
      <c r="N6">
        <v>0.10612605459209133</v>
      </c>
      <c r="O6">
        <v>9.6095477410792704E-2</v>
      </c>
      <c r="P6">
        <v>7.3295164576375693E-2</v>
      </c>
      <c r="Q6">
        <v>8.0981068395022879E-2</v>
      </c>
      <c r="R6">
        <v>7.2303582745118777E-2</v>
      </c>
      <c r="S6">
        <v>6.4979548988003247E-2</v>
      </c>
      <c r="T6">
        <v>5.7424440407247888E-2</v>
      </c>
      <c r="U6">
        <v>4.7622704246913929E-2</v>
      </c>
      <c r="V6">
        <v>4.4988723926953599E-2</v>
      </c>
      <c r="W6">
        <v>3.46826119381946E-2</v>
      </c>
      <c r="X6">
        <v>2.7298323054516835E-2</v>
      </c>
      <c r="Y6">
        <v>2.0425725116570644E-2</v>
      </c>
      <c r="Z6">
        <v>1.0831898789445482E-2</v>
      </c>
    </row>
    <row r="7" spans="1:33" x14ac:dyDescent="0.3">
      <c r="A7" t="s">
        <v>5</v>
      </c>
      <c r="B7">
        <v>5.0901381670518893</v>
      </c>
      <c r="C7">
        <v>4.8704881631006733</v>
      </c>
      <c r="D7">
        <v>4.8567467115759131</v>
      </c>
      <c r="E7">
        <v>4.9117943684623047</v>
      </c>
      <c r="F7">
        <v>4.6633081794436988</v>
      </c>
      <c r="G7">
        <v>4.6981551284118144</v>
      </c>
      <c r="H7">
        <v>4.3462471854365692</v>
      </c>
      <c r="I7">
        <v>4.2238023019337447</v>
      </c>
      <c r="J7">
        <v>3.8729606130742642</v>
      </c>
      <c r="K7">
        <v>3.9947344039924859</v>
      </c>
      <c r="L7">
        <v>3.999594365098381</v>
      </c>
      <c r="M7">
        <v>4.029467052226579</v>
      </c>
      <c r="N7">
        <v>3.9133813766544607</v>
      </c>
      <c r="O7">
        <v>3.5435054391265393</v>
      </c>
      <c r="P7">
        <v>2.7027475312682303</v>
      </c>
      <c r="Q7">
        <v>2.9861640116250987</v>
      </c>
      <c r="R7">
        <v>2.6661831090178745</v>
      </c>
      <c r="S7">
        <v>2.3961105296004113</v>
      </c>
      <c r="T7">
        <v>2.1175171028290967</v>
      </c>
      <c r="U7">
        <v>1.7560796415368158</v>
      </c>
      <c r="V7">
        <v>1.6589520363485672</v>
      </c>
      <c r="W7">
        <v>1.2789157966377365</v>
      </c>
      <c r="X7">
        <v>1.0066213190158897</v>
      </c>
      <c r="Y7">
        <v>0.75319536359931338</v>
      </c>
      <c r="Z7">
        <v>0.39942454432467772</v>
      </c>
    </row>
    <row r="8" spans="1:33" x14ac:dyDescent="0.3">
      <c r="A8" t="s">
        <v>6</v>
      </c>
      <c r="B8">
        <v>32.200390157246005</v>
      </c>
      <c r="C8">
        <v>33.14669763675321</v>
      </c>
      <c r="D8">
        <v>35.643041478006353</v>
      </c>
      <c r="E8">
        <v>38.968741686817467</v>
      </c>
      <c r="F8">
        <v>40.102514815424001</v>
      </c>
      <c r="G8">
        <v>43.917770021337304</v>
      </c>
      <c r="H8">
        <v>44.298577105277261</v>
      </c>
      <c r="I8">
        <v>47.095258076967113</v>
      </c>
      <c r="J8">
        <v>47.411022088515644</v>
      </c>
      <c r="K8">
        <v>53.901941609866903</v>
      </c>
      <c r="L8">
        <v>59.746806596949725</v>
      </c>
      <c r="M8">
        <v>66.96607268460356</v>
      </c>
      <c r="N8">
        <v>72.756224202759768</v>
      </c>
      <c r="O8">
        <v>74.166672450690172</v>
      </c>
      <c r="P8">
        <v>64.153917835569104</v>
      </c>
      <c r="Q8">
        <v>81.08178230052485</v>
      </c>
      <c r="R8">
        <v>83.673840444753893</v>
      </c>
      <c r="S8">
        <v>88.0262749017228</v>
      </c>
      <c r="T8">
        <v>92.530543910952048</v>
      </c>
      <c r="U8">
        <v>93.197471246551544</v>
      </c>
      <c r="V8">
        <v>110.00450952963298</v>
      </c>
      <c r="W8">
        <v>92.207058959421417</v>
      </c>
      <c r="X8">
        <v>63.090820977907647</v>
      </c>
      <c r="Y8">
        <v>29.693259969719314</v>
      </c>
      <c r="Z8">
        <v>7.1366072958023903</v>
      </c>
    </row>
    <row r="9" spans="1:33" ht="15.75" customHeight="1" thickBot="1" x14ac:dyDescent="0.35">
      <c r="A9" t="s">
        <v>7</v>
      </c>
      <c r="B9">
        <v>0.14551248798743513</v>
      </c>
      <c r="C9">
        <v>0.14978881989123444</v>
      </c>
      <c r="D9">
        <v>0.16106971435987222</v>
      </c>
      <c r="E9">
        <v>0.1760984425622707</v>
      </c>
      <c r="F9">
        <v>0.18122192547509219</v>
      </c>
      <c r="G9">
        <v>0.19846293636372977</v>
      </c>
      <c r="H9">
        <v>0.20018379086135382</v>
      </c>
      <c r="I9">
        <v>0.20904211130878153</v>
      </c>
      <c r="J9">
        <v>0.20501922215077051</v>
      </c>
      <c r="K9">
        <v>0.22467736143826358</v>
      </c>
      <c r="L9">
        <v>0.23687776373471067</v>
      </c>
      <c r="M9">
        <v>0.24848594610412414</v>
      </c>
      <c r="N9">
        <v>0.24790034857570581</v>
      </c>
      <c r="O9">
        <v>0.22700810388974124</v>
      </c>
      <c r="P9">
        <v>0.1720721455934241</v>
      </c>
      <c r="Q9">
        <v>0.18538640190306246</v>
      </c>
      <c r="R9">
        <v>0.15819780437617759</v>
      </c>
      <c r="S9">
        <v>0.13309941139667111</v>
      </c>
      <c r="T9">
        <v>0.10784912505538309</v>
      </c>
      <c r="U9">
        <v>8.035491474571721E-2</v>
      </c>
      <c r="V9">
        <v>6.6897233134744452E-2</v>
      </c>
      <c r="W9">
        <v>4.4659933015983484E-2</v>
      </c>
      <c r="X9">
        <v>2.9986672267244899E-2</v>
      </c>
      <c r="Y9">
        <v>1.8917232110191258E-2</v>
      </c>
      <c r="Z9">
        <v>8.3927159289100221E-3</v>
      </c>
    </row>
    <row r="10" spans="1:33" ht="15" thickTop="1" x14ac:dyDescent="0.3">
      <c r="A10" t="s">
        <v>8</v>
      </c>
      <c r="B10">
        <v>3.3706587168171254</v>
      </c>
      <c r="C10">
        <v>3.4697158878331886</v>
      </c>
      <c r="D10">
        <v>3.7310271044862322</v>
      </c>
      <c r="E10">
        <v>4.0791533335042125</v>
      </c>
      <c r="F10">
        <v>4.197833953837339</v>
      </c>
      <c r="G10">
        <v>4.597205612189736</v>
      </c>
      <c r="H10">
        <v>4.6370675738193867</v>
      </c>
      <c r="I10">
        <v>4.9298173526062055</v>
      </c>
      <c r="J10">
        <v>4.9628707632259417</v>
      </c>
      <c r="K10">
        <v>5.6423244704002862</v>
      </c>
      <c r="L10">
        <v>6.2541507563900751</v>
      </c>
      <c r="M10">
        <v>7.0098460150047268</v>
      </c>
      <c r="N10">
        <v>7.6159450278135283</v>
      </c>
      <c r="O10">
        <v>7.7635873283660981</v>
      </c>
      <c r="P10">
        <v>6.7154764682803201</v>
      </c>
      <c r="Q10">
        <v>8.4874442499521283</v>
      </c>
      <c r="R10">
        <v>8.7587746076178856</v>
      </c>
      <c r="S10">
        <v>8.7019995171658007</v>
      </c>
      <c r="T10">
        <v>8.1731349760502159</v>
      </c>
      <c r="U10">
        <v>6.7755303593363729</v>
      </c>
      <c r="V10">
        <v>5.9027845959723599</v>
      </c>
      <c r="W10">
        <v>3.8215081742312424</v>
      </c>
      <c r="X10">
        <v>2.2912441644349273</v>
      </c>
      <c r="Y10">
        <v>1.1935852472546762</v>
      </c>
      <c r="Z10">
        <v>0.41160463883453363</v>
      </c>
      <c r="AG10" s="5"/>
    </row>
    <row r="11" spans="1:33" x14ac:dyDescent="0.3">
      <c r="A11" t="s">
        <v>10</v>
      </c>
      <c r="B11">
        <v>3.7108384025099963</v>
      </c>
      <c r="C11">
        <v>3.8198927996272194</v>
      </c>
      <c r="D11">
        <v>4.1075765372078612</v>
      </c>
      <c r="E11">
        <v>4.429185506206557</v>
      </c>
      <c r="F11">
        <v>4.4721973329578306</v>
      </c>
      <c r="G11">
        <v>4.7742349014297325</v>
      </c>
      <c r="H11">
        <v>4.6570414085662097</v>
      </c>
      <c r="I11">
        <v>4.7426926465164234</v>
      </c>
      <c r="J11">
        <v>4.5229966933562178</v>
      </c>
      <c r="K11">
        <v>4.8096210799874708</v>
      </c>
      <c r="L11">
        <v>4.9150658867188133</v>
      </c>
      <c r="M11">
        <v>4.9982990198930617</v>
      </c>
      <c r="N11">
        <v>4.8410616170684042</v>
      </c>
      <c r="O11">
        <v>4.3156234375708191</v>
      </c>
      <c r="P11">
        <v>3.1973185931377084</v>
      </c>
      <c r="Q11">
        <v>3.3841168102993318</v>
      </c>
      <c r="R11">
        <v>2.854235155792102</v>
      </c>
      <c r="S11">
        <v>2.3896726553013026</v>
      </c>
      <c r="T11">
        <v>1.9409822905701759</v>
      </c>
      <c r="U11">
        <v>1.4606003887681047</v>
      </c>
      <c r="V11">
        <v>1.2373184445246532</v>
      </c>
      <c r="W11">
        <v>0.84645641635027935</v>
      </c>
      <c r="X11">
        <v>0.58605328836024284</v>
      </c>
      <c r="Y11">
        <v>0.38314894828714513</v>
      </c>
      <c r="Z11">
        <v>0.17676035684092284</v>
      </c>
    </row>
    <row r="12" spans="1:33" x14ac:dyDescent="0.3">
      <c r="A12" t="s">
        <v>11</v>
      </c>
      <c r="B12">
        <v>24.406978538616585</v>
      </c>
      <c r="C12">
        <v>24.814950262426706</v>
      </c>
      <c r="D12">
        <v>26.243040497934636</v>
      </c>
      <c r="E12">
        <v>28.069171356932671</v>
      </c>
      <c r="F12">
        <v>28.079237853396712</v>
      </c>
      <c r="G12">
        <v>29.666538825012005</v>
      </c>
      <c r="H12">
        <v>28.615677506052474</v>
      </c>
      <c r="I12">
        <v>28.800689813183116</v>
      </c>
      <c r="J12">
        <v>27.138438028562469</v>
      </c>
      <c r="K12">
        <v>28.51707904238085</v>
      </c>
      <c r="L12">
        <v>28.812362454151398</v>
      </c>
      <c r="M12">
        <v>28.994169402329302</v>
      </c>
      <c r="N12">
        <v>27.823243659465554</v>
      </c>
      <c r="O12">
        <v>24.613448140497326</v>
      </c>
      <c r="P12">
        <v>18.129492240906846</v>
      </c>
      <c r="Q12">
        <v>19.117460057340519</v>
      </c>
      <c r="R12">
        <v>16.101101945581661</v>
      </c>
      <c r="S12">
        <v>13.493860227630439</v>
      </c>
      <c r="T12">
        <v>10.998355941060906</v>
      </c>
      <c r="U12">
        <v>8.325590468393699</v>
      </c>
      <c r="V12">
        <v>7.1116016621071472</v>
      </c>
      <c r="W12">
        <v>4.9162389432708187</v>
      </c>
      <c r="X12">
        <v>3.4460349529319121</v>
      </c>
      <c r="Y12">
        <v>2.2842467601749146</v>
      </c>
      <c r="Z12">
        <v>1.0694898015356402</v>
      </c>
    </row>
    <row r="13" spans="1:33" x14ac:dyDescent="0.3">
      <c r="A13" t="s">
        <v>12</v>
      </c>
      <c r="B13">
        <v>3.598492242842517</v>
      </c>
      <c r="C13">
        <v>3.7042450025985745</v>
      </c>
      <c r="D13">
        <v>3.983219074165707</v>
      </c>
      <c r="E13">
        <v>4.3548762604601876</v>
      </c>
      <c r="F13">
        <v>4.4815788807859169</v>
      </c>
      <c r="G13">
        <v>4.9079453377107907</v>
      </c>
      <c r="H13">
        <v>4.9505016959066248</v>
      </c>
      <c r="I13">
        <v>5.2630393618537115</v>
      </c>
      <c r="J13">
        <v>5.2983269574566663</v>
      </c>
      <c r="K13">
        <v>6.0237070982696936</v>
      </c>
      <c r="L13">
        <v>6.676888665752859</v>
      </c>
      <c r="M13">
        <v>7.4836637665692205</v>
      </c>
      <c r="N13">
        <v>8.1307309362904316</v>
      </c>
      <c r="O13">
        <v>8.2883528487679818</v>
      </c>
      <c r="P13">
        <v>7.1693968474261531</v>
      </c>
      <c r="Q13">
        <v>9.0611375582549361</v>
      </c>
      <c r="R13">
        <v>9.3508079963911062</v>
      </c>
      <c r="S13">
        <v>9.8372058802179474</v>
      </c>
      <c r="T13">
        <v>10.340571740390294</v>
      </c>
      <c r="U13">
        <v>10.415102913210708</v>
      </c>
      <c r="V13">
        <v>12.293340928075756</v>
      </c>
      <c r="W13">
        <v>10.304421306091992</v>
      </c>
      <c r="X13">
        <v>7.0505925168884334</v>
      </c>
      <c r="Y13">
        <v>3.3183127640363907</v>
      </c>
      <c r="Z13">
        <v>0.79753772760977715</v>
      </c>
    </row>
    <row r="14" spans="1:33" x14ac:dyDescent="0.3">
      <c r="A14" t="s">
        <v>13</v>
      </c>
      <c r="B14">
        <v>10.996267951683505</v>
      </c>
      <c r="C14">
        <v>11.180074660270085</v>
      </c>
      <c r="D14">
        <v>11.823483383065563</v>
      </c>
      <c r="E14">
        <v>12.646224477732764</v>
      </c>
      <c r="F14">
        <v>12.650759815536995</v>
      </c>
      <c r="G14">
        <v>13.365899003135873</v>
      </c>
      <c r="H14">
        <v>12.892446190242399</v>
      </c>
      <c r="I14">
        <v>12.975801239715192</v>
      </c>
      <c r="J14">
        <v>12.22689387299905</v>
      </c>
      <c r="K14">
        <v>12.848023849130325</v>
      </c>
      <c r="L14">
        <v>12.981060206431939</v>
      </c>
      <c r="M14">
        <v>13.062971120332199</v>
      </c>
      <c r="N14">
        <v>12.535424738477445</v>
      </c>
      <c r="O14">
        <v>11.089290324877544</v>
      </c>
      <c r="P14">
        <v>8.1680226904595177</v>
      </c>
      <c r="Q14">
        <v>8.6131395991319852</v>
      </c>
      <c r="R14">
        <v>7.2541560615894261</v>
      </c>
      <c r="S14">
        <v>6.0794949498078985</v>
      </c>
      <c r="T14">
        <v>4.9551757815718132</v>
      </c>
      <c r="U14">
        <v>3.7509937373685447</v>
      </c>
      <c r="V14">
        <v>3.2040458149475017</v>
      </c>
      <c r="W14">
        <v>2.2149517872182911</v>
      </c>
      <c r="X14">
        <v>1.5525692233207582</v>
      </c>
      <c r="Y14">
        <v>1.0291396537636328</v>
      </c>
      <c r="Z14">
        <v>0.48184564962317972</v>
      </c>
    </row>
    <row r="15" spans="1:33" x14ac:dyDescent="0.3">
      <c r="A15" t="s">
        <v>14</v>
      </c>
      <c r="B15">
        <v>4.4404238443995743</v>
      </c>
      <c r="C15">
        <v>4.5709193531688044</v>
      </c>
      <c r="D15">
        <v>4.9151643968589385</v>
      </c>
      <c r="E15">
        <v>5.373777427148771</v>
      </c>
      <c r="F15">
        <v>5.5301243909532154</v>
      </c>
      <c r="G15">
        <v>6.0562469039437827</v>
      </c>
      <c r="H15">
        <v>6.1087600830508002</v>
      </c>
      <c r="I15">
        <v>6.3790784445888615</v>
      </c>
      <c r="J15">
        <v>6.2563169332734123</v>
      </c>
      <c r="K15">
        <v>6.8561999511230534</v>
      </c>
      <c r="L15">
        <v>7.2285044730077264</v>
      </c>
      <c r="M15">
        <v>7.5827369550180181</v>
      </c>
      <c r="N15">
        <v>7.5648670026560314</v>
      </c>
      <c r="O15">
        <v>6.9273243233321891</v>
      </c>
      <c r="P15">
        <v>5.2509119239031383</v>
      </c>
      <c r="Q15">
        <v>5.6572065451102924</v>
      </c>
      <c r="R15">
        <v>4.8275258872921993</v>
      </c>
      <c r="S15">
        <v>4.0616294052532496</v>
      </c>
      <c r="T15">
        <v>3.2910977821704677</v>
      </c>
      <c r="U15">
        <v>2.4520911186838323</v>
      </c>
      <c r="V15">
        <v>2.0414197657147248</v>
      </c>
      <c r="W15">
        <v>1.3628317005382016</v>
      </c>
      <c r="X15">
        <v>0.91506602898005096</v>
      </c>
      <c r="Y15">
        <v>0.57727367385394368</v>
      </c>
      <c r="Z15">
        <v>0.25611008680727232</v>
      </c>
    </row>
    <row r="16" spans="1:33" x14ac:dyDescent="0.3">
      <c r="A16" t="s">
        <v>15</v>
      </c>
      <c r="B16">
        <v>3.0198139325368847</v>
      </c>
      <c r="C16">
        <v>3.0702912455600284</v>
      </c>
      <c r="D16">
        <v>3.2469852506489181</v>
      </c>
      <c r="E16">
        <v>3.4729278187514243</v>
      </c>
      <c r="F16">
        <v>3.4741733209845607</v>
      </c>
      <c r="G16">
        <v>3.6705660691335873</v>
      </c>
      <c r="H16">
        <v>3.5405456470179546</v>
      </c>
      <c r="I16">
        <v>3.5634367534234412</v>
      </c>
      <c r="J16">
        <v>3.3577705301078611</v>
      </c>
      <c r="K16">
        <v>3.5283463076424884</v>
      </c>
      <c r="L16">
        <v>3.5648809798675196</v>
      </c>
      <c r="M16">
        <v>3.5873754952894514</v>
      </c>
      <c r="N16">
        <v>3.4424998046474711</v>
      </c>
      <c r="O16">
        <v>3.045359895934947</v>
      </c>
      <c r="P16">
        <v>2.2431163764203079</v>
      </c>
      <c r="Q16">
        <v>2.3653551440024558</v>
      </c>
      <c r="R16">
        <v>1.992148758091226</v>
      </c>
      <c r="S16">
        <v>1.6695613123365918</v>
      </c>
      <c r="T16">
        <v>1.3607988573131302</v>
      </c>
      <c r="U16">
        <v>1.0301043225515387</v>
      </c>
      <c r="V16">
        <v>0.87990054762021752</v>
      </c>
      <c r="W16">
        <v>0.60827385221321717</v>
      </c>
      <c r="X16">
        <v>0.42636921839415531</v>
      </c>
      <c r="Y16">
        <v>0.28262409379409542</v>
      </c>
      <c r="Z16">
        <v>0.13232527730843391</v>
      </c>
    </row>
    <row r="17" spans="1:57" x14ac:dyDescent="0.3">
      <c r="A17" t="s">
        <v>17</v>
      </c>
      <c r="B17">
        <v>3.6203259742570122</v>
      </c>
      <c r="C17">
        <v>3.726720385348417</v>
      </c>
      <c r="D17">
        <v>4.0073871227709015</v>
      </c>
      <c r="E17">
        <v>4.381299326621682</v>
      </c>
      <c r="F17">
        <v>4.5087707108615778</v>
      </c>
      <c r="G17">
        <v>4.9377241320138063</v>
      </c>
      <c r="H17">
        <v>4.9805386994906753</v>
      </c>
      <c r="I17">
        <v>5.2949726772802492</v>
      </c>
      <c r="J17">
        <v>5.3304743791901403</v>
      </c>
      <c r="K17">
        <v>6.0602557397638677</v>
      </c>
      <c r="L17">
        <v>6.7174004645770751</v>
      </c>
      <c r="M17">
        <v>7.5290706463535715</v>
      </c>
      <c r="N17">
        <v>7.9549802238710594</v>
      </c>
      <c r="O17">
        <v>7.7497173452494765</v>
      </c>
      <c r="P17">
        <v>6.25450301605873</v>
      </c>
      <c r="Q17">
        <v>7.1497318463015587</v>
      </c>
      <c r="R17">
        <v>6.4226335111109396</v>
      </c>
      <c r="S17">
        <v>5.620381389744761</v>
      </c>
      <c r="T17">
        <v>4.6637290222466197</v>
      </c>
      <c r="U17">
        <v>3.4942521403857958</v>
      </c>
      <c r="V17">
        <v>2.8680037005814585</v>
      </c>
      <c r="W17">
        <v>1.8500097432985407</v>
      </c>
      <c r="X17">
        <v>1.1776488736372501</v>
      </c>
      <c r="Y17">
        <v>0.69305185529259772</v>
      </c>
      <c r="Z17">
        <v>0.28358334785572337</v>
      </c>
    </row>
    <row r="18" spans="1:57" x14ac:dyDescent="0.3">
      <c r="A18" t="s">
        <v>16</v>
      </c>
      <c r="B18">
        <v>8.0642498138308163</v>
      </c>
      <c r="C18">
        <v>8.0854454828433688</v>
      </c>
      <c r="D18">
        <v>8.4189903586273243</v>
      </c>
      <c r="E18">
        <v>8.8539536168711273</v>
      </c>
      <c r="F18">
        <v>8.6993851257121886</v>
      </c>
      <c r="G18">
        <v>9.0210602803188049</v>
      </c>
      <c r="H18">
        <v>8.5379998637872756</v>
      </c>
      <c r="I18">
        <v>8.4331264458290729</v>
      </c>
      <c r="J18">
        <v>7.8033796663992678</v>
      </c>
      <c r="K18">
        <v>8.061212417777174</v>
      </c>
      <c r="L18">
        <v>8.0196804671664843</v>
      </c>
      <c r="M18">
        <v>7.962416743435563</v>
      </c>
      <c r="N18">
        <v>7.5568648618574255</v>
      </c>
      <c r="O18">
        <v>6.6297763962135177</v>
      </c>
      <c r="P18">
        <v>4.8576044608319986</v>
      </c>
      <c r="Q18">
        <v>5.1120084049196404</v>
      </c>
      <c r="R18">
        <v>4.3114508477146245</v>
      </c>
      <c r="S18">
        <v>3.6309939119655765</v>
      </c>
      <c r="T18">
        <v>2.9843523174980784</v>
      </c>
      <c r="U18">
        <v>2.2857979033743372</v>
      </c>
      <c r="V18">
        <v>1.9818444090420675</v>
      </c>
      <c r="W18">
        <v>1.3946228972460468</v>
      </c>
      <c r="X18">
        <v>0.99751803724501631</v>
      </c>
      <c r="Y18">
        <v>0.67599029178849424</v>
      </c>
      <c r="Z18">
        <v>0.323972301381584</v>
      </c>
    </row>
    <row r="19" spans="1:57" x14ac:dyDescent="0.3">
      <c r="B19">
        <f t="shared" ref="B19:M19" si="0">SUM(B3:B18)</f>
        <v>104.33200710630361</v>
      </c>
      <c r="C19">
        <f t="shared" si="0"/>
        <v>106.3161501279827</v>
      </c>
      <c r="D19">
        <f t="shared" si="0"/>
        <v>112.96288365668539</v>
      </c>
      <c r="E19">
        <f t="shared" si="0"/>
        <v>121.70185642517295</v>
      </c>
      <c r="F19">
        <f t="shared" si="0"/>
        <v>123.07288737369107</v>
      </c>
      <c r="G19">
        <f t="shared" si="0"/>
        <v>132.02580251442629</v>
      </c>
      <c r="H19">
        <f t="shared" si="0"/>
        <v>129.98812940063107</v>
      </c>
      <c r="I19">
        <f t="shared" si="0"/>
        <v>134.22880330317105</v>
      </c>
      <c r="J19">
        <f t="shared" si="0"/>
        <v>130.66090991461701</v>
      </c>
      <c r="K19">
        <f t="shared" si="0"/>
        <v>142.9671093742553</v>
      </c>
      <c r="L19">
        <f t="shared" si="0"/>
        <v>151.80205759597968</v>
      </c>
      <c r="M19">
        <f t="shared" si="0"/>
        <v>162.2578509468353</v>
      </c>
      <c r="N19">
        <f t="shared" ref="N19:Z19" si="1">SUM(N3:N18)</f>
        <v>167.21736553727303</v>
      </c>
      <c r="O19">
        <f t="shared" si="1"/>
        <v>161.00526751983165</v>
      </c>
      <c r="P19">
        <f t="shared" si="1"/>
        <v>131.07438471068036</v>
      </c>
      <c r="Q19">
        <f t="shared" si="1"/>
        <v>155.50351904731053</v>
      </c>
      <c r="R19">
        <f t="shared" si="1"/>
        <v>150.4376735555262</v>
      </c>
      <c r="S19">
        <f t="shared" si="1"/>
        <v>147.90309098401224</v>
      </c>
      <c r="T19">
        <f t="shared" si="1"/>
        <v>145.12253844643587</v>
      </c>
      <c r="U19">
        <f t="shared" si="1"/>
        <v>136.42945459585201</v>
      </c>
      <c r="V19">
        <f t="shared" si="1"/>
        <v>150.6465559922589</v>
      </c>
      <c r="W19">
        <f t="shared" si="1"/>
        <v>121.9741402692601</v>
      </c>
      <c r="X19">
        <f t="shared" si="1"/>
        <v>83.486241244689225</v>
      </c>
      <c r="Y19">
        <f t="shared" si="1"/>
        <v>41.6544102649123</v>
      </c>
      <c r="Z19">
        <f t="shared" si="1"/>
        <v>12.032102933988227</v>
      </c>
    </row>
    <row r="21" spans="1:57" ht="15" thickBot="1" x14ac:dyDescent="0.35">
      <c r="C21" t="s">
        <v>19</v>
      </c>
      <c r="D21" t="s">
        <v>20</v>
      </c>
      <c r="E21" s="4" t="s">
        <v>16</v>
      </c>
      <c r="F21" t="s">
        <v>21</v>
      </c>
      <c r="G21" t="s">
        <v>22</v>
      </c>
      <c r="H21" t="s">
        <v>23</v>
      </c>
      <c r="I21" t="s">
        <v>24</v>
      </c>
    </row>
    <row r="22" spans="1:57" ht="15.6" thickTop="1" thickBot="1" x14ac:dyDescent="0.35">
      <c r="A22" s="51" t="s">
        <v>25</v>
      </c>
      <c r="B22" t="s">
        <v>0</v>
      </c>
      <c r="C22" s="5">
        <f>SUM(B3:Y3)</f>
        <v>34.310724807986674</v>
      </c>
      <c r="F22">
        <f>($C22+$D22)*C50</f>
        <v>16.126040659753734</v>
      </c>
      <c r="G22">
        <f t="shared" ref="F22:I24" si="2">($C22+$D22)*D50</f>
        <v>4.8734282931600275</v>
      </c>
      <c r="H22">
        <f t="shared" si="2"/>
        <v>0.41630750903202479</v>
      </c>
      <c r="I22">
        <f t="shared" si="2"/>
        <v>12.874069936736964</v>
      </c>
      <c r="K22" s="6" t="s">
        <v>26</v>
      </c>
      <c r="L22" s="6"/>
      <c r="M22" s="6"/>
      <c r="N22" s="6"/>
      <c r="O22" s="6"/>
      <c r="P22" s="6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</row>
    <row r="23" spans="1:57" ht="15.6" thickTop="1" thickBot="1" x14ac:dyDescent="0.35">
      <c r="A23" s="51"/>
      <c r="B23" t="s">
        <v>1</v>
      </c>
      <c r="C23" s="5">
        <f>SUM(B4:Y4)</f>
        <v>5.2065791655000941</v>
      </c>
      <c r="F23">
        <f t="shared" si="2"/>
        <v>2.2648619369925411</v>
      </c>
      <c r="G23">
        <f t="shared" si="2"/>
        <v>0.80182643170949641</v>
      </c>
      <c r="H23">
        <f t="shared" si="2"/>
        <v>0.2197370982919804</v>
      </c>
      <c r="I23">
        <f t="shared" si="2"/>
        <v>1.9180343946602196</v>
      </c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</row>
    <row r="24" spans="1:57" ht="15.6" thickTop="1" thickBot="1" x14ac:dyDescent="0.35">
      <c r="A24" s="51"/>
      <c r="B24" t="s">
        <v>3</v>
      </c>
      <c r="C24" s="5">
        <f>SUM(B5:Y5)+C25*0.3</f>
        <v>6.1772255650840968</v>
      </c>
      <c r="D24" s="7">
        <f>SUM(AC30:AC37)</f>
        <v>1.0100160149502762</v>
      </c>
      <c r="F24">
        <f>($C24+$D24)*C52</f>
        <v>2.8820838735937837</v>
      </c>
      <c r="G24">
        <f t="shared" si="2"/>
        <v>1.3368269338863934</v>
      </c>
      <c r="H24">
        <f t="shared" si="2"/>
        <v>2.874896632013749E-2</v>
      </c>
      <c r="I24">
        <f t="shared" si="2"/>
        <v>2.9395818062340582</v>
      </c>
      <c r="K24" s="8"/>
      <c r="L24" s="9" t="s">
        <v>27</v>
      </c>
      <c r="M24" s="9" t="s">
        <v>110</v>
      </c>
      <c r="N24" s="9" t="s">
        <v>29</v>
      </c>
      <c r="O24" s="9" t="s">
        <v>30</v>
      </c>
      <c r="P24" s="6" t="s">
        <v>31</v>
      </c>
      <c r="Q24" t="s">
        <v>23</v>
      </c>
      <c r="R24" s="6" t="s">
        <v>24</v>
      </c>
      <c r="S24" s="6" t="s">
        <v>32</v>
      </c>
      <c r="T24" s="6" t="s">
        <v>33</v>
      </c>
      <c r="W24" s="58"/>
      <c r="X24" s="58" t="s">
        <v>27</v>
      </c>
      <c r="Y24" s="58" t="s">
        <v>110</v>
      </c>
      <c r="Z24" s="58" t="s">
        <v>29</v>
      </c>
      <c r="AA24" s="58" t="s">
        <v>30</v>
      </c>
      <c r="AB24" s="58" t="s">
        <v>31</v>
      </c>
      <c r="AC24" s="58" t="s">
        <v>23</v>
      </c>
      <c r="AD24" s="58" t="s">
        <v>24</v>
      </c>
      <c r="AE24" s="58" t="s">
        <v>32</v>
      </c>
      <c r="AF24" s="58" t="s">
        <v>33</v>
      </c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</row>
    <row r="25" spans="1:57" ht="15.6" thickTop="1" thickBot="1" x14ac:dyDescent="0.35">
      <c r="A25" s="51"/>
      <c r="B25" t="s">
        <v>4</v>
      </c>
      <c r="C25" s="5">
        <f t="shared" ref="C25:C37" si="3">SUM(B6:Y6)</f>
        <v>2.1786347540140456</v>
      </c>
      <c r="K25" s="10" t="s">
        <v>3</v>
      </c>
      <c r="L25" s="11">
        <f>F24</f>
        <v>2.8820838735937837</v>
      </c>
      <c r="M25" s="12"/>
      <c r="N25" s="11"/>
      <c r="O25" s="11"/>
      <c r="P25">
        <f>G24</f>
        <v>1.3368269338863934</v>
      </c>
      <c r="Q25">
        <f>H24</f>
        <v>2.874896632013749E-2</v>
      </c>
      <c r="R25">
        <f>I24</f>
        <v>2.9395818062340582</v>
      </c>
      <c r="S25">
        <f>SUM(L25:R25)/$O$39*100</f>
        <v>0.38287860525600764</v>
      </c>
      <c r="T25" s="13">
        <f t="shared" ref="T25:T34" si="4">SUM(L25:R25)</f>
        <v>7.1872415800343727</v>
      </c>
      <c r="W25" s="58" t="s">
        <v>3</v>
      </c>
      <c r="X25" s="58">
        <v>2.4770674515987228</v>
      </c>
      <c r="Y25" s="59"/>
      <c r="Z25" s="59"/>
      <c r="AA25" s="59"/>
      <c r="AB25" s="59">
        <v>1.1489639551056421</v>
      </c>
      <c r="AC25" s="59">
        <v>2.4708902260336389E-2</v>
      </c>
      <c r="AD25" s="59">
        <v>2.5264852561193956</v>
      </c>
      <c r="AE25" s="58">
        <v>0.35249908826651499</v>
      </c>
      <c r="AF25" s="58">
        <v>6.1772255650840968</v>
      </c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</row>
    <row r="26" spans="1:57" ht="15.6" thickTop="1" thickBot="1" x14ac:dyDescent="0.35">
      <c r="A26" s="51"/>
      <c r="B26" t="s">
        <v>5</v>
      </c>
      <c r="C26" s="5">
        <f t="shared" si="3"/>
        <v>80.336809897068363</v>
      </c>
      <c r="F26">
        <f>($C26+$D26)*C54</f>
        <v>13.657257682501623</v>
      </c>
      <c r="G26">
        <f>($C26+$D26)*D54</f>
        <v>0</v>
      </c>
      <c r="H26">
        <f>($C26+$D26)*E54</f>
        <v>0</v>
      </c>
      <c r="I26">
        <f>($C26+$D26)*F54</f>
        <v>66.679552214566741</v>
      </c>
      <c r="K26" s="10" t="s">
        <v>0</v>
      </c>
      <c r="L26" s="44">
        <v>0</v>
      </c>
      <c r="M26" s="12">
        <f>F22</f>
        <v>16.126040659753734</v>
      </c>
      <c r="N26" s="11"/>
      <c r="O26" s="11"/>
      <c r="P26">
        <f t="shared" ref="P26:R27" si="5">G22</f>
        <v>4.8734282931600275</v>
      </c>
      <c r="Q26">
        <f t="shared" si="5"/>
        <v>0.41630750903202479</v>
      </c>
      <c r="R26">
        <f t="shared" si="5"/>
        <v>12.874069936736964</v>
      </c>
      <c r="S26">
        <f>SUM(L26:R26)/$O$39</f>
        <v>1.8266880857381169E-2</v>
      </c>
      <c r="T26" s="13">
        <f t="shared" si="4"/>
        <v>34.289846398682748</v>
      </c>
      <c r="W26" s="58" t="s">
        <v>0</v>
      </c>
      <c r="X26" s="58">
        <v>0</v>
      </c>
      <c r="Y26" s="58">
        <v>16.126040659753734</v>
      </c>
      <c r="Z26" s="58"/>
      <c r="AA26" s="58"/>
      <c r="AB26" s="58">
        <v>4.8734282931600275</v>
      </c>
      <c r="AC26" s="58">
        <v>0.41630750903202479</v>
      </c>
      <c r="AD26" s="58">
        <v>12.874069936736964</v>
      </c>
      <c r="AE26" s="58">
        <v>1.9567262786477115E-2</v>
      </c>
      <c r="AF26" s="58">
        <v>34.289846398682748</v>
      </c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</row>
    <row r="27" spans="1:57" ht="15.6" thickTop="1" thickBot="1" x14ac:dyDescent="0.35">
      <c r="A27" s="51"/>
      <c r="B27" t="s">
        <v>6</v>
      </c>
      <c r="C27" s="5">
        <f t="shared" si="3"/>
        <v>1487.9812106879701</v>
      </c>
      <c r="F27">
        <f>($C27)*C56</f>
        <v>371.99530267199253</v>
      </c>
      <c r="G27">
        <f>($C27)*D56</f>
        <v>743.99060534398507</v>
      </c>
      <c r="H27">
        <f>($C27)*E56</f>
        <v>0</v>
      </c>
      <c r="I27">
        <f>($C27)*F56</f>
        <v>371.99530267199253</v>
      </c>
      <c r="K27" s="10" t="s">
        <v>1</v>
      </c>
      <c r="L27" s="44">
        <v>0</v>
      </c>
      <c r="M27" s="11">
        <f>F23</f>
        <v>2.2648619369925411</v>
      </c>
      <c r="N27" s="11"/>
      <c r="O27" s="12"/>
      <c r="P27">
        <f t="shared" si="5"/>
        <v>0.80182643170949641</v>
      </c>
      <c r="Q27">
        <f t="shared" si="5"/>
        <v>0.2197370982919804</v>
      </c>
      <c r="R27">
        <f t="shared" si="5"/>
        <v>1.9180343946602196</v>
      </c>
      <c r="S27">
        <f>SUM(L27:R27)/$O$39</f>
        <v>2.7725189292044346E-3</v>
      </c>
      <c r="T27" s="13">
        <f t="shared" si="4"/>
        <v>5.2044598616542377</v>
      </c>
      <c r="W27" s="58" t="s">
        <v>1</v>
      </c>
      <c r="X27" s="58">
        <v>0</v>
      </c>
      <c r="Y27" s="58">
        <v>2.2648619369925411</v>
      </c>
      <c r="Z27" s="58"/>
      <c r="AA27" s="58"/>
      <c r="AB27" s="58">
        <v>0.80182643170949641</v>
      </c>
      <c r="AC27" s="58">
        <v>0.2197370982919804</v>
      </c>
      <c r="AD27" s="58">
        <v>1.9180343946602196</v>
      </c>
      <c r="AE27" s="58">
        <v>2.9698888875329841E-3</v>
      </c>
      <c r="AF27" s="58">
        <v>5.2044598616542377</v>
      </c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</row>
    <row r="28" spans="1:57" ht="15.6" thickTop="1" thickBot="1" x14ac:dyDescent="0.35">
      <c r="A28" s="51"/>
      <c r="B28" t="s">
        <v>7</v>
      </c>
      <c r="C28" s="5">
        <f t="shared" si="3"/>
        <v>3.8087698483016852</v>
      </c>
      <c r="D28">
        <f>SUM(AE30:AE36)</f>
        <v>0.12483171003315816</v>
      </c>
      <c r="F28">
        <f t="shared" ref="F28:I29" si="6">($C28+$D28)*C57</f>
        <v>1.6678470607339735</v>
      </c>
      <c r="G28">
        <f t="shared" si="6"/>
        <v>0.81178990117029026</v>
      </c>
      <c r="H28">
        <f t="shared" si="6"/>
        <v>8.4067479885618253E-3</v>
      </c>
      <c r="I28">
        <f t="shared" si="6"/>
        <v>1.4484664848810571</v>
      </c>
      <c r="K28" s="15" t="s">
        <v>97</v>
      </c>
      <c r="L28" s="44">
        <v>0</v>
      </c>
      <c r="M28" s="11"/>
      <c r="N28" s="11">
        <f>F27</f>
        <v>371.99530267199253</v>
      </c>
      <c r="O28" s="11"/>
      <c r="P28">
        <f>G27</f>
        <v>743.99060534398507</v>
      </c>
      <c r="Q28">
        <f>H27</f>
        <v>0</v>
      </c>
      <c r="R28">
        <f>I27</f>
        <v>371.99530267199253</v>
      </c>
      <c r="S28">
        <f>SUM(L28:R28)/$O$39</f>
        <v>0.79267708515320423</v>
      </c>
      <c r="T28" s="13">
        <f t="shared" si="4"/>
        <v>1487.9812106879701</v>
      </c>
      <c r="W28" s="58" t="s">
        <v>97</v>
      </c>
      <c r="X28" s="58">
        <v>0</v>
      </c>
      <c r="Y28" s="58"/>
      <c r="Z28" s="58">
        <v>371.99530267199253</v>
      </c>
      <c r="AA28" s="58"/>
      <c r="AB28" s="59">
        <v>743.99060534398507</v>
      </c>
      <c r="AC28" s="58">
        <v>0</v>
      </c>
      <c r="AD28" s="58">
        <v>371.99530267199253</v>
      </c>
      <c r="AE28" s="58">
        <v>0.84910614741016655</v>
      </c>
      <c r="AF28" s="58">
        <v>1487.9812106879701</v>
      </c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60"/>
      <c r="BB28" s="58"/>
      <c r="BC28" s="58"/>
      <c r="BD28" s="58"/>
      <c r="BE28" s="58"/>
    </row>
    <row r="29" spans="1:57" ht="15.6" thickTop="1" thickBot="1" x14ac:dyDescent="0.35">
      <c r="A29" s="51"/>
      <c r="B29" t="s">
        <v>8</v>
      </c>
      <c r="C29" s="5">
        <f t="shared" si="3"/>
        <v>133.08268625658999</v>
      </c>
      <c r="D29">
        <f>SUM(AG30:AG36)</f>
        <v>1.6053098187471913</v>
      </c>
      <c r="F29">
        <f t="shared" si="6"/>
        <v>49.026430571422736</v>
      </c>
      <c r="G29">
        <f t="shared" si="6"/>
        <v>30.843551101252221</v>
      </c>
      <c r="H29">
        <f t="shared" si="6"/>
        <v>0.67343998037668595</v>
      </c>
      <c r="I29">
        <f t="shared" si="6"/>
        <v>54.144574422285558</v>
      </c>
      <c r="K29" s="10" t="s">
        <v>36</v>
      </c>
      <c r="L29" s="50">
        <v>0</v>
      </c>
      <c r="M29" s="50">
        <v>0</v>
      </c>
      <c r="N29" s="50">
        <v>0</v>
      </c>
      <c r="O29" s="11">
        <f>F42</f>
        <v>0</v>
      </c>
      <c r="P29">
        <f>G42</f>
        <v>0</v>
      </c>
      <c r="Q29">
        <f>H42</f>
        <v>0</v>
      </c>
      <c r="R29">
        <f>I42</f>
        <v>0</v>
      </c>
      <c r="S29">
        <f>SUM(M29:R29)/$O$39</f>
        <v>0</v>
      </c>
      <c r="T29" s="13">
        <f t="shared" si="4"/>
        <v>0</v>
      </c>
      <c r="W29" s="58" t="s">
        <v>36</v>
      </c>
      <c r="X29" s="58">
        <v>0</v>
      </c>
      <c r="Y29" s="58">
        <v>0</v>
      </c>
      <c r="Z29" s="58">
        <v>0</v>
      </c>
      <c r="AA29" s="58">
        <v>0</v>
      </c>
      <c r="AB29" s="61">
        <v>0</v>
      </c>
      <c r="AC29" s="61">
        <v>0</v>
      </c>
      <c r="AD29" s="61">
        <v>0</v>
      </c>
      <c r="AE29" s="61">
        <v>0</v>
      </c>
      <c r="AF29" s="61">
        <v>0</v>
      </c>
      <c r="AG29" s="61"/>
      <c r="AH29" s="58"/>
      <c r="AI29" s="58"/>
      <c r="AJ29" s="61"/>
      <c r="AK29" s="58"/>
      <c r="AL29" s="58"/>
      <c r="AM29" s="58"/>
      <c r="AN29" s="58"/>
      <c r="AO29" s="61"/>
      <c r="AP29" s="61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</row>
    <row r="30" spans="1:57" ht="15.6" thickTop="1" thickBot="1" x14ac:dyDescent="0.35">
      <c r="A30" s="51"/>
      <c r="B30" t="s">
        <v>10</v>
      </c>
      <c r="C30" s="5">
        <f t="shared" si="3"/>
        <v>81.396230261007645</v>
      </c>
      <c r="K30" s="15" t="s">
        <v>5</v>
      </c>
      <c r="L30" s="44">
        <v>0</v>
      </c>
      <c r="M30" s="44">
        <v>0</v>
      </c>
      <c r="N30" s="44">
        <v>0</v>
      </c>
      <c r="O30" s="12">
        <f>F26</f>
        <v>13.657257682501623</v>
      </c>
      <c r="P30">
        <f>G26</f>
        <v>0</v>
      </c>
      <c r="Q30">
        <f>H26</f>
        <v>0</v>
      </c>
      <c r="R30">
        <f>I26</f>
        <v>66.679552214566741</v>
      </c>
      <c r="S30">
        <f>SUM(L30:R30)/$O$39</f>
        <v>4.2797011039052146E-2</v>
      </c>
      <c r="T30" s="13">
        <f t="shared" si="4"/>
        <v>80.336809897068363</v>
      </c>
      <c r="W30" s="58" t="s">
        <v>5</v>
      </c>
      <c r="X30" s="58">
        <v>0</v>
      </c>
      <c r="Y30" s="58">
        <v>0</v>
      </c>
      <c r="Z30" s="58">
        <v>0</v>
      </c>
      <c r="AA30" s="58">
        <v>13.657257682501623</v>
      </c>
      <c r="AB30" s="58">
        <v>0</v>
      </c>
      <c r="AC30" s="58">
        <v>0</v>
      </c>
      <c r="AD30" s="58">
        <v>66.679552214566741</v>
      </c>
      <c r="AE30" s="58">
        <v>4.5843642820854978E-2</v>
      </c>
      <c r="AF30" s="58">
        <v>80.336809897068363</v>
      </c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9"/>
      <c r="AR30" s="61"/>
      <c r="AS30" s="58"/>
      <c r="AT30" s="58"/>
      <c r="AU30" s="58"/>
      <c r="AV30" s="58"/>
      <c r="AW30" s="58"/>
      <c r="AX30" s="58"/>
      <c r="AY30" s="58"/>
      <c r="AZ30" s="58"/>
      <c r="BA30" s="58"/>
      <c r="BB30" s="62"/>
      <c r="BC30" s="58"/>
      <c r="BD30" s="58"/>
      <c r="BE30" s="58"/>
    </row>
    <row r="31" spans="1:57" ht="15.6" thickTop="1" thickBot="1" x14ac:dyDescent="0.35">
      <c r="A31" s="51"/>
      <c r="B31" t="s">
        <v>11</v>
      </c>
      <c r="C31" s="5">
        <f t="shared" si="3"/>
        <v>488.51900858034065</v>
      </c>
      <c r="K31" s="15" t="s">
        <v>7</v>
      </c>
      <c r="L31" s="44">
        <v>0</v>
      </c>
      <c r="M31" s="44">
        <v>0</v>
      </c>
      <c r="N31" s="44">
        <v>0</v>
      </c>
      <c r="O31" s="11">
        <f>F28+F39</f>
        <v>1.6678470607339735</v>
      </c>
      <c r="P31">
        <f>G28</f>
        <v>0.81178990117029026</v>
      </c>
      <c r="Q31">
        <f>H28</f>
        <v>8.4067479885618253E-3</v>
      </c>
      <c r="R31">
        <f>I28+I39</f>
        <v>1.4484664848810571</v>
      </c>
      <c r="S31">
        <f>SUM(L31:R31)/$O$39</f>
        <v>2.0970570088223901E-3</v>
      </c>
      <c r="T31" s="13">
        <f t="shared" si="4"/>
        <v>3.9365101947738825</v>
      </c>
      <c r="W31" s="58" t="s">
        <v>7</v>
      </c>
      <c r="X31" s="58">
        <v>0</v>
      </c>
      <c r="Y31" s="58">
        <v>0</v>
      </c>
      <c r="Z31" s="58">
        <v>0</v>
      </c>
      <c r="AA31" s="58">
        <v>1.6149184156799146</v>
      </c>
      <c r="AB31" s="58">
        <v>0.78602798297702181</v>
      </c>
      <c r="AC31" s="58">
        <v>8.1399622677237899E-3</v>
      </c>
      <c r="AD31" s="58">
        <v>1.4024998190782396</v>
      </c>
      <c r="AE31" s="58">
        <v>2.1750551912733647E-3</v>
      </c>
      <c r="AF31" s="58">
        <v>3.8115861800028994</v>
      </c>
      <c r="AG31" s="58"/>
      <c r="AH31" s="58"/>
      <c r="AI31" s="58"/>
      <c r="AJ31" s="58"/>
      <c r="AK31" s="58"/>
      <c r="AL31" s="58"/>
      <c r="AM31" s="62"/>
      <c r="AN31" s="58"/>
      <c r="AO31" s="58"/>
      <c r="AP31" s="58"/>
      <c r="AQ31" s="58"/>
      <c r="AR31" s="61"/>
      <c r="AS31" s="58"/>
      <c r="AT31" s="58"/>
      <c r="AU31" s="58"/>
      <c r="AV31" s="58"/>
      <c r="AW31" s="58"/>
      <c r="AX31" s="58"/>
      <c r="AY31" s="58"/>
      <c r="AZ31" s="58"/>
      <c r="BA31" s="58"/>
      <c r="BB31" s="62"/>
      <c r="BC31" s="58"/>
      <c r="BD31" s="58"/>
      <c r="BE31" s="58"/>
    </row>
    <row r="32" spans="1:57" ht="15.6" thickTop="1" thickBot="1" x14ac:dyDescent="0.35">
      <c r="A32" s="51"/>
      <c r="B32" t="s">
        <v>12</v>
      </c>
      <c r="C32" s="5">
        <f t="shared" si="3"/>
        <v>166.28645858041463</v>
      </c>
      <c r="K32" s="16" t="s">
        <v>8</v>
      </c>
      <c r="L32" s="50">
        <v>0</v>
      </c>
      <c r="M32" s="50">
        <v>0</v>
      </c>
      <c r="N32" s="50">
        <v>0</v>
      </c>
      <c r="O32" s="17">
        <f>F29+F40</f>
        <v>49.026430571422736</v>
      </c>
      <c r="P32">
        <f>G29</f>
        <v>30.843551101252221</v>
      </c>
      <c r="Q32">
        <f>H29</f>
        <v>0.67343998037668595</v>
      </c>
      <c r="R32">
        <f>I29+I40</f>
        <v>54.144574422285558</v>
      </c>
      <c r="S32">
        <f>SUM(L32:R32)/$O$39</f>
        <v>7.1750965245563805E-2</v>
      </c>
      <c r="T32" s="13">
        <f t="shared" si="4"/>
        <v>134.6879960753372</v>
      </c>
      <c r="W32" s="58" t="s">
        <v>8</v>
      </c>
      <c r="X32" s="58">
        <v>0</v>
      </c>
      <c r="Y32" s="58">
        <v>0</v>
      </c>
      <c r="Z32" s="58">
        <v>0</v>
      </c>
      <c r="AA32" s="58">
        <v>48.442097797398759</v>
      </c>
      <c r="AB32" s="58">
        <v>30.47593515275911</v>
      </c>
      <c r="AC32" s="58">
        <v>0.66541343128294994</v>
      </c>
      <c r="AD32" s="58">
        <v>53.499239875149179</v>
      </c>
      <c r="AE32" s="58">
        <v>7.5942710971520083E-2</v>
      </c>
      <c r="AF32" s="58">
        <v>133.08268625658999</v>
      </c>
      <c r="AG32" s="58"/>
      <c r="AH32" s="58"/>
      <c r="AI32" s="58"/>
      <c r="AJ32" s="58"/>
      <c r="AK32" s="58"/>
      <c r="AL32" s="58"/>
      <c r="AM32" s="62"/>
      <c r="AN32" s="58"/>
      <c r="AO32" s="58"/>
      <c r="AP32" s="58"/>
      <c r="AQ32" s="58"/>
      <c r="AR32" s="61"/>
      <c r="AS32" s="58"/>
      <c r="AT32" s="58"/>
      <c r="AU32" s="58"/>
      <c r="AV32" s="58"/>
      <c r="AW32" s="58"/>
      <c r="AX32" s="58"/>
      <c r="AY32" s="58"/>
      <c r="AZ32" s="58"/>
      <c r="BA32" s="58"/>
      <c r="BB32" s="62"/>
      <c r="BC32" s="58"/>
      <c r="BD32" s="58"/>
      <c r="BE32" s="58"/>
    </row>
    <row r="33" spans="1:57" ht="15.6" thickTop="1" thickBot="1" x14ac:dyDescent="0.35">
      <c r="A33" s="51"/>
      <c r="B33" t="s">
        <v>13</v>
      </c>
      <c r="C33" s="5">
        <f t="shared" si="3"/>
        <v>220.09631013281023</v>
      </c>
      <c r="K33" s="10" t="s">
        <v>42</v>
      </c>
      <c r="L33" s="44">
        <v>0</v>
      </c>
      <c r="M33" s="44">
        <v>0</v>
      </c>
      <c r="N33" s="44">
        <v>0</v>
      </c>
      <c r="O33" s="11">
        <f>F38</f>
        <v>61.767603669522096</v>
      </c>
      <c r="P33" s="11">
        <f>G38</f>
        <v>23.471689394418398</v>
      </c>
      <c r="Q33" s="11">
        <f>H38</f>
        <v>27.177745614589721</v>
      </c>
      <c r="R33" s="11">
        <f>I38</f>
        <v>11.118168660513977</v>
      </c>
      <c r="S33">
        <f>SUM(L33:R33)/$O$39</f>
        <v>6.5809653619238379E-2</v>
      </c>
      <c r="T33" s="13">
        <f t="shared" si="4"/>
        <v>123.53520733904419</v>
      </c>
      <c r="U33">
        <f>T33/0.95</f>
        <v>130.03706035688862</v>
      </c>
      <c r="W33" s="58" t="s">
        <v>42</v>
      </c>
      <c r="X33" s="58">
        <v>0</v>
      </c>
      <c r="Y33" s="58">
        <v>0</v>
      </c>
      <c r="Z33" s="58">
        <v>0</v>
      </c>
      <c r="AA33" s="58">
        <v>0.7625221639049159</v>
      </c>
      <c r="AB33" s="58">
        <v>0.28975842228386806</v>
      </c>
      <c r="AC33" s="58">
        <v>0.33550975211816297</v>
      </c>
      <c r="AD33" s="58">
        <v>0.13725398950288487</v>
      </c>
      <c r="AE33" s="58">
        <v>8.7025595788109661E-4</v>
      </c>
      <c r="AF33" s="58">
        <v>1.5250443278098316</v>
      </c>
      <c r="AG33" s="58">
        <v>1.6053098187471913</v>
      </c>
      <c r="AH33" s="58"/>
      <c r="AI33" s="58"/>
      <c r="AJ33" s="58"/>
      <c r="AK33" s="58"/>
      <c r="AL33" s="58"/>
      <c r="AM33" s="62"/>
      <c r="AN33" s="58"/>
      <c r="AO33" s="58"/>
      <c r="AP33" s="58"/>
      <c r="AQ33" s="58"/>
      <c r="AR33" s="61"/>
      <c r="AS33" s="58"/>
      <c r="AT33" s="58"/>
      <c r="AU33" s="58"/>
      <c r="AV33" s="58"/>
      <c r="AW33" s="58"/>
      <c r="AX33" s="58"/>
      <c r="AY33" s="58"/>
      <c r="AZ33" s="58"/>
      <c r="BA33" s="58"/>
      <c r="BB33" s="62"/>
      <c r="BC33" s="58"/>
      <c r="BD33" s="58"/>
      <c r="BE33" s="58"/>
    </row>
    <row r="34" spans="1:57" ht="15.6" thickTop="1" thickBot="1" x14ac:dyDescent="0.35">
      <c r="A34" s="51"/>
      <c r="B34" t="s">
        <v>14</v>
      </c>
      <c r="C34" s="5">
        <f t="shared" si="3"/>
        <v>116.22749831402328</v>
      </c>
      <c r="K34" s="10" t="s">
        <v>41</v>
      </c>
      <c r="L34" s="44">
        <v>0</v>
      </c>
      <c r="M34" s="44">
        <v>0</v>
      </c>
      <c r="N34" s="44">
        <v>0</v>
      </c>
      <c r="O34" s="11">
        <f>F41</f>
        <v>7.9018973499750845E-5</v>
      </c>
      <c r="P34">
        <v>0</v>
      </c>
      <c r="Q34">
        <f>G41</f>
        <v>0</v>
      </c>
      <c r="R34">
        <v>0</v>
      </c>
      <c r="S34">
        <f>SUM(L34:R34)/$O$39</f>
        <v>4.2094973468529686E-8</v>
      </c>
      <c r="T34" s="13">
        <f t="shared" si="4"/>
        <v>7.9018973499750845E-5</v>
      </c>
      <c r="W34" s="58" t="s">
        <v>41</v>
      </c>
      <c r="X34" s="58">
        <v>0</v>
      </c>
      <c r="Y34" s="58">
        <v>0</v>
      </c>
      <c r="Z34" s="58">
        <v>0</v>
      </c>
      <c r="AA34" s="58">
        <v>7.9018973499750845E-5</v>
      </c>
      <c r="AB34" s="58">
        <v>0</v>
      </c>
      <c r="AC34" s="58">
        <v>0</v>
      </c>
      <c r="AD34" s="58">
        <v>0</v>
      </c>
      <c r="AE34" s="58">
        <v>4.5091628629946071E-8</v>
      </c>
      <c r="AF34" s="58">
        <v>7.9018973499750845E-5</v>
      </c>
      <c r="AG34" s="58"/>
      <c r="AH34" s="58"/>
      <c r="AI34" s="58"/>
      <c r="AJ34" s="58"/>
      <c r="AK34" s="58"/>
      <c r="AL34" s="58"/>
      <c r="AM34" s="62"/>
      <c r="AN34" s="58"/>
      <c r="AO34" s="58"/>
      <c r="AP34" s="58"/>
      <c r="AQ34" s="58"/>
      <c r="AR34" s="61"/>
      <c r="AS34" s="58"/>
      <c r="AT34" s="58"/>
      <c r="AU34" s="58"/>
      <c r="AV34" s="58"/>
      <c r="AW34" s="58"/>
      <c r="AX34" s="58"/>
      <c r="AY34" s="58"/>
      <c r="AZ34" s="58"/>
      <c r="BA34" s="58"/>
      <c r="BB34" s="63"/>
      <c r="BC34" s="58"/>
      <c r="BD34" s="58"/>
      <c r="BE34" s="58"/>
    </row>
    <row r="35" spans="1:57" ht="15.6" thickTop="1" thickBot="1" x14ac:dyDescent="0.35">
      <c r="A35" s="51"/>
      <c r="B35" t="s">
        <v>15</v>
      </c>
      <c r="C35" s="5">
        <f t="shared" si="3"/>
        <v>60.443225534283464</v>
      </c>
      <c r="K35" s="15" t="s">
        <v>43</v>
      </c>
      <c r="L35" s="18">
        <f>SUM(L25:L34)/$O$39</f>
        <v>1.5353432070765907E-3</v>
      </c>
      <c r="M35" s="18">
        <f>SUM(M25:M34)/$O$39</f>
        <v>9.7971983510364031E-3</v>
      </c>
      <c r="N35" s="18">
        <f>SUM(N25:N34)/$O$39</f>
        <v>0.19816927128830106</v>
      </c>
      <c r="O35" s="18">
        <f>SUM(O25:O34)/$O$39</f>
        <v>6.7186207319324592E-2</v>
      </c>
      <c r="P35" s="19">
        <f>SUM(P25:P34)/$O$39</f>
        <v>0.42944127926738679</v>
      </c>
      <c r="Q35" s="19">
        <f>SUM(Q25:Q34)/$O$39</f>
        <v>1.5195505777724732E-2</v>
      </c>
      <c r="R35" s="19">
        <f>SUM(R25:R34)/$O$39</f>
        <v>0.27867519478914998</v>
      </c>
      <c r="T35" s="13"/>
      <c r="W35" s="58" t="s">
        <v>43</v>
      </c>
      <c r="X35" s="58">
        <v>1.4135213439487252E-3</v>
      </c>
      <c r="Y35" s="58">
        <v>1.049464088602225E-2</v>
      </c>
      <c r="Z35" s="58">
        <v>0.21227653685254164</v>
      </c>
      <c r="AA35" s="58">
        <v>3.6793281125911514E-2</v>
      </c>
      <c r="AB35" s="58">
        <v>0.44645203757281987</v>
      </c>
      <c r="AC35" s="58">
        <v>9.5286928143925348E-4</v>
      </c>
      <c r="AD35" s="58">
        <v>0.29161711293731662</v>
      </c>
      <c r="AE35" s="58"/>
      <c r="AF35" s="58"/>
      <c r="AG35" s="58"/>
      <c r="AH35" s="58"/>
      <c r="AI35" s="58"/>
      <c r="AJ35" s="58"/>
      <c r="AK35" s="58"/>
      <c r="AL35" s="58"/>
      <c r="AM35" s="63"/>
      <c r="AN35" s="58"/>
      <c r="AO35" s="58"/>
      <c r="AP35" s="58"/>
      <c r="AQ35" s="58"/>
      <c r="AR35" s="61"/>
      <c r="AS35" s="58"/>
      <c r="AT35" s="58"/>
      <c r="AU35" s="58"/>
      <c r="AV35" s="58"/>
      <c r="AW35" s="58"/>
      <c r="AX35" s="58"/>
      <c r="AY35" s="58"/>
      <c r="AZ35" s="58"/>
      <c r="BA35" s="58"/>
      <c r="BB35" s="62"/>
      <c r="BC35" s="58"/>
      <c r="BD35" s="58"/>
      <c r="BE35" s="58"/>
    </row>
    <row r="36" spans="1:57" ht="15.6" thickTop="1" thickBot="1" x14ac:dyDescent="0.35">
      <c r="A36" s="51"/>
      <c r="B36" t="s">
        <v>17</v>
      </c>
      <c r="C36" s="5">
        <f t="shared" si="3"/>
        <v>116.99358292630778</v>
      </c>
      <c r="L36">
        <f>L35/SUM($L$35:$O$35)</f>
        <v>5.5490049990487697E-3</v>
      </c>
      <c r="M36">
        <f>M35/SUM($L$35:$O$35)</f>
        <v>3.5408827404843156E-2</v>
      </c>
      <c r="N36">
        <f>N35/SUM($L$35:$O$35)</f>
        <v>0.71621919579169291</v>
      </c>
      <c r="O36" s="3">
        <f>O35/SUM($L$35:$O$35)</f>
        <v>0.24282297180441506</v>
      </c>
      <c r="T36" s="13"/>
      <c r="W36" s="58"/>
      <c r="X36" s="58">
        <v>5.4162475424932351E-3</v>
      </c>
      <c r="Y36" s="58">
        <v>4.021274468306079E-2</v>
      </c>
      <c r="Z36" s="58">
        <v>0.81338868774680462</v>
      </c>
      <c r="AA36" s="58">
        <v>0.14098232002764141</v>
      </c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62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</row>
    <row r="37" spans="1:57" ht="15" thickTop="1" x14ac:dyDescent="0.3">
      <c r="A37" s="51"/>
      <c r="B37" t="s">
        <v>16</v>
      </c>
      <c r="C37" s="5">
        <f t="shared" si="3"/>
        <v>142.37972502229525</v>
      </c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</row>
    <row r="38" spans="1:57" x14ac:dyDescent="0.3">
      <c r="A38" s="51"/>
      <c r="B38" s="21" t="s">
        <v>18</v>
      </c>
      <c r="C38" s="37">
        <f>C25*0.7</f>
        <v>1.5250443278098318</v>
      </c>
      <c r="D38">
        <f>SUM(AD30:AD36)</f>
        <v>122.01016301123435</v>
      </c>
      <c r="E38">
        <f>AD37</f>
        <v>0</v>
      </c>
      <c r="F38">
        <f>($D38+C38)*C55+E38*0.1</f>
        <v>61.767603669522096</v>
      </c>
      <c r="G38">
        <f>(D38+C38)*D55</f>
        <v>23.471689394418398</v>
      </c>
      <c r="H38">
        <f>(C38+D38)*E55</f>
        <v>27.177745614589721</v>
      </c>
      <c r="I38">
        <f>(D38+C38)*F55+E38*0.9</f>
        <v>11.118168660513977</v>
      </c>
      <c r="W38" s="58"/>
      <c r="X38" s="58"/>
      <c r="Y38" s="58"/>
      <c r="Z38" s="60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</row>
    <row r="39" spans="1:57" x14ac:dyDescent="0.3">
      <c r="A39" s="20"/>
      <c r="B39" s="21" t="s">
        <v>7</v>
      </c>
      <c r="E39">
        <f>AE37</f>
        <v>0</v>
      </c>
      <c r="F39">
        <f>E39*0.1</f>
        <v>0</v>
      </c>
      <c r="I39">
        <f>E39*0.9</f>
        <v>0</v>
      </c>
      <c r="N39" s="15" t="s">
        <v>25</v>
      </c>
      <c r="O39" s="13">
        <f>SUM(L25:R34)</f>
        <v>1877.1593610535385</v>
      </c>
      <c r="W39" s="58"/>
      <c r="X39" s="58"/>
      <c r="Y39" s="58"/>
      <c r="Z39" s="58"/>
      <c r="AA39" s="58"/>
      <c r="AB39" s="62"/>
      <c r="AC39" s="62"/>
      <c r="AD39" s="62"/>
      <c r="AE39" s="62"/>
      <c r="AF39" s="63"/>
      <c r="AG39" s="62"/>
      <c r="AH39" s="62"/>
      <c r="AI39" s="58"/>
      <c r="AJ39" s="62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</row>
    <row r="40" spans="1:57" ht="15" thickBot="1" x14ac:dyDescent="0.35">
      <c r="A40" s="20"/>
      <c r="B40" s="21" t="s">
        <v>44</v>
      </c>
      <c r="E40">
        <f>AG37</f>
        <v>0</v>
      </c>
      <c r="F40">
        <f>E40*0.1</f>
        <v>0</v>
      </c>
      <c r="I40">
        <f>E40*0.9</f>
        <v>0</v>
      </c>
      <c r="J40" s="2"/>
      <c r="N40" s="54" t="s">
        <v>59</v>
      </c>
      <c r="O40" s="54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</row>
    <row r="41" spans="1:57" ht="15" thickTop="1" x14ac:dyDescent="0.3">
      <c r="A41" s="20"/>
      <c r="B41" s="23" t="s">
        <v>41</v>
      </c>
      <c r="C41" s="22"/>
      <c r="D41" s="13">
        <f>AH36</f>
        <v>0</v>
      </c>
      <c r="E41" s="13"/>
      <c r="F41">
        <v>7.9018973499750845E-5</v>
      </c>
      <c r="J41" s="2"/>
      <c r="N41" s="10" t="s">
        <v>3</v>
      </c>
      <c r="O41">
        <f>SUM(L25:R25)/0.15</f>
        <v>47.914943866895818</v>
      </c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</row>
    <row r="42" spans="1:57" ht="16.2" thickBot="1" x14ac:dyDescent="0.35">
      <c r="B42" s="24" t="s">
        <v>36</v>
      </c>
      <c r="C42" s="25"/>
      <c r="D42" s="7">
        <f>SUM(AI30:AI36)</f>
        <v>0</v>
      </c>
      <c r="F42">
        <f>$D$42*C59</f>
        <v>0</v>
      </c>
      <c r="G42">
        <f>$D$42*D59</f>
        <v>0</v>
      </c>
      <c r="H42">
        <f>$D$42*E59</f>
        <v>0</v>
      </c>
      <c r="I42">
        <f>$D$42*F59</f>
        <v>0</v>
      </c>
      <c r="J42" s="52"/>
      <c r="K42" s="52"/>
      <c r="L42" s="52"/>
      <c r="N42" s="10" t="s">
        <v>36</v>
      </c>
      <c r="O42">
        <f>SUM(M29:R29)/0.15</f>
        <v>0</v>
      </c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</row>
    <row r="43" spans="1:57" ht="15" thickTop="1" x14ac:dyDescent="0.3">
      <c r="B43" s="26" t="s">
        <v>25</v>
      </c>
      <c r="C43">
        <f>SUM(C22:C42)-C25</f>
        <v>3144.7710899077933</v>
      </c>
      <c r="D43">
        <f t="shared" ref="D43:I43" si="7">SUM(D22:D42)</f>
        <v>124.75032055496499</v>
      </c>
      <c r="E43">
        <f t="shared" si="7"/>
        <v>0</v>
      </c>
      <c r="F43">
        <f t="shared" si="7"/>
        <v>519.38750714548644</v>
      </c>
      <c r="G43">
        <f t="shared" si="7"/>
        <v>806.12971739958198</v>
      </c>
      <c r="H43">
        <f t="shared" si="7"/>
        <v>28.524385916599112</v>
      </c>
      <c r="I43">
        <f t="shared" si="7"/>
        <v>523.11775059187119</v>
      </c>
      <c r="N43" s="10" t="s">
        <v>0</v>
      </c>
      <c r="O43">
        <f>SUM(L26:R26)/0.15</f>
        <v>228.59897599121834</v>
      </c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</row>
    <row r="44" spans="1:57" ht="18.600000000000001" thickBot="1" x14ac:dyDescent="0.4">
      <c r="B44" s="53" t="s">
        <v>45</v>
      </c>
      <c r="C44" s="53"/>
      <c r="D44" s="53"/>
      <c r="F44" s="3">
        <f>F43/$C$43</f>
        <v>0.16515908226589401</v>
      </c>
      <c r="G44" s="3">
        <f>G43/$C$43</f>
        <v>0.25633971260630556</v>
      </c>
      <c r="H44" s="3">
        <f>H43/$C$43</f>
        <v>9.070417242176906E-3</v>
      </c>
      <c r="I44" s="3">
        <f>I43/$C$43</f>
        <v>0.16634525554838056</v>
      </c>
      <c r="N44" s="10" t="s">
        <v>1</v>
      </c>
      <c r="O44">
        <f>SUM(L27:R27)/0.15</f>
        <v>34.69639907769492</v>
      </c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60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</row>
    <row r="45" spans="1:57" x14ac:dyDescent="0.3">
      <c r="N45" s="15" t="s">
        <v>35</v>
      </c>
      <c r="O45">
        <f>SUM(L28:R28)/0.15</f>
        <v>9919.8747379198012</v>
      </c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</row>
    <row r="46" spans="1:57" x14ac:dyDescent="0.3">
      <c r="A46" s="1"/>
      <c r="B46" s="1"/>
      <c r="C46" s="1" t="s">
        <v>46</v>
      </c>
      <c r="D46" s="1" t="s">
        <v>47</v>
      </c>
      <c r="E46" s="1" t="s">
        <v>23</v>
      </c>
      <c r="F46" s="1" t="s">
        <v>48</v>
      </c>
      <c r="N46" s="15" t="s">
        <v>5</v>
      </c>
      <c r="O46">
        <f>SUM(L30:R30)/0.15</f>
        <v>535.57873264712248</v>
      </c>
      <c r="W46" s="59"/>
      <c r="X46" s="61"/>
      <c r="Y46" s="58"/>
      <c r="Z46" s="58"/>
      <c r="AA46" s="58"/>
      <c r="AB46" s="58"/>
      <c r="AC46" s="58"/>
      <c r="AD46" s="58"/>
      <c r="AE46" s="58"/>
      <c r="AF46" s="58"/>
      <c r="AG46" s="58"/>
      <c r="AH46" s="62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</row>
    <row r="47" spans="1:57" x14ac:dyDescent="0.3">
      <c r="A47" s="1" t="s">
        <v>49</v>
      </c>
      <c r="B47" s="1"/>
      <c r="C47" s="1">
        <v>0.54700000000000004</v>
      </c>
      <c r="D47" s="1">
        <v>0.16800000000000001</v>
      </c>
      <c r="E47" s="1">
        <v>1.6E-2</v>
      </c>
      <c r="F47" s="1">
        <v>0.26900000000000002</v>
      </c>
      <c r="N47" s="15" t="s">
        <v>7</v>
      </c>
      <c r="O47">
        <f>SUM(L31:R31)/0.15</f>
        <v>26.24340129849255</v>
      </c>
      <c r="W47" s="58"/>
      <c r="X47" s="61"/>
      <c r="Y47" s="58"/>
      <c r="Z47" s="58"/>
      <c r="AA47" s="58"/>
      <c r="AB47" s="58"/>
      <c r="AC47" s="58"/>
      <c r="AD47" s="58"/>
      <c r="AE47" s="58"/>
      <c r="AF47" s="58"/>
      <c r="AG47" s="58"/>
      <c r="AH47" s="62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</row>
    <row r="48" spans="1:57" ht="15" thickBot="1" x14ac:dyDescent="0.35">
      <c r="N48" s="16" t="s">
        <v>8</v>
      </c>
      <c r="O48">
        <f>SUM(L32:R32)/0.15</f>
        <v>897.91997383558135</v>
      </c>
      <c r="W48" s="58"/>
      <c r="X48" s="61"/>
      <c r="Y48" s="58"/>
      <c r="Z48" s="58"/>
      <c r="AA48" s="58"/>
      <c r="AB48" s="58"/>
      <c r="AC48" s="58"/>
      <c r="AD48" s="58"/>
      <c r="AE48" s="58"/>
      <c r="AF48" s="58"/>
      <c r="AG48" s="58"/>
      <c r="AH48" s="62"/>
      <c r="AI48" s="58"/>
      <c r="AJ48" s="58"/>
      <c r="AK48" s="58"/>
      <c r="AL48" s="58"/>
      <c r="AM48" s="58"/>
      <c r="AN48" s="58"/>
      <c r="AO48" s="60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</row>
    <row r="49" spans="2:57" x14ac:dyDescent="0.3">
      <c r="B49" s="1"/>
      <c r="C49" s="1" t="s">
        <v>50</v>
      </c>
      <c r="D49" s="1" t="s">
        <v>51</v>
      </c>
      <c r="E49" s="1" t="s">
        <v>52</v>
      </c>
      <c r="F49" s="1" t="s">
        <v>53</v>
      </c>
      <c r="N49" s="10" t="s">
        <v>42</v>
      </c>
      <c r="O49">
        <f>SUM(L33:R33)/0.95</f>
        <v>130.03706035688862</v>
      </c>
      <c r="W49" s="58"/>
      <c r="X49" s="61"/>
      <c r="Y49" s="58"/>
      <c r="Z49" s="58"/>
      <c r="AA49" s="58"/>
      <c r="AB49" s="58"/>
      <c r="AC49" s="58"/>
      <c r="AD49" s="58"/>
      <c r="AE49" s="58"/>
      <c r="AF49" s="58"/>
      <c r="AG49" s="58"/>
      <c r="AH49" s="62"/>
      <c r="AI49" s="58"/>
      <c r="AJ49" s="58"/>
      <c r="AK49" s="58"/>
      <c r="AL49" s="58"/>
      <c r="AM49" s="58"/>
      <c r="AN49" s="58"/>
      <c r="AO49" s="58"/>
      <c r="AP49" s="62"/>
      <c r="AQ49" s="62"/>
      <c r="AR49" s="62"/>
      <c r="AS49" s="62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</row>
    <row r="50" spans="2:57" x14ac:dyDescent="0.3">
      <c r="B50" s="1" t="s">
        <v>54</v>
      </c>
      <c r="C50" s="1">
        <v>0.47</v>
      </c>
      <c r="D50" s="1">
        <v>0.14203804555086566</v>
      </c>
      <c r="E50" s="1">
        <v>1.2133451314765547E-2</v>
      </c>
      <c r="F50" s="1">
        <v>0.37521999342142154</v>
      </c>
      <c r="H50" t="s">
        <v>55</v>
      </c>
      <c r="N50" s="10" t="s">
        <v>41</v>
      </c>
      <c r="O50">
        <f>SUM(L34:R34)/0.15</f>
        <v>5.2679315666500563E-4</v>
      </c>
      <c r="W50" s="58"/>
      <c r="X50" s="61"/>
      <c r="Y50" s="58"/>
      <c r="Z50" s="58"/>
      <c r="AA50" s="58"/>
      <c r="AB50" s="58"/>
      <c r="AC50" s="58"/>
      <c r="AD50" s="58"/>
      <c r="AE50" s="58"/>
      <c r="AF50" s="58"/>
      <c r="AG50" s="58"/>
      <c r="AH50" s="63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</row>
    <row r="51" spans="2:57" x14ac:dyDescent="0.3">
      <c r="B51" s="1" t="s">
        <v>56</v>
      </c>
      <c r="C51" s="1">
        <v>0.435</v>
      </c>
      <c r="D51" s="1">
        <v>0.1540025429791925</v>
      </c>
      <c r="E51" s="1">
        <v>4.2203737100168448E-2</v>
      </c>
      <c r="F51" s="1">
        <v>0.36838667648991591</v>
      </c>
      <c r="H51" t="s">
        <v>57</v>
      </c>
      <c r="W51" s="58"/>
      <c r="X51" s="61"/>
      <c r="Y51" s="58"/>
      <c r="Z51" s="58"/>
      <c r="AA51" s="58"/>
      <c r="AB51" s="58"/>
      <c r="AC51" s="58"/>
      <c r="AD51" s="58"/>
      <c r="AE51" s="58"/>
      <c r="AF51" s="58"/>
      <c r="AG51" s="58"/>
      <c r="AH51" s="62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</row>
    <row r="52" spans="2:57" x14ac:dyDescent="0.3">
      <c r="B52" s="1" t="s">
        <v>58</v>
      </c>
      <c r="C52" s="1">
        <v>0.40100000000000002</v>
      </c>
      <c r="D52" s="1">
        <v>0.186</v>
      </c>
      <c r="E52" s="1">
        <v>4.0000000000000001E-3</v>
      </c>
      <c r="F52" s="1">
        <v>0.40899999999999997</v>
      </c>
      <c r="H52" t="s">
        <v>57</v>
      </c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</row>
    <row r="53" spans="2:57" x14ac:dyDescent="0.3">
      <c r="B53" t="s">
        <v>4</v>
      </c>
      <c r="H53" t="s">
        <v>114</v>
      </c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</row>
    <row r="54" spans="2:57" x14ac:dyDescent="0.3">
      <c r="B54" s="1" t="s">
        <v>60</v>
      </c>
      <c r="C54" s="27">
        <v>0.17</v>
      </c>
      <c r="D54" s="27"/>
      <c r="E54" s="27"/>
      <c r="F54" s="27">
        <v>0.83</v>
      </c>
      <c r="H54" t="s">
        <v>61</v>
      </c>
      <c r="W54" s="58"/>
      <c r="X54" s="58"/>
      <c r="Y54" s="61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</row>
    <row r="55" spans="2:57" x14ac:dyDescent="0.3">
      <c r="B55" s="1" t="s">
        <v>62</v>
      </c>
      <c r="C55" s="27">
        <v>0.5</v>
      </c>
      <c r="D55" s="27">
        <v>0.19</v>
      </c>
      <c r="E55" s="27">
        <v>0.22</v>
      </c>
      <c r="F55" s="27">
        <v>0.09</v>
      </c>
      <c r="H55" t="s">
        <v>63</v>
      </c>
      <c r="W55" s="58"/>
      <c r="X55" s="58"/>
      <c r="Y55" s="61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</row>
    <row r="56" spans="2:57" x14ac:dyDescent="0.3">
      <c r="B56" s="1" t="s">
        <v>65</v>
      </c>
      <c r="C56" s="27">
        <v>0.25</v>
      </c>
      <c r="D56" s="27">
        <v>0.5</v>
      </c>
      <c r="E56" s="27"/>
      <c r="F56" s="27">
        <v>0.25</v>
      </c>
      <c r="H56" t="s">
        <v>66</v>
      </c>
      <c r="I56" t="s">
        <v>64</v>
      </c>
      <c r="T56" s="6"/>
      <c r="U56" s="13"/>
      <c r="W56" s="58"/>
      <c r="X56" s="58"/>
      <c r="Y56" s="61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</row>
    <row r="57" spans="2:57" x14ac:dyDescent="0.3">
      <c r="B57" s="1" t="s">
        <v>67</v>
      </c>
      <c r="C57" s="1">
        <v>0.42399999999999999</v>
      </c>
      <c r="D57" s="1">
        <v>0.20637318984435576</v>
      </c>
      <c r="E57" s="1">
        <v>2.1371630715238321E-3</v>
      </c>
      <c r="F57" s="3">
        <v>0.36822908050052133</v>
      </c>
      <c r="H57" t="s">
        <v>114</v>
      </c>
      <c r="T57" s="6"/>
      <c r="U57" s="13"/>
      <c r="W57" s="58"/>
      <c r="X57" s="58"/>
      <c r="Y57" s="61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</row>
    <row r="58" spans="2:57" x14ac:dyDescent="0.3">
      <c r="B58" s="1" t="s">
        <v>68</v>
      </c>
      <c r="C58" s="1">
        <v>0.36399999999999999</v>
      </c>
      <c r="D58" s="1">
        <v>0.22900000000000001</v>
      </c>
      <c r="E58" s="1">
        <v>5.0000000000000001E-3</v>
      </c>
      <c r="F58" s="1">
        <v>0.40200000000000002</v>
      </c>
      <c r="H58" t="s">
        <v>114</v>
      </c>
      <c r="T58" s="6"/>
      <c r="U58" s="13"/>
      <c r="W58" s="58"/>
      <c r="X58" s="58"/>
      <c r="Y58" s="61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</row>
    <row r="59" spans="2:57" x14ac:dyDescent="0.3">
      <c r="B59" s="1" t="s">
        <v>69</v>
      </c>
      <c r="C59" s="39">
        <v>0.54845999999999995</v>
      </c>
      <c r="D59" s="39">
        <v>1.5970000000000002E-2</v>
      </c>
      <c r="E59" s="39">
        <v>0.16757</v>
      </c>
      <c r="F59" s="49">
        <v>0.26800000000000002</v>
      </c>
      <c r="H59" t="s">
        <v>70</v>
      </c>
      <c r="T59" s="6"/>
      <c r="U59" s="13"/>
      <c r="W59" s="58"/>
      <c r="X59" s="58"/>
      <c r="Y59" s="61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</row>
    <row r="60" spans="2:57" x14ac:dyDescent="0.3">
      <c r="T60" s="6"/>
      <c r="U60" s="13"/>
      <c r="W60" s="58"/>
      <c r="X60" s="58"/>
      <c r="Y60" s="61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</row>
    <row r="61" spans="2:57" x14ac:dyDescent="0.3">
      <c r="T61" s="6"/>
      <c r="U61" s="13"/>
      <c r="W61" s="58"/>
      <c r="X61" s="58"/>
      <c r="Y61" s="61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</row>
    <row r="62" spans="2:57" x14ac:dyDescent="0.3">
      <c r="T62" s="6"/>
      <c r="U62" s="13"/>
      <c r="W62" s="58"/>
      <c r="X62" s="58"/>
      <c r="Y62" s="61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</row>
    <row r="63" spans="2:57" x14ac:dyDescent="0.3">
      <c r="T63" s="6"/>
      <c r="U63" s="13"/>
      <c r="W63" s="58"/>
      <c r="X63" s="58"/>
      <c r="Y63" s="61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</row>
    <row r="64" spans="2:57" x14ac:dyDescent="0.3">
      <c r="T64" s="6"/>
      <c r="U64" s="13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</row>
    <row r="65" spans="1:57" x14ac:dyDescent="0.3">
      <c r="T65" s="6"/>
      <c r="U65" s="13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</row>
    <row r="66" spans="1:57" x14ac:dyDescent="0.3">
      <c r="T66" s="6"/>
      <c r="U66" s="13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</row>
    <row r="68" spans="1:57" x14ac:dyDescent="0.3">
      <c r="A68" t="s">
        <v>34</v>
      </c>
      <c r="C68" s="14"/>
      <c r="D68" s="14"/>
      <c r="E68" s="14"/>
      <c r="F68" s="14"/>
      <c r="K68" s="28" t="s">
        <v>71</v>
      </c>
      <c r="L68" s="28" t="s">
        <v>72</v>
      </c>
      <c r="M68">
        <v>0</v>
      </c>
    </row>
    <row r="69" spans="1:57" x14ac:dyDescent="0.3">
      <c r="K69" s="28" t="s">
        <v>73</v>
      </c>
      <c r="L69" s="28" t="s">
        <v>72</v>
      </c>
      <c r="M69">
        <v>0</v>
      </c>
    </row>
    <row r="70" spans="1:57" x14ac:dyDescent="0.3">
      <c r="K70" s="28" t="s">
        <v>74</v>
      </c>
      <c r="L70" s="28" t="s">
        <v>72</v>
      </c>
      <c r="M70">
        <v>0.3</v>
      </c>
    </row>
    <row r="71" spans="1:57" x14ac:dyDescent="0.3">
      <c r="K71" s="28" t="s">
        <v>37</v>
      </c>
      <c r="L71" s="28" t="s">
        <v>72</v>
      </c>
      <c r="M71">
        <v>5.0000000000000001E-3</v>
      </c>
    </row>
    <row r="72" spans="1:57" x14ac:dyDescent="0.3">
      <c r="K72" s="28" t="s">
        <v>75</v>
      </c>
      <c r="L72" s="28" t="s">
        <v>72</v>
      </c>
      <c r="M72">
        <v>0.15</v>
      </c>
    </row>
    <row r="73" spans="1:57" x14ac:dyDescent="0.3">
      <c r="K73" s="29" t="s">
        <v>38</v>
      </c>
      <c r="L73" s="29" t="s">
        <v>72</v>
      </c>
      <c r="M73" s="1">
        <v>0.95</v>
      </c>
    </row>
    <row r="74" spans="1:57" x14ac:dyDescent="0.3">
      <c r="K74" s="28" t="s">
        <v>39</v>
      </c>
      <c r="L74" s="28" t="s">
        <v>72</v>
      </c>
      <c r="M74">
        <v>0.23</v>
      </c>
    </row>
    <row r="75" spans="1:57" x14ac:dyDescent="0.3">
      <c r="K75" s="29" t="s">
        <v>76</v>
      </c>
      <c r="L75" s="29" t="s">
        <v>72</v>
      </c>
      <c r="M75" s="1">
        <v>2.5000000000000001E-2</v>
      </c>
    </row>
    <row r="76" spans="1:57" x14ac:dyDescent="0.3">
      <c r="K76" s="30" t="s">
        <v>40</v>
      </c>
      <c r="L76" s="30" t="s">
        <v>72</v>
      </c>
      <c r="M76" s="31">
        <v>0.02</v>
      </c>
    </row>
    <row r="77" spans="1:57" x14ac:dyDescent="0.3">
      <c r="K77" s="28" t="s">
        <v>9</v>
      </c>
      <c r="L77" s="28" t="s">
        <v>72</v>
      </c>
      <c r="M77">
        <v>0</v>
      </c>
    </row>
    <row r="78" spans="1:57" x14ac:dyDescent="0.3">
      <c r="K78" s="28" t="s">
        <v>77</v>
      </c>
      <c r="L78" s="28" t="s">
        <v>72</v>
      </c>
      <c r="M78">
        <v>0</v>
      </c>
    </row>
    <row r="79" spans="1:57" x14ac:dyDescent="0.3">
      <c r="K79" s="28" t="s">
        <v>78</v>
      </c>
      <c r="L79" s="28" t="s">
        <v>72</v>
      </c>
      <c r="M79">
        <v>0</v>
      </c>
    </row>
    <row r="80" spans="1:57" x14ac:dyDescent="0.3">
      <c r="K80" s="28" t="s">
        <v>79</v>
      </c>
      <c r="L80" s="28" t="s">
        <v>72</v>
      </c>
      <c r="M80">
        <v>0</v>
      </c>
    </row>
    <row r="81" spans="11:13" x14ac:dyDescent="0.3">
      <c r="K81" s="28" t="s">
        <v>80</v>
      </c>
      <c r="L81" s="28" t="s">
        <v>72</v>
      </c>
      <c r="M81">
        <v>0</v>
      </c>
    </row>
    <row r="82" spans="11:13" x14ac:dyDescent="0.3">
      <c r="K82" s="28" t="s">
        <v>81</v>
      </c>
      <c r="L82" s="28" t="s">
        <v>72</v>
      </c>
      <c r="M82">
        <v>5.0000000000000001E-3</v>
      </c>
    </row>
    <row r="83" spans="11:13" x14ac:dyDescent="0.3">
      <c r="K83" s="29" t="s">
        <v>82</v>
      </c>
      <c r="L83" s="29" t="s">
        <v>72</v>
      </c>
      <c r="M83" s="1">
        <v>0.84499999999999997</v>
      </c>
    </row>
    <row r="84" spans="11:13" x14ac:dyDescent="0.3">
      <c r="K84" s="28" t="s">
        <v>83</v>
      </c>
      <c r="L84" s="28" t="s">
        <v>72</v>
      </c>
      <c r="M84">
        <v>0.15</v>
      </c>
    </row>
    <row r="85" spans="11:13" x14ac:dyDescent="0.3">
      <c r="K85" s="28" t="s">
        <v>84</v>
      </c>
      <c r="L85" s="28" t="s">
        <v>72</v>
      </c>
      <c r="M85">
        <v>0</v>
      </c>
    </row>
    <row r="86" spans="11:13" x14ac:dyDescent="0.3">
      <c r="K86" s="28" t="s">
        <v>85</v>
      </c>
      <c r="L86" s="28" t="s">
        <v>72</v>
      </c>
      <c r="M86">
        <v>0</v>
      </c>
    </row>
  </sheetData>
  <mergeCells count="5">
    <mergeCell ref="A22:A38"/>
    <mergeCell ref="J42:L42"/>
    <mergeCell ref="B44:D44"/>
    <mergeCell ref="N40:O40"/>
    <mergeCell ref="B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00A2-4A2B-4BA7-8D84-636E819E3C0A}">
  <dimension ref="A1:J10"/>
  <sheetViews>
    <sheetView workbookViewId="0">
      <selection activeCell="E18" sqref="E18"/>
    </sheetView>
  </sheetViews>
  <sheetFormatPr defaultRowHeight="14.4" x14ac:dyDescent="0.3"/>
  <cols>
    <col min="3" max="3" width="12" bestFit="1" customWidth="1"/>
    <col min="4" max="4" width="11.6640625" customWidth="1"/>
    <col min="5" max="5" width="11.44140625" customWidth="1"/>
    <col min="6" max="6" width="9.5546875" customWidth="1"/>
    <col min="7" max="7" width="10.6640625" customWidth="1"/>
  </cols>
  <sheetData>
    <row r="1" spans="1:10" x14ac:dyDescent="0.3">
      <c r="A1" s="8"/>
      <c r="B1" s="9" t="s">
        <v>110</v>
      </c>
      <c r="C1" s="9" t="s">
        <v>29</v>
      </c>
      <c r="D1" s="9" t="s">
        <v>30</v>
      </c>
      <c r="E1" s="6" t="s">
        <v>31</v>
      </c>
      <c r="F1" t="s">
        <v>23</v>
      </c>
      <c r="G1" s="6" t="s">
        <v>24</v>
      </c>
      <c r="H1" s="6"/>
      <c r="I1" s="6"/>
      <c r="J1" s="6"/>
    </row>
    <row r="2" spans="1:10" x14ac:dyDescent="0.3">
      <c r="A2" s="10" t="s">
        <v>104</v>
      </c>
      <c r="B2" s="12">
        <v>16.126040659753734</v>
      </c>
      <c r="C2" s="11"/>
      <c r="D2" s="11"/>
      <c r="E2">
        <v>4.8734282931600275</v>
      </c>
      <c r="F2">
        <v>0.41630750903202479</v>
      </c>
      <c r="G2">
        <v>12.874069936736964</v>
      </c>
      <c r="H2" s="45"/>
      <c r="J2" s="13"/>
    </row>
    <row r="3" spans="1:10" x14ac:dyDescent="0.3">
      <c r="A3" s="10" t="s">
        <v>105</v>
      </c>
      <c r="B3" s="11">
        <v>2.2648619369925411</v>
      </c>
      <c r="C3" s="11"/>
      <c r="D3" s="12"/>
      <c r="E3">
        <v>0.80182643170949641</v>
      </c>
      <c r="F3">
        <v>0.2197370982919804</v>
      </c>
      <c r="G3">
        <v>1.9180343946602196</v>
      </c>
      <c r="H3" s="45"/>
      <c r="J3" s="13"/>
    </row>
    <row r="4" spans="1:10" x14ac:dyDescent="0.3">
      <c r="A4" s="15" t="s">
        <v>97</v>
      </c>
      <c r="B4" s="11"/>
      <c r="C4" s="11">
        <v>371.99530267199253</v>
      </c>
      <c r="D4" s="11"/>
      <c r="E4">
        <v>743.99060534398507</v>
      </c>
      <c r="F4">
        <v>0</v>
      </c>
      <c r="G4">
        <v>371.99530267199253</v>
      </c>
      <c r="H4" s="45"/>
      <c r="J4" s="13"/>
    </row>
    <row r="5" spans="1:10" x14ac:dyDescent="0.3">
      <c r="A5" s="10" t="s">
        <v>111</v>
      </c>
      <c r="C5" s="11"/>
      <c r="D5" s="11">
        <v>171.82255108973311</v>
      </c>
      <c r="E5">
        <v>52.771825563208708</v>
      </c>
      <c r="F5">
        <v>5.0258881488770193</v>
      </c>
      <c r="G5">
        <v>84.497744502994891</v>
      </c>
      <c r="H5" s="45"/>
      <c r="J5" s="13"/>
    </row>
    <row r="6" spans="1:10" x14ac:dyDescent="0.3">
      <c r="A6" s="15" t="s">
        <v>5</v>
      </c>
      <c r="B6" s="11"/>
      <c r="C6" s="11"/>
      <c r="D6" s="12">
        <v>13.657257682501623</v>
      </c>
      <c r="E6">
        <v>0</v>
      </c>
      <c r="F6">
        <v>0</v>
      </c>
      <c r="G6">
        <v>66.679552214566741</v>
      </c>
      <c r="H6" s="45"/>
      <c r="J6" s="13"/>
    </row>
    <row r="7" spans="1:10" x14ac:dyDescent="0.3">
      <c r="A7" s="15" t="s">
        <v>106</v>
      </c>
      <c r="B7" s="11"/>
      <c r="C7" s="11"/>
      <c r="D7" s="11">
        <v>48.766793368620107</v>
      </c>
      <c r="E7">
        <v>23.666765303640179</v>
      </c>
      <c r="F7">
        <v>0.24508870007537292</v>
      </c>
      <c r="G7">
        <v>43.512644195338517</v>
      </c>
      <c r="H7" s="45"/>
      <c r="J7" s="13"/>
    </row>
    <row r="8" spans="1:10" ht="15" thickBot="1" x14ac:dyDescent="0.35">
      <c r="A8" s="16" t="s">
        <v>113</v>
      </c>
      <c r="B8" s="17"/>
      <c r="C8" s="17"/>
      <c r="D8" s="17">
        <v>96.092547876321106</v>
      </c>
      <c r="E8">
        <v>59.915160943831872</v>
      </c>
      <c r="F8">
        <v>1.3081912869832286</v>
      </c>
      <c r="G8">
        <v>112.88457912893013</v>
      </c>
      <c r="H8" s="45"/>
      <c r="J8" s="13"/>
    </row>
    <row r="9" spans="1:10" x14ac:dyDescent="0.3">
      <c r="A9" s="10" t="s">
        <v>42</v>
      </c>
      <c r="B9" s="11"/>
      <c r="C9" s="11"/>
      <c r="D9" s="11">
        <v>366.07379181913228</v>
      </c>
      <c r="E9" s="11">
        <v>133.95827489218337</v>
      </c>
      <c r="F9" s="11">
        <v>153.51109426234274</v>
      </c>
      <c r="G9" s="11">
        <v>185.58361103910417</v>
      </c>
      <c r="H9" s="44"/>
      <c r="J9" s="13"/>
    </row>
    <row r="10" spans="1:10" x14ac:dyDescent="0.3">
      <c r="A10" s="15" t="s">
        <v>43</v>
      </c>
      <c r="B10" s="48">
        <f t="shared" ref="B10:G10" si="0">SUM(B2:B9)/SUM($B$2:$G$9)*100</f>
        <v>0.58431139961148504</v>
      </c>
      <c r="C10" s="48">
        <f t="shared" si="0"/>
        <v>11.818946612855507</v>
      </c>
      <c r="D10" s="48">
        <f t="shared" si="0"/>
        <v>22.126266974189605</v>
      </c>
      <c r="E10" s="48">
        <f t="shared" si="0"/>
        <v>32.40649573652734</v>
      </c>
      <c r="F10" s="48">
        <f t="shared" si="0"/>
        <v>5.1065581423635011</v>
      </c>
      <c r="G10" s="48">
        <f t="shared" si="0"/>
        <v>27.957421134452559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20C5-1922-4B8A-A882-710F15B3C82A}">
  <dimension ref="A1:AB31"/>
  <sheetViews>
    <sheetView zoomScale="85" zoomScaleNormal="85" workbookViewId="0">
      <selection activeCell="L27" sqref="L27"/>
    </sheetView>
  </sheetViews>
  <sheetFormatPr defaultRowHeight="14.4" x14ac:dyDescent="0.3"/>
  <cols>
    <col min="1" max="3" width="12.6640625" customWidth="1"/>
  </cols>
  <sheetData>
    <row r="1" spans="1:28" x14ac:dyDescent="0.3">
      <c r="B1" t="s">
        <v>98</v>
      </c>
      <c r="C1" t="s">
        <v>99</v>
      </c>
      <c r="D1" t="s">
        <v>100</v>
      </c>
      <c r="G1" s="38" t="s">
        <v>101</v>
      </c>
      <c r="H1" s="1" t="s">
        <v>50</v>
      </c>
      <c r="I1" s="1" t="s">
        <v>51</v>
      </c>
      <c r="J1" s="1" t="s">
        <v>52</v>
      </c>
      <c r="K1" s="1" t="s">
        <v>53</v>
      </c>
      <c r="L1" s="38" t="s">
        <v>102</v>
      </c>
      <c r="M1" s="1" t="s">
        <v>50</v>
      </c>
      <c r="N1" s="1" t="s">
        <v>51</v>
      </c>
      <c r="O1" s="1" t="s">
        <v>52</v>
      </c>
      <c r="P1" s="1" t="s">
        <v>53</v>
      </c>
      <c r="R1" s="38" t="s">
        <v>101</v>
      </c>
      <c r="S1" t="s">
        <v>27</v>
      </c>
      <c r="T1" t="s">
        <v>103</v>
      </c>
      <c r="U1" t="s">
        <v>28</v>
      </c>
      <c r="V1" t="s">
        <v>29</v>
      </c>
      <c r="W1" t="s">
        <v>30</v>
      </c>
      <c r="X1" t="s">
        <v>31</v>
      </c>
      <c r="Y1" t="s">
        <v>23</v>
      </c>
      <c r="Z1" t="s">
        <v>24</v>
      </c>
      <c r="AA1" t="s">
        <v>32</v>
      </c>
      <c r="AB1" t="s">
        <v>33</v>
      </c>
    </row>
    <row r="2" spans="1:28" x14ac:dyDescent="0.3">
      <c r="A2" s="10" t="s">
        <v>3</v>
      </c>
      <c r="B2">
        <v>0</v>
      </c>
      <c r="C2">
        <v>0.01</v>
      </c>
      <c r="D2">
        <v>0.02</v>
      </c>
      <c r="G2" s="10" t="s">
        <v>3</v>
      </c>
      <c r="H2" s="39" t="e">
        <f t="shared" ref="H2:H10" si="0">B16/$C2*$B2</f>
        <v>#REF!</v>
      </c>
      <c r="I2" s="39" t="e">
        <f t="shared" ref="I2:I10" si="1">C16/$C2*$B2</f>
        <v>#REF!</v>
      </c>
      <c r="J2" s="39" t="e">
        <f t="shared" ref="J2:J10" si="2">D16/$C2*$B2</f>
        <v>#REF!</v>
      </c>
      <c r="K2" s="39" t="e">
        <f t="shared" ref="K2:K10" si="3">E16/$C2*$B2</f>
        <v>#REF!</v>
      </c>
      <c r="L2" s="10" t="s">
        <v>3</v>
      </c>
      <c r="M2" s="39" t="e">
        <f>B16/$C2*$D2</f>
        <v>#REF!</v>
      </c>
      <c r="N2" s="39" t="e">
        <f t="shared" ref="N2:P11" si="4">C16/$C2*$D2</f>
        <v>#REF!</v>
      </c>
      <c r="O2" s="39" t="e">
        <f t="shared" si="4"/>
        <v>#REF!</v>
      </c>
      <c r="P2" s="39" t="e">
        <f t="shared" si="4"/>
        <v>#REF!</v>
      </c>
      <c r="R2" s="10" t="s">
        <v>3</v>
      </c>
      <c r="S2" s="13" t="e">
        <f>H2</f>
        <v>#REF!</v>
      </c>
      <c r="X2" s="13" t="e">
        <f>I2</f>
        <v>#REF!</v>
      </c>
      <c r="Y2" s="13" t="e">
        <f t="shared" ref="Y2:Z2" si="5">J2</f>
        <v>#REF!</v>
      </c>
      <c r="Z2" s="13" t="e">
        <f t="shared" si="5"/>
        <v>#REF!</v>
      </c>
      <c r="AA2">
        <v>1.6245969793028604E-2</v>
      </c>
      <c r="AB2" s="13" t="e">
        <f>SUM(S2:Z2)</f>
        <v>#REF!</v>
      </c>
    </row>
    <row r="3" spans="1:28" x14ac:dyDescent="0.3">
      <c r="A3" s="10" t="s">
        <v>104</v>
      </c>
      <c r="B3" s="1">
        <v>6.25E-2</v>
      </c>
      <c r="C3">
        <v>0.16</v>
      </c>
      <c r="D3" s="1">
        <v>0.25</v>
      </c>
      <c r="G3" s="10" t="s">
        <v>104</v>
      </c>
      <c r="H3" s="39">
        <f t="shared" si="0"/>
        <v>6.2992346327163018</v>
      </c>
      <c r="I3" s="39">
        <f t="shared" si="1"/>
        <v>1.9036829270156357</v>
      </c>
      <c r="J3" s="39">
        <f t="shared" si="2"/>
        <v>0.16262012071563467</v>
      </c>
      <c r="K3" s="39">
        <f t="shared" si="3"/>
        <v>5.0289335690378767</v>
      </c>
      <c r="L3" s="10" t="s">
        <v>104</v>
      </c>
      <c r="M3" s="39">
        <f t="shared" ref="M3:M11" si="6">B17/$C3*$D3</f>
        <v>25.196938530865207</v>
      </c>
      <c r="N3" s="39">
        <f t="shared" si="4"/>
        <v>7.6147317080625427</v>
      </c>
      <c r="O3" s="39">
        <f t="shared" si="4"/>
        <v>0.65048048286253868</v>
      </c>
      <c r="P3" s="39">
        <f t="shared" si="4"/>
        <v>20.115734276151507</v>
      </c>
      <c r="R3" s="10" t="s">
        <v>104</v>
      </c>
      <c r="T3" s="13" t="e">
        <f>#REF!</f>
        <v>#REF!</v>
      </c>
      <c r="X3" s="13" t="e">
        <f>#REF!</f>
        <v>#REF!</v>
      </c>
      <c r="Y3" s="13" t="e">
        <f>#REF!</f>
        <v>#REF!</v>
      </c>
      <c r="Z3" s="13" t="e">
        <f>#REF!</f>
        <v>#REF!</v>
      </c>
      <c r="AA3">
        <v>2.7989532227269947E-4</v>
      </c>
      <c r="AB3" s="13" t="e">
        <f t="shared" ref="AB3:AB11" si="7">SUM(S3:Z3)</f>
        <v>#REF!</v>
      </c>
    </row>
    <row r="4" spans="1:28" x14ac:dyDescent="0.3">
      <c r="A4" s="10" t="s">
        <v>1</v>
      </c>
      <c r="B4" s="1">
        <v>0.1595</v>
      </c>
      <c r="C4">
        <v>0.1595</v>
      </c>
      <c r="D4" s="1">
        <v>0.1595</v>
      </c>
      <c r="G4" s="10" t="s">
        <v>1</v>
      </c>
      <c r="H4" s="39">
        <f t="shared" si="0"/>
        <v>2.2648619369925411</v>
      </c>
      <c r="I4" s="39">
        <f t="shared" si="1"/>
        <v>0.80182643170949641</v>
      </c>
      <c r="J4" s="39">
        <f t="shared" si="2"/>
        <v>0.2197370982919804</v>
      </c>
      <c r="K4" s="39">
        <f t="shared" si="3"/>
        <v>1.9180343946602199</v>
      </c>
      <c r="L4" s="10" t="s">
        <v>1</v>
      </c>
      <c r="M4" s="39">
        <f t="shared" si="6"/>
        <v>2.2648619369925411</v>
      </c>
      <c r="N4" s="39">
        <f t="shared" si="4"/>
        <v>0.80182643170949641</v>
      </c>
      <c r="O4" s="39">
        <f t="shared" si="4"/>
        <v>0.2197370982919804</v>
      </c>
      <c r="P4" s="39">
        <f t="shared" si="4"/>
        <v>1.9180343946602199</v>
      </c>
      <c r="R4" s="10" t="s">
        <v>1</v>
      </c>
      <c r="U4" s="13">
        <f>H3</f>
        <v>6.2992346327163018</v>
      </c>
      <c r="X4" s="13">
        <f t="shared" ref="X4:Z11" si="8">I3</f>
        <v>1.9036829270156357</v>
      </c>
      <c r="Y4" s="13">
        <f t="shared" si="8"/>
        <v>0.16262012071563467</v>
      </c>
      <c r="Z4" s="13">
        <f t="shared" si="8"/>
        <v>5.0289335690378767</v>
      </c>
      <c r="AA4">
        <v>1.2538493080616695E-2</v>
      </c>
      <c r="AB4" s="13">
        <f t="shared" si="7"/>
        <v>13.394471249485449</v>
      </c>
    </row>
    <row r="5" spans="1:28" x14ac:dyDescent="0.3">
      <c r="A5" s="15" t="s">
        <v>97</v>
      </c>
      <c r="B5">
        <v>0.52</v>
      </c>
      <c r="C5">
        <v>0.52</v>
      </c>
      <c r="D5">
        <v>0.52</v>
      </c>
      <c r="G5" s="15" t="s">
        <v>97</v>
      </c>
      <c r="H5" s="39">
        <f t="shared" si="0"/>
        <v>371.99530267199253</v>
      </c>
      <c r="I5" s="39">
        <f t="shared" si="1"/>
        <v>743.99060534398507</v>
      </c>
      <c r="J5" s="39">
        <f t="shared" si="2"/>
        <v>0</v>
      </c>
      <c r="K5" s="39">
        <f t="shared" si="3"/>
        <v>371.99530267199253</v>
      </c>
      <c r="L5" s="15" t="s">
        <v>97</v>
      </c>
      <c r="M5" s="39">
        <f t="shared" si="6"/>
        <v>371.99530267199253</v>
      </c>
      <c r="N5" s="39">
        <f t="shared" si="4"/>
        <v>743.99060534398507</v>
      </c>
      <c r="O5" s="39">
        <f t="shared" si="4"/>
        <v>0</v>
      </c>
      <c r="P5" s="39">
        <f t="shared" si="4"/>
        <v>371.99530267199253</v>
      </c>
      <c r="R5" s="15" t="s">
        <v>97</v>
      </c>
      <c r="U5" s="13">
        <f>H4</f>
        <v>2.2648619369925411</v>
      </c>
      <c r="X5" s="13">
        <f t="shared" si="8"/>
        <v>0.80182643170949641</v>
      </c>
      <c r="Y5" s="13">
        <f t="shared" si="8"/>
        <v>0.2197370982919804</v>
      </c>
      <c r="Z5" s="13">
        <f t="shared" si="8"/>
        <v>1.9180343946602199</v>
      </c>
      <c r="AA5">
        <v>2.7616009189441156E-3</v>
      </c>
      <c r="AB5" s="13">
        <f t="shared" si="7"/>
        <v>5.2044598616542377</v>
      </c>
    </row>
    <row r="6" spans="1:28" x14ac:dyDescent="0.3">
      <c r="A6" s="10" t="s">
        <v>36</v>
      </c>
      <c r="B6" s="1">
        <v>0.05</v>
      </c>
      <c r="C6" s="1">
        <v>0.27500000000000002</v>
      </c>
      <c r="D6">
        <v>0.5</v>
      </c>
      <c r="G6" s="10" t="s">
        <v>36</v>
      </c>
      <c r="H6" s="39">
        <f t="shared" si="0"/>
        <v>31.240463834496929</v>
      </c>
      <c r="I6" s="39">
        <f t="shared" si="1"/>
        <v>9.5948773751288563</v>
      </c>
      <c r="J6" s="39">
        <f t="shared" si="2"/>
        <v>0.91379784525036711</v>
      </c>
      <c r="K6" s="39">
        <f t="shared" si="3"/>
        <v>15.363226273271799</v>
      </c>
      <c r="L6" s="10" t="s">
        <v>36</v>
      </c>
      <c r="M6" s="39">
        <f t="shared" si="6"/>
        <v>312.40463834496927</v>
      </c>
      <c r="N6" s="39">
        <f t="shared" si="4"/>
        <v>95.948773751288556</v>
      </c>
      <c r="O6" s="39">
        <f t="shared" si="4"/>
        <v>9.1379784525036705</v>
      </c>
      <c r="P6" s="39">
        <f t="shared" si="4"/>
        <v>153.63226273271798</v>
      </c>
      <c r="R6" s="10" t="s">
        <v>36</v>
      </c>
      <c r="V6" s="13">
        <f>H5</f>
        <v>371.99530267199253</v>
      </c>
      <c r="X6" s="13">
        <f t="shared" si="8"/>
        <v>743.99060534398507</v>
      </c>
      <c r="Y6" s="13">
        <f t="shared" si="8"/>
        <v>0</v>
      </c>
      <c r="Z6" s="13">
        <f t="shared" si="8"/>
        <v>371.99530267199253</v>
      </c>
      <c r="AA6">
        <v>0.16677415028851511</v>
      </c>
      <c r="AB6" s="13">
        <f t="shared" si="7"/>
        <v>1487.9812106879701</v>
      </c>
    </row>
    <row r="7" spans="1:28" x14ac:dyDescent="0.3">
      <c r="A7" s="15" t="s">
        <v>5</v>
      </c>
      <c r="B7">
        <v>0.84499999999999997</v>
      </c>
      <c r="C7" s="1">
        <v>0.89609045450000002</v>
      </c>
      <c r="D7" s="1">
        <v>0.89609045450000002</v>
      </c>
      <c r="G7" s="15" t="s">
        <v>5</v>
      </c>
      <c r="H7" s="39">
        <f t="shared" si="0"/>
        <v>12.878591311580443</v>
      </c>
      <c r="I7" s="39">
        <f t="shared" si="1"/>
        <v>0</v>
      </c>
      <c r="J7" s="39">
        <f t="shared" si="2"/>
        <v>0</v>
      </c>
      <c r="K7" s="39">
        <f t="shared" si="3"/>
        <v>62.877828168304511</v>
      </c>
      <c r="L7" s="15" t="s">
        <v>5</v>
      </c>
      <c r="M7" s="39">
        <f t="shared" si="6"/>
        <v>13.657257682501623</v>
      </c>
      <c r="N7" s="39">
        <f t="shared" si="4"/>
        <v>0</v>
      </c>
      <c r="O7" s="39">
        <f t="shared" si="4"/>
        <v>0</v>
      </c>
      <c r="P7" s="39">
        <f t="shared" si="4"/>
        <v>66.679552214566741</v>
      </c>
      <c r="R7" s="15" t="s">
        <v>5</v>
      </c>
      <c r="W7" s="40">
        <f>H6</f>
        <v>31.240463834496929</v>
      </c>
      <c r="X7" s="13">
        <f t="shared" si="8"/>
        <v>9.5948773751288563</v>
      </c>
      <c r="Y7" s="13">
        <f t="shared" si="8"/>
        <v>0.91379784525036711</v>
      </c>
      <c r="Z7" s="13">
        <f t="shared" si="8"/>
        <v>15.363226273271799</v>
      </c>
      <c r="AA7">
        <v>2.1825255428355277E-2</v>
      </c>
      <c r="AB7" s="13">
        <f t="shared" si="7"/>
        <v>57.112365328147945</v>
      </c>
    </row>
    <row r="8" spans="1:28" x14ac:dyDescent="0.3">
      <c r="A8" s="15" t="s">
        <v>7</v>
      </c>
      <c r="B8" s="1">
        <v>1E-3</v>
      </c>
      <c r="C8" s="1">
        <v>3.0000000000000001E-3</v>
      </c>
      <c r="D8" s="1">
        <v>5.0000000000000001E-3</v>
      </c>
      <c r="G8" s="15" t="s">
        <v>7</v>
      </c>
      <c r="H8" s="39">
        <f t="shared" si="0"/>
        <v>16.255597789540037</v>
      </c>
      <c r="I8" s="39">
        <f t="shared" si="1"/>
        <v>7.8889217678800598</v>
      </c>
      <c r="J8" s="39">
        <f t="shared" si="2"/>
        <v>8.1696233358457632E-2</v>
      </c>
      <c r="K8" s="39">
        <f t="shared" si="3"/>
        <v>14.504214731779506</v>
      </c>
      <c r="L8" s="15" t="s">
        <v>7</v>
      </c>
      <c r="M8" s="39">
        <f t="shared" si="6"/>
        <v>81.27798894770018</v>
      </c>
      <c r="N8" s="39">
        <f t="shared" si="4"/>
        <v>39.444608839400296</v>
      </c>
      <c r="O8" s="39">
        <f t="shared" si="4"/>
        <v>0.40848116679228819</v>
      </c>
      <c r="P8" s="39">
        <f t="shared" si="4"/>
        <v>72.521073658897535</v>
      </c>
      <c r="R8" s="15" t="s">
        <v>7</v>
      </c>
      <c r="W8" s="40">
        <f>H7</f>
        <v>12.878591311580443</v>
      </c>
      <c r="X8" s="13">
        <f t="shared" si="8"/>
        <v>0</v>
      </c>
      <c r="Y8" s="13">
        <f t="shared" si="8"/>
        <v>0</v>
      </c>
      <c r="Z8" s="13">
        <f t="shared" si="8"/>
        <v>62.877828168304511</v>
      </c>
      <c r="AA8">
        <v>8.4306685277655714E-3</v>
      </c>
      <c r="AB8" s="13">
        <f t="shared" si="7"/>
        <v>75.756419479884954</v>
      </c>
    </row>
    <row r="9" spans="1:28" ht="15" thickBot="1" x14ac:dyDescent="0.35">
      <c r="A9" s="16" t="s">
        <v>8</v>
      </c>
      <c r="B9">
        <v>0</v>
      </c>
      <c r="C9" s="1">
        <v>6.8999999999999999E-3</v>
      </c>
      <c r="D9" s="1">
        <v>6.8999999999999999E-3</v>
      </c>
      <c r="G9" s="16" t="s">
        <v>8</v>
      </c>
      <c r="H9" s="39">
        <f t="shared" si="0"/>
        <v>0</v>
      </c>
      <c r="I9" s="39">
        <f t="shared" si="1"/>
        <v>0</v>
      </c>
      <c r="J9" s="39">
        <f t="shared" si="2"/>
        <v>0</v>
      </c>
      <c r="K9" s="39">
        <f t="shared" si="3"/>
        <v>0</v>
      </c>
      <c r="L9" s="16" t="s">
        <v>8</v>
      </c>
      <c r="M9" s="39">
        <f t="shared" si="6"/>
        <v>96.092547876321106</v>
      </c>
      <c r="N9" s="39">
        <f t="shared" si="4"/>
        <v>59.915160943831872</v>
      </c>
      <c r="O9" s="39">
        <f t="shared" si="4"/>
        <v>1.3081912869832286</v>
      </c>
      <c r="P9" s="39">
        <f t="shared" si="4"/>
        <v>112.88457912893013</v>
      </c>
      <c r="R9" s="16" t="s">
        <v>8</v>
      </c>
      <c r="W9" s="40">
        <f>H8</f>
        <v>16.255597789540037</v>
      </c>
      <c r="X9" s="13">
        <f t="shared" si="8"/>
        <v>7.8889217678800598</v>
      </c>
      <c r="Y9" s="13">
        <f t="shared" si="8"/>
        <v>8.1696233358457632E-2</v>
      </c>
      <c r="Z9" s="13">
        <f t="shared" si="8"/>
        <v>14.504214731779506</v>
      </c>
      <c r="AA9">
        <v>3.5884995857248345E-2</v>
      </c>
      <c r="AB9" s="13">
        <f t="shared" si="7"/>
        <v>38.730430522558059</v>
      </c>
    </row>
    <row r="10" spans="1:28" x14ac:dyDescent="0.3">
      <c r="A10" s="10" t="s">
        <v>42</v>
      </c>
      <c r="B10">
        <v>0.63649999999999995</v>
      </c>
      <c r="C10" s="1">
        <v>0.74</v>
      </c>
      <c r="D10">
        <v>0.85</v>
      </c>
      <c r="G10" s="10" t="s">
        <v>42</v>
      </c>
      <c r="H10" s="39">
        <f t="shared" si="0"/>
        <v>314.87293039578066</v>
      </c>
      <c r="I10" s="39">
        <f t="shared" si="1"/>
        <v>115.22221887685771</v>
      </c>
      <c r="J10" s="39">
        <f t="shared" si="2"/>
        <v>132.04028580808264</v>
      </c>
      <c r="K10" s="39">
        <f t="shared" si="3"/>
        <v>159.62698435998621</v>
      </c>
      <c r="L10" s="10" t="s">
        <v>42</v>
      </c>
      <c r="M10" s="39">
        <f t="shared" si="6"/>
        <v>420.490166278733</v>
      </c>
      <c r="N10" s="39">
        <f t="shared" si="4"/>
        <v>153.87099143021064</v>
      </c>
      <c r="O10" s="39">
        <f t="shared" si="4"/>
        <v>176.3303109770153</v>
      </c>
      <c r="P10" s="39">
        <f t="shared" si="4"/>
        <v>213.17036403140344</v>
      </c>
      <c r="R10" s="10" t="s">
        <v>42</v>
      </c>
      <c r="W10" s="40">
        <f>H9</f>
        <v>0</v>
      </c>
      <c r="X10" s="13">
        <f t="shared" si="8"/>
        <v>0</v>
      </c>
      <c r="Y10" s="13">
        <f t="shared" si="8"/>
        <v>0</v>
      </c>
      <c r="Z10" s="13">
        <f t="shared" si="8"/>
        <v>0</v>
      </c>
      <c r="AA10">
        <v>0.10503864350913769</v>
      </c>
      <c r="AB10" s="13">
        <f t="shared" si="7"/>
        <v>0</v>
      </c>
    </row>
    <row r="11" spans="1:28" x14ac:dyDescent="0.3">
      <c r="A11" s="10" t="s">
        <v>41</v>
      </c>
      <c r="B11">
        <v>0.2</v>
      </c>
      <c r="C11">
        <v>0.2</v>
      </c>
      <c r="D11">
        <v>0.2</v>
      </c>
      <c r="G11" s="10" t="s">
        <v>41</v>
      </c>
      <c r="H11" s="39">
        <f>B25/$C11*$B11</f>
        <v>0</v>
      </c>
      <c r="I11" s="39">
        <f t="shared" ref="I11:K11" si="9">C25/$C11*$B11</f>
        <v>0</v>
      </c>
      <c r="J11" s="39">
        <f t="shared" si="9"/>
        <v>0</v>
      </c>
      <c r="K11" s="39">
        <f t="shared" si="9"/>
        <v>0</v>
      </c>
      <c r="L11" s="10" t="s">
        <v>41</v>
      </c>
      <c r="M11" s="39">
        <f t="shared" si="6"/>
        <v>0</v>
      </c>
      <c r="N11" s="39">
        <f t="shared" si="4"/>
        <v>0</v>
      </c>
      <c r="O11" s="39">
        <f t="shared" si="4"/>
        <v>0</v>
      </c>
      <c r="P11" s="39">
        <f t="shared" si="4"/>
        <v>0</v>
      </c>
      <c r="R11" s="10" t="s">
        <v>41</v>
      </c>
      <c r="W11" s="40">
        <f>H10</f>
        <v>314.87293039578066</v>
      </c>
      <c r="X11" s="13">
        <f t="shared" si="8"/>
        <v>115.22221887685771</v>
      </c>
      <c r="Y11" s="13">
        <f t="shared" si="8"/>
        <v>132.04028580808264</v>
      </c>
      <c r="Z11" s="13">
        <f t="shared" si="8"/>
        <v>159.62698435998621</v>
      </c>
      <c r="AA11">
        <v>0.63016306733656391</v>
      </c>
      <c r="AB11" s="13">
        <f t="shared" si="7"/>
        <v>721.76241944070716</v>
      </c>
    </row>
    <row r="12" spans="1:28" x14ac:dyDescent="0.3">
      <c r="A12" s="10"/>
      <c r="R12" t="s">
        <v>43</v>
      </c>
      <c r="S12" t="e">
        <f t="shared" ref="S12:Z12" si="10">SUM(S$2:S$12)/SUM($AB$2:$AB$12)</f>
        <v>#REF!</v>
      </c>
      <c r="T12" t="e">
        <f t="shared" si="10"/>
        <v>#REF!</v>
      </c>
      <c r="U12" t="e">
        <f t="shared" ca="1" si="10"/>
        <v>#REF!</v>
      </c>
      <c r="V12" t="e">
        <f t="shared" ca="1" si="10"/>
        <v>#REF!</v>
      </c>
      <c r="W12" t="e">
        <f t="shared" ca="1" si="10"/>
        <v>#REF!</v>
      </c>
      <c r="X12" t="e">
        <f t="shared" si="10"/>
        <v>#REF!</v>
      </c>
      <c r="Y12" t="e">
        <f t="shared" si="10"/>
        <v>#REF!</v>
      </c>
      <c r="Z12" t="e">
        <f t="shared" si="10"/>
        <v>#REF!</v>
      </c>
      <c r="AA12">
        <v>5.7259937552084337E-5</v>
      </c>
      <c r="AB12" s="13" t="e">
        <f>SUM(#REF!)</f>
        <v>#REF!</v>
      </c>
    </row>
    <row r="14" spans="1:28" x14ac:dyDescent="0.3">
      <c r="G14" s="8"/>
      <c r="H14" s="9" t="s">
        <v>27</v>
      </c>
      <c r="I14" s="9" t="s">
        <v>28</v>
      </c>
      <c r="J14" s="9" t="s">
        <v>29</v>
      </c>
      <c r="K14" s="9" t="s">
        <v>30</v>
      </c>
      <c r="L14" s="6" t="s">
        <v>31</v>
      </c>
      <c r="M14" t="s">
        <v>23</v>
      </c>
      <c r="N14" s="6" t="s">
        <v>24</v>
      </c>
      <c r="O14" s="6" t="s">
        <v>32</v>
      </c>
      <c r="P14" s="6" t="s">
        <v>33</v>
      </c>
      <c r="R14" s="38" t="s">
        <v>102</v>
      </c>
      <c r="S14" t="s">
        <v>27</v>
      </c>
      <c r="T14" t="s">
        <v>103</v>
      </c>
      <c r="U14" t="s">
        <v>28</v>
      </c>
      <c r="V14" t="s">
        <v>29</v>
      </c>
      <c r="W14" t="s">
        <v>30</v>
      </c>
      <c r="X14" t="s">
        <v>31</v>
      </c>
      <c r="Y14" t="s">
        <v>23</v>
      </c>
      <c r="Z14" t="s">
        <v>24</v>
      </c>
      <c r="AA14" t="s">
        <v>32</v>
      </c>
      <c r="AB14" t="s">
        <v>33</v>
      </c>
    </row>
    <row r="15" spans="1:28" x14ac:dyDescent="0.3">
      <c r="B15" t="s">
        <v>50</v>
      </c>
      <c r="C15" t="s">
        <v>51</v>
      </c>
      <c r="D15" t="s">
        <v>52</v>
      </c>
      <c r="E15" t="s">
        <v>53</v>
      </c>
      <c r="G15" s="10" t="s">
        <v>3</v>
      </c>
      <c r="H15" s="11">
        <v>9.4441234137100476E-3</v>
      </c>
      <c r="I15" s="12"/>
      <c r="J15" s="11"/>
      <c r="K15" s="11"/>
      <c r="L15">
        <v>3.342605281894246E-3</v>
      </c>
      <c r="M15">
        <v>1.7974519946670423E-4</v>
      </c>
      <c r="N15">
        <v>7.7864731381309098E-3</v>
      </c>
      <c r="O15">
        <v>5.8848767273520716E-2</v>
      </c>
      <c r="P15" s="13">
        <v>2.0752947033201907E-2</v>
      </c>
      <c r="R15" t="s">
        <v>3</v>
      </c>
      <c r="S15" s="13" t="e">
        <f>M2</f>
        <v>#REF!</v>
      </c>
      <c r="X15" s="13" t="e">
        <f>N2</f>
        <v>#REF!</v>
      </c>
      <c r="Y15" s="13" t="e">
        <f>O2</f>
        <v>#REF!</v>
      </c>
      <c r="Z15" s="13" t="e">
        <f>P2</f>
        <v>#REF!</v>
      </c>
      <c r="AA15">
        <v>1.6245969793028604E-2</v>
      </c>
      <c r="AB15" s="13" t="e">
        <f>SUM(S15:Z15)</f>
        <v>#REF!</v>
      </c>
    </row>
    <row r="16" spans="1:28" x14ac:dyDescent="0.3">
      <c r="A16" s="10" t="s">
        <v>3</v>
      </c>
      <c r="B16" t="e">
        <f>'Figure (EoL)'!#REF!</f>
        <v>#REF!</v>
      </c>
      <c r="C16" t="e">
        <f>'Figure (EoL)'!#REF!</f>
        <v>#REF!</v>
      </c>
      <c r="D16" t="e">
        <f>'Figure (EoL)'!#REF!</f>
        <v>#REF!</v>
      </c>
      <c r="E16" t="e">
        <f>'Figure (EoL)'!#REF!</f>
        <v>#REF!</v>
      </c>
      <c r="G16" s="10" t="s">
        <v>104</v>
      </c>
      <c r="H16" s="11"/>
      <c r="I16" s="12">
        <v>1.5269215682497555E-3</v>
      </c>
      <c r="J16" s="11"/>
      <c r="K16" s="11"/>
      <c r="L16">
        <v>4.6144884098650639E-4</v>
      </c>
      <c r="M16">
        <v>3.9418784063455039E-5</v>
      </c>
      <c r="N16">
        <v>1.219003193178085E-3</v>
      </c>
      <c r="O16">
        <v>9.2068721243101226E-3</v>
      </c>
      <c r="P16" s="13">
        <v>3.2467923864778021E-3</v>
      </c>
      <c r="R16" t="s">
        <v>2</v>
      </c>
      <c r="T16" s="13">
        <f>M3</f>
        <v>25.196938530865207</v>
      </c>
      <c r="X16" s="13">
        <f>N3</f>
        <v>7.6147317080625427</v>
      </c>
      <c r="Y16" s="13" t="e">
        <f>#REF!</f>
        <v>#REF!</v>
      </c>
      <c r="Z16" s="13" t="e">
        <f>#REF!</f>
        <v>#REF!</v>
      </c>
      <c r="AA16">
        <v>2.7989532227269947E-4</v>
      </c>
      <c r="AB16" s="13" t="e">
        <f t="shared" ref="AB16:AB25" si="11">SUM(S16:Z16)</f>
        <v>#REF!</v>
      </c>
    </row>
    <row r="17" spans="1:28" x14ac:dyDescent="0.3">
      <c r="A17" s="10" t="s">
        <v>104</v>
      </c>
      <c r="B17">
        <f>'Figure (EoL)'!B2</f>
        <v>16.126040659753734</v>
      </c>
      <c r="C17">
        <f>'Figure (EoL)'!E2</f>
        <v>4.8734282931600275</v>
      </c>
      <c r="D17">
        <f>'Figure (EoL)'!F2</f>
        <v>0.41630750903202479</v>
      </c>
      <c r="E17">
        <f>'Figure (EoL)'!G2</f>
        <v>12.874069936736964</v>
      </c>
      <c r="G17" s="10" t="s">
        <v>105</v>
      </c>
      <c r="H17" s="11"/>
      <c r="I17" s="11">
        <v>1.8366436986533451E-4</v>
      </c>
      <c r="J17" s="11"/>
      <c r="K17" s="12"/>
      <c r="L17">
        <v>6.5022482790649393E-5</v>
      </c>
      <c r="M17">
        <v>1.7819132828654431E-5</v>
      </c>
      <c r="N17">
        <v>1.5553909610185114E-4</v>
      </c>
      <c r="O17">
        <v>1.1967858225379658E-3</v>
      </c>
      <c r="P17" s="13">
        <v>4.2204508158648948E-4</v>
      </c>
      <c r="R17" t="s">
        <v>0</v>
      </c>
      <c r="U17" s="13">
        <f>M4</f>
        <v>2.2648619369925411</v>
      </c>
      <c r="X17" s="13">
        <f>N4</f>
        <v>0.80182643170949641</v>
      </c>
      <c r="Y17" s="13">
        <f t="shared" ref="Y17:Y25" si="12">O3</f>
        <v>0.65048048286253868</v>
      </c>
      <c r="Z17" s="13">
        <f t="shared" ref="Z17:Z25" si="13">P3</f>
        <v>20.115734276151507</v>
      </c>
      <c r="AA17">
        <v>1.2538493080616695E-2</v>
      </c>
      <c r="AB17" s="13">
        <f t="shared" si="11"/>
        <v>23.832903127716083</v>
      </c>
    </row>
    <row r="18" spans="1:28" x14ac:dyDescent="0.3">
      <c r="A18" s="10" t="s">
        <v>1</v>
      </c>
      <c r="B18" s="47">
        <f>'Figure (EoL)'!B3</f>
        <v>2.2648619369925411</v>
      </c>
      <c r="C18">
        <f>'Figure (EoL)'!E3</f>
        <v>0.80182643170949641</v>
      </c>
      <c r="D18">
        <f>'Figure (EoL)'!F3</f>
        <v>0.2197370982919804</v>
      </c>
      <c r="E18">
        <f>'Figure (EoL)'!G3</f>
        <v>1.9180343946602196</v>
      </c>
      <c r="G18" s="15" t="s">
        <v>97</v>
      </c>
      <c r="H18" s="11"/>
      <c r="I18" s="11"/>
      <c r="J18" s="11">
        <v>3.0166202072714202E-2</v>
      </c>
      <c r="K18" s="11"/>
      <c r="L18">
        <v>6.0332404145428405E-2</v>
      </c>
      <c r="M18">
        <v>0</v>
      </c>
      <c r="N18">
        <v>3.0166202072714202E-2</v>
      </c>
      <c r="O18">
        <v>0.3421670767940585</v>
      </c>
      <c r="P18" s="13">
        <v>0.12066480829085681</v>
      </c>
      <c r="R18" t="s">
        <v>1</v>
      </c>
      <c r="U18" s="13">
        <f>M5</f>
        <v>371.99530267199253</v>
      </c>
      <c r="X18" s="13">
        <f>N5</f>
        <v>743.99060534398507</v>
      </c>
      <c r="Y18" s="13">
        <f t="shared" si="12"/>
        <v>0.2197370982919804</v>
      </c>
      <c r="Z18" s="13">
        <f t="shared" si="13"/>
        <v>1.9180343946602199</v>
      </c>
      <c r="AA18">
        <v>2.7616009189441156E-3</v>
      </c>
      <c r="AB18" s="13">
        <f t="shared" si="11"/>
        <v>1118.1236795089299</v>
      </c>
    </row>
    <row r="19" spans="1:28" x14ac:dyDescent="0.3">
      <c r="A19" s="15" t="s">
        <v>97</v>
      </c>
      <c r="B19">
        <f>'Figure (EoL)'!C4</f>
        <v>371.99530267199253</v>
      </c>
      <c r="C19">
        <f>'Figure (EoL)'!E4</f>
        <v>743.99060534398507</v>
      </c>
      <c r="D19">
        <f>'Figure (EoL)'!F4</f>
        <v>0</v>
      </c>
      <c r="E19">
        <f>'Figure (EoL)'!G4</f>
        <v>371.99530267199253</v>
      </c>
      <c r="G19" s="10" t="s">
        <v>36</v>
      </c>
      <c r="J19" s="11"/>
      <c r="K19" s="11">
        <v>1.6622078925364096E-2</v>
      </c>
      <c r="L19">
        <v>5.1051357576986619E-3</v>
      </c>
      <c r="M19">
        <v>4.8620340549511068E-4</v>
      </c>
      <c r="N19">
        <v>8.1742947548865477E-3</v>
      </c>
      <c r="O19">
        <v>8.6169903399138048E-2</v>
      </c>
      <c r="P19" s="13">
        <v>3.0387712843444416E-2</v>
      </c>
      <c r="R19" t="s">
        <v>35</v>
      </c>
      <c r="V19" s="13">
        <f>M6</f>
        <v>312.40463834496927</v>
      </c>
      <c r="X19" s="13">
        <f>N6</f>
        <v>95.948773751288556</v>
      </c>
      <c r="Y19" s="13">
        <f t="shared" si="12"/>
        <v>0</v>
      </c>
      <c r="Z19" s="13">
        <f t="shared" si="13"/>
        <v>371.99530267199253</v>
      </c>
      <c r="AA19">
        <v>0.16677415028851511</v>
      </c>
      <c r="AB19" s="13">
        <f t="shared" si="11"/>
        <v>780.34871476825037</v>
      </c>
    </row>
    <row r="20" spans="1:28" x14ac:dyDescent="0.3">
      <c r="A20" s="10" t="s">
        <v>36</v>
      </c>
      <c r="B20">
        <f>'Figure (EoL)'!D5</f>
        <v>171.82255108973311</v>
      </c>
      <c r="C20">
        <f>'Figure (EoL)'!E5</f>
        <v>52.771825563208708</v>
      </c>
      <c r="D20">
        <f>'Figure (EoL)'!F5</f>
        <v>5.0258881488770193</v>
      </c>
      <c r="E20">
        <f>'Figure (EoL)'!G5</f>
        <v>84.497744502994891</v>
      </c>
      <c r="G20" s="15" t="s">
        <v>5</v>
      </c>
      <c r="H20" s="11"/>
      <c r="I20" s="11"/>
      <c r="J20" s="11"/>
      <c r="K20" s="12">
        <v>1.6212413940329253E-3</v>
      </c>
      <c r="L20">
        <v>0</v>
      </c>
      <c r="M20">
        <v>0</v>
      </c>
      <c r="N20">
        <v>7.9154726885136938E-3</v>
      </c>
      <c r="O20">
        <v>2.7043092564155411E-2</v>
      </c>
      <c r="P20" s="13">
        <v>9.5367140825466188E-3</v>
      </c>
      <c r="R20" t="s">
        <v>36</v>
      </c>
      <c r="W20" s="40" t="e">
        <f>#REF!</f>
        <v>#REF!</v>
      </c>
      <c r="X20" s="13" t="e">
        <f>#REF!</f>
        <v>#REF!</v>
      </c>
      <c r="Y20" s="13">
        <f t="shared" si="12"/>
        <v>9.1379784525036705</v>
      </c>
      <c r="Z20" s="13">
        <f t="shared" si="13"/>
        <v>153.63226273271798</v>
      </c>
      <c r="AA20">
        <v>2.1825255428355277E-2</v>
      </c>
      <c r="AB20" s="13" t="e">
        <f t="shared" si="11"/>
        <v>#REF!</v>
      </c>
    </row>
    <row r="21" spans="1:28" x14ac:dyDescent="0.3">
      <c r="A21" s="15" t="s">
        <v>5</v>
      </c>
      <c r="B21">
        <f>'Figure (EoL)'!D6</f>
        <v>13.657257682501623</v>
      </c>
      <c r="C21">
        <f>'Figure (EoL)'!E6</f>
        <v>0</v>
      </c>
      <c r="D21">
        <f>'Figure (EoL)'!F6</f>
        <v>0</v>
      </c>
      <c r="E21">
        <f>'Figure (EoL)'!G6</f>
        <v>66.679552214566741</v>
      </c>
      <c r="G21" s="15" t="s">
        <v>106</v>
      </c>
      <c r="H21" s="11"/>
      <c r="I21" s="11"/>
      <c r="J21" s="11"/>
      <c r="K21" s="11">
        <v>4.9431652983783266E-3</v>
      </c>
      <c r="L21">
        <v>2.3982234967841456E-3</v>
      </c>
      <c r="M21">
        <v>2.4835564631497636E-5</v>
      </c>
      <c r="N21">
        <v>4.4225991031295311E-3</v>
      </c>
      <c r="O21">
        <v>3.3429359564609656E-2</v>
      </c>
      <c r="P21" s="13">
        <v>1.1788823462923502E-2</v>
      </c>
      <c r="R21" t="s">
        <v>5</v>
      </c>
      <c r="W21" s="13">
        <f t="shared" ref="W21:X25" si="14">M7</f>
        <v>13.657257682501623</v>
      </c>
      <c r="X21" s="13">
        <f t="shared" si="14"/>
        <v>0</v>
      </c>
      <c r="Y21" s="13">
        <f t="shared" si="12"/>
        <v>0</v>
      </c>
      <c r="Z21" s="13">
        <f t="shared" si="13"/>
        <v>66.679552214566741</v>
      </c>
      <c r="AA21">
        <v>8.4306685277655714E-3</v>
      </c>
      <c r="AB21" s="13">
        <f t="shared" si="11"/>
        <v>80.336809897068363</v>
      </c>
    </row>
    <row r="22" spans="1:28" ht="15" thickBot="1" x14ac:dyDescent="0.35">
      <c r="A22" s="15" t="s">
        <v>7</v>
      </c>
      <c r="B22">
        <f>'Figure (EoL)'!D7</f>
        <v>48.766793368620107</v>
      </c>
      <c r="C22">
        <f>'Figure (EoL)'!E7</f>
        <v>23.666765303640179</v>
      </c>
      <c r="D22">
        <f>'Figure (EoL)'!F7</f>
        <v>0.24508870007537292</v>
      </c>
      <c r="E22">
        <f>'Figure (EoL)'!G7</f>
        <v>43.512644195338517</v>
      </c>
      <c r="G22" s="16" t="s">
        <v>107</v>
      </c>
      <c r="H22" s="17"/>
      <c r="I22" s="17"/>
      <c r="J22" s="17"/>
      <c r="K22" s="17">
        <v>8.8643144453605938E-3</v>
      </c>
      <c r="L22">
        <v>5.5165481411715072E-3</v>
      </c>
      <c r="M22">
        <v>1.2044864937055693E-4</v>
      </c>
      <c r="N22">
        <v>1.0544946350049239E-2</v>
      </c>
      <c r="O22">
        <v>7.1023232574642506E-2</v>
      </c>
      <c r="P22" s="13">
        <v>2.50462575859519E-2</v>
      </c>
      <c r="R22" t="s">
        <v>7</v>
      </c>
      <c r="W22" s="13">
        <f t="shared" si="14"/>
        <v>81.27798894770018</v>
      </c>
      <c r="X22" s="13">
        <f t="shared" si="14"/>
        <v>39.444608839400296</v>
      </c>
      <c r="Y22" s="13">
        <f t="shared" si="12"/>
        <v>0.40848116679228819</v>
      </c>
      <c r="Z22" s="13">
        <f t="shared" si="13"/>
        <v>72.521073658897535</v>
      </c>
      <c r="AA22">
        <v>3.5884995857248345E-2</v>
      </c>
      <c r="AB22" s="13">
        <f t="shared" si="11"/>
        <v>193.6521526127903</v>
      </c>
    </row>
    <row r="23" spans="1:28" ht="15" thickBot="1" x14ac:dyDescent="0.35">
      <c r="A23" s="16" t="s">
        <v>8</v>
      </c>
      <c r="B23">
        <f>'Figure (EoL)'!D8</f>
        <v>96.092547876321106</v>
      </c>
      <c r="C23">
        <f>'Figure (EoL)'!E8</f>
        <v>59.915160943831872</v>
      </c>
      <c r="D23">
        <f>'Figure (EoL)'!F8</f>
        <v>1.3081912869832286</v>
      </c>
      <c r="E23">
        <f>'Figure (EoL)'!G8</f>
        <v>112.88457912893013</v>
      </c>
      <c r="G23" s="10" t="s">
        <v>42</v>
      </c>
      <c r="H23" s="11"/>
      <c r="I23" s="11"/>
      <c r="J23" s="11"/>
      <c r="K23" s="11">
        <v>5.9431367234890439E-2</v>
      </c>
      <c r="L23" s="11">
        <v>2.2020524726984302E-2</v>
      </c>
      <c r="M23" s="11">
        <v>2.5497449683876561E-2</v>
      </c>
      <c r="N23" s="11">
        <v>2.3774336450851939E-2</v>
      </c>
      <c r="O23">
        <v>0.37069083716823442</v>
      </c>
      <c r="P23" s="13">
        <v>0.13072367809660324</v>
      </c>
      <c r="R23" t="s">
        <v>8</v>
      </c>
      <c r="W23" s="13">
        <f t="shared" si="14"/>
        <v>96.092547876321106</v>
      </c>
      <c r="X23" s="13">
        <f t="shared" si="14"/>
        <v>59.915160943831872</v>
      </c>
      <c r="Y23" s="13">
        <f t="shared" si="12"/>
        <v>1.3081912869832286</v>
      </c>
      <c r="Z23" s="13">
        <f t="shared" si="13"/>
        <v>112.88457912893013</v>
      </c>
      <c r="AA23">
        <v>0.10503864350913769</v>
      </c>
      <c r="AB23" s="13">
        <f t="shared" si="11"/>
        <v>270.20047923606631</v>
      </c>
    </row>
    <row r="24" spans="1:28" x14ac:dyDescent="0.3">
      <c r="A24" s="10" t="s">
        <v>42</v>
      </c>
      <c r="B24">
        <f>'Figure (EoL)'!D9</f>
        <v>366.07379181913228</v>
      </c>
      <c r="C24">
        <f>'Figure (EoL)'!E9</f>
        <v>133.95827489218337</v>
      </c>
      <c r="D24">
        <f>'Figure (EoL)'!F9</f>
        <v>153.51109426234274</v>
      </c>
      <c r="E24">
        <f>'Figure (EoL)'!G9</f>
        <v>185.58361103910417</v>
      </c>
      <c r="G24" s="10" t="s">
        <v>41</v>
      </c>
      <c r="H24" s="11"/>
      <c r="I24" s="11"/>
      <c r="J24" s="11"/>
      <c r="K24" s="11">
        <v>7.9018973499750845E-5</v>
      </c>
      <c r="L24">
        <v>0</v>
      </c>
      <c r="M24">
        <v>0</v>
      </c>
      <c r="O24">
        <v>2.2407271479273265E-4</v>
      </c>
      <c r="P24" s="13">
        <v>7.9018973499750845E-5</v>
      </c>
      <c r="R24" t="s">
        <v>42</v>
      </c>
      <c r="W24" s="13">
        <f t="shared" si="14"/>
        <v>420.490166278733</v>
      </c>
      <c r="X24" s="13">
        <f t="shared" si="14"/>
        <v>153.87099143021064</v>
      </c>
      <c r="Y24" s="13">
        <f t="shared" si="12"/>
        <v>176.3303109770153</v>
      </c>
      <c r="Z24" s="13">
        <f t="shared" si="13"/>
        <v>213.17036403140344</v>
      </c>
      <c r="AA24">
        <v>0.63016306733656391</v>
      </c>
      <c r="AB24" s="13">
        <f t="shared" si="11"/>
        <v>963.8618327173624</v>
      </c>
    </row>
    <row r="25" spans="1:28" x14ac:dyDescent="0.3">
      <c r="A25" s="10"/>
      <c r="G25" s="15" t="s">
        <v>43</v>
      </c>
      <c r="H25" s="18">
        <v>2.6780534831350254E-2</v>
      </c>
      <c r="I25" s="18">
        <v>4.8506784897798015E-3</v>
      </c>
      <c r="J25" s="18">
        <v>8.5541769198514625E-2</v>
      </c>
      <c r="K25" s="18">
        <v>0.25963844718343038</v>
      </c>
      <c r="L25" s="19">
        <v>0.28141854865923477</v>
      </c>
      <c r="M25" s="19">
        <v>7.4765377285965939E-2</v>
      </c>
      <c r="N25" s="19">
        <v>0.26700464435172439</v>
      </c>
      <c r="P25" s="13"/>
      <c r="R25" t="s">
        <v>41</v>
      </c>
      <c r="W25" s="13">
        <f t="shared" si="14"/>
        <v>0</v>
      </c>
      <c r="X25" s="13">
        <f t="shared" si="14"/>
        <v>0</v>
      </c>
      <c r="Y25" s="13">
        <f t="shared" si="12"/>
        <v>0</v>
      </c>
      <c r="Z25" s="13">
        <f t="shared" si="13"/>
        <v>0</v>
      </c>
      <c r="AA25">
        <v>5.7259937552084337E-5</v>
      </c>
      <c r="AB25" s="13">
        <f t="shared" si="11"/>
        <v>0</v>
      </c>
    </row>
    <row r="26" spans="1:28" x14ac:dyDescent="0.3">
      <c r="R26" t="s">
        <v>43</v>
      </c>
      <c r="S26" t="e">
        <f t="shared" ref="S26:Z26" si="15">SUM(S$2:S$12)/SUM($AB$2:$AB$12)</f>
        <v>#REF!</v>
      </c>
      <c r="T26" t="e">
        <f t="shared" si="15"/>
        <v>#REF!</v>
      </c>
      <c r="U26" t="e">
        <f t="shared" ca="1" si="15"/>
        <v>#REF!</v>
      </c>
      <c r="V26" t="e">
        <f t="shared" ca="1" si="15"/>
        <v>#REF!</v>
      </c>
      <c r="W26" t="e">
        <f t="shared" ca="1" si="15"/>
        <v>#REF!</v>
      </c>
      <c r="X26" t="e">
        <f t="shared" si="15"/>
        <v>#REF!</v>
      </c>
      <c r="Y26" t="e">
        <f t="shared" si="15"/>
        <v>#REF!</v>
      </c>
      <c r="Z26" t="e">
        <f t="shared" si="15"/>
        <v>#REF!</v>
      </c>
    </row>
    <row r="28" spans="1:28" x14ac:dyDescent="0.3">
      <c r="Q28" t="s">
        <v>24</v>
      </c>
      <c r="R28" t="s">
        <v>31</v>
      </c>
      <c r="S28" t="s">
        <v>23</v>
      </c>
      <c r="T28" t="s">
        <v>30</v>
      </c>
      <c r="U28" t="s">
        <v>29</v>
      </c>
      <c r="V28" t="s">
        <v>28</v>
      </c>
      <c r="W28" t="s">
        <v>103</v>
      </c>
      <c r="X28" t="s">
        <v>27</v>
      </c>
    </row>
    <row r="29" spans="1:28" x14ac:dyDescent="0.3">
      <c r="Q29" s="13" t="e">
        <f>SUM(Z2:Z12)</f>
        <v>#REF!</v>
      </c>
      <c r="R29" s="13" t="e">
        <f>SUM(X2:X12)</f>
        <v>#REF!</v>
      </c>
      <c r="S29" s="13" t="e">
        <f>SUM(Y2:Y12)</f>
        <v>#REF!</v>
      </c>
      <c r="T29" s="13" t="e">
        <f ca="1">SUM(W2:W12)</f>
        <v>#REF!</v>
      </c>
      <c r="U29" s="13" t="e">
        <f ca="1">SUM(V2:V12)</f>
        <v>#REF!</v>
      </c>
      <c r="V29" s="13" t="e">
        <f ca="1">SUM(U2:U12)</f>
        <v>#REF!</v>
      </c>
      <c r="W29" s="13" t="e">
        <f>SUM(T2:T12)</f>
        <v>#REF!</v>
      </c>
      <c r="X29" s="13" t="e">
        <f>SUM(S2:S12)</f>
        <v>#REF!</v>
      </c>
    </row>
    <row r="30" spans="1:28" x14ac:dyDescent="0.3">
      <c r="H30" s="13"/>
      <c r="Q30">
        <f>SUM(O15:O25)</f>
        <v>1</v>
      </c>
      <c r="R30">
        <f>SUM(M15:M25)</f>
        <v>0.10113129770569848</v>
      </c>
      <c r="S30">
        <f>SUM(N15:N25)</f>
        <v>0.36116351119928036</v>
      </c>
      <c r="T30">
        <f>SUM(L15:L25)</f>
        <v>0.38066046153297317</v>
      </c>
      <c r="U30">
        <f>SUM(K15:K25)</f>
        <v>0.35119963345495653</v>
      </c>
      <c r="V30">
        <f>SUM(J15:J25)</f>
        <v>0.11570797127122882</v>
      </c>
      <c r="W30">
        <f>SUM(I15:I25)</f>
        <v>6.5612644278948921E-3</v>
      </c>
      <c r="X30">
        <f>SUM(H15:H25)</f>
        <v>3.6224658245060298E-2</v>
      </c>
    </row>
    <row r="31" spans="1:28" x14ac:dyDescent="0.3">
      <c r="Q31" s="13" t="e">
        <f>SUM(Z15:Z25)</f>
        <v>#REF!</v>
      </c>
      <c r="R31" s="13" t="e">
        <f>SUM(X15:X25)</f>
        <v>#REF!</v>
      </c>
      <c r="S31" s="13" t="e">
        <f>SUM(Y15:Y25)</f>
        <v>#REF!</v>
      </c>
      <c r="T31" s="13" t="e">
        <f>SUM(W15:W25)</f>
        <v>#REF!</v>
      </c>
      <c r="U31" s="13">
        <f>SUM(V15:V25)</f>
        <v>312.40463834496927</v>
      </c>
      <c r="V31" s="13">
        <f>SUM(U15:U25)</f>
        <v>374.26016460898506</v>
      </c>
      <c r="W31" s="13">
        <f>SUM(T15:T25)</f>
        <v>25.196938530865207</v>
      </c>
      <c r="X31" s="13" t="e">
        <f>SUM(S15:S25)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2A145-4096-4DC1-BC17-05FC21456A10}">
  <dimension ref="A1:Q23"/>
  <sheetViews>
    <sheetView workbookViewId="0">
      <selection activeCell="B2" sqref="A2:XFD2"/>
    </sheetView>
  </sheetViews>
  <sheetFormatPr defaultRowHeight="14.4" x14ac:dyDescent="0.3"/>
  <sheetData>
    <row r="1" spans="1:17" ht="15" customHeight="1" x14ac:dyDescent="0.3">
      <c r="C1" t="s">
        <v>50</v>
      </c>
      <c r="D1" t="s">
        <v>51</v>
      </c>
      <c r="E1" t="s">
        <v>52</v>
      </c>
      <c r="F1" t="s">
        <v>53</v>
      </c>
      <c r="I1" t="s">
        <v>50</v>
      </c>
      <c r="J1" t="s">
        <v>51</v>
      </c>
      <c r="K1" t="s">
        <v>52</v>
      </c>
      <c r="L1" t="s">
        <v>53</v>
      </c>
      <c r="O1" s="43" t="s">
        <v>108</v>
      </c>
      <c r="P1" t="s">
        <v>99</v>
      </c>
      <c r="Q1" s="43" t="s">
        <v>109</v>
      </c>
    </row>
    <row r="2" spans="1:17" x14ac:dyDescent="0.3">
      <c r="A2" s="56"/>
      <c r="B2" s="10" t="s">
        <v>104</v>
      </c>
      <c r="C2">
        <v>6.2992346327163029E-3</v>
      </c>
      <c r="D2">
        <v>1.9036829270156358E-3</v>
      </c>
      <c r="E2" s="41">
        <v>1.6262012071563468E-4</v>
      </c>
      <c r="F2">
        <v>5.0289335690378769E-3</v>
      </c>
      <c r="G2" s="56"/>
      <c r="H2" s="10" t="s">
        <v>104</v>
      </c>
      <c r="I2">
        <v>2.5196938530865211E-2</v>
      </c>
      <c r="J2">
        <v>7.6147317080625431E-3</v>
      </c>
      <c r="K2" s="41">
        <v>6.5048048286253874E-4</v>
      </c>
      <c r="L2">
        <v>2.0115734276151508E-2</v>
      </c>
      <c r="O2">
        <v>8.3425513822585506E-2</v>
      </c>
      <c r="P2">
        <v>0.16</v>
      </c>
      <c r="Q2">
        <v>0.22906088692708501</v>
      </c>
    </row>
    <row r="3" spans="1:17" x14ac:dyDescent="0.3">
      <c r="A3" s="56"/>
      <c r="B3" s="10" t="s">
        <v>1</v>
      </c>
      <c r="C3">
        <v>2.2648619369925412E-3</v>
      </c>
      <c r="D3" s="41">
        <v>8.0182643170949644E-4</v>
      </c>
      <c r="E3" s="41">
        <v>2.1973709829198042E-4</v>
      </c>
      <c r="F3">
        <v>1.9180343946602195E-3</v>
      </c>
      <c r="G3" s="56"/>
      <c r="H3" s="10" t="s">
        <v>1</v>
      </c>
      <c r="I3">
        <v>2.2648619369925412E-3</v>
      </c>
      <c r="J3" s="41">
        <v>8.0182643170949644E-4</v>
      </c>
      <c r="K3" s="41">
        <v>2.1973709829198042E-4</v>
      </c>
      <c r="L3">
        <v>1.9180343946602195E-3</v>
      </c>
      <c r="O3">
        <v>0.1595</v>
      </c>
      <c r="P3">
        <v>0.1595</v>
      </c>
      <c r="Q3">
        <v>0.1595</v>
      </c>
    </row>
    <row r="4" spans="1:17" x14ac:dyDescent="0.3">
      <c r="A4" s="56"/>
      <c r="B4" s="15" t="s">
        <v>97</v>
      </c>
      <c r="C4">
        <v>0.37199530267199254</v>
      </c>
      <c r="D4">
        <v>0.74399060534398509</v>
      </c>
      <c r="E4">
        <v>0</v>
      </c>
      <c r="F4">
        <v>0.37199530267199254</v>
      </c>
      <c r="G4" s="56"/>
      <c r="H4" s="15" t="s">
        <v>97</v>
      </c>
      <c r="I4">
        <v>0.37199530267199254</v>
      </c>
      <c r="J4">
        <v>0.74399060534398509</v>
      </c>
      <c r="K4">
        <v>0</v>
      </c>
      <c r="L4">
        <v>0.37199530267199254</v>
      </c>
      <c r="O4">
        <v>0.52</v>
      </c>
      <c r="P4">
        <v>0.52</v>
      </c>
      <c r="Q4">
        <v>0.52</v>
      </c>
    </row>
    <row r="5" spans="1:17" x14ac:dyDescent="0.3">
      <c r="A5" s="56"/>
      <c r="B5" s="10" t="s">
        <v>36</v>
      </c>
      <c r="C5">
        <v>3.1240463834496926E-2</v>
      </c>
      <c r="D5">
        <v>9.5948773751288567E-3</v>
      </c>
      <c r="E5">
        <v>9.1379784525036714E-4</v>
      </c>
      <c r="F5">
        <v>1.53632262732718E-2</v>
      </c>
      <c r="G5" s="56"/>
      <c r="H5" s="10" t="s">
        <v>36</v>
      </c>
      <c r="I5">
        <v>0.31240463834496923</v>
      </c>
      <c r="J5">
        <v>9.594877375128856E-2</v>
      </c>
      <c r="K5">
        <v>9.1379784525036714E-3</v>
      </c>
      <c r="L5">
        <v>0.15363226273271799</v>
      </c>
      <c r="O5">
        <v>9.9984995014709505E-2</v>
      </c>
      <c r="P5">
        <v>0.27500000000000002</v>
      </c>
      <c r="Q5">
        <v>0.44963718845058198</v>
      </c>
    </row>
    <row r="6" spans="1:17" x14ac:dyDescent="0.3">
      <c r="A6" s="56"/>
      <c r="B6" s="15" t="s">
        <v>5</v>
      </c>
      <c r="C6">
        <v>1.2878591311580442E-2</v>
      </c>
      <c r="D6">
        <v>0</v>
      </c>
      <c r="E6">
        <v>0</v>
      </c>
      <c r="F6">
        <v>6.2877828168304506E-2</v>
      </c>
      <c r="G6" s="56"/>
      <c r="H6" s="15" t="s">
        <v>5</v>
      </c>
      <c r="I6">
        <v>1.3657257682501622E-2</v>
      </c>
      <c r="J6">
        <v>0</v>
      </c>
      <c r="K6">
        <v>0</v>
      </c>
      <c r="L6">
        <v>6.6679552214566742E-2</v>
      </c>
      <c r="O6">
        <v>0.85069112400912605</v>
      </c>
      <c r="P6">
        <v>0.89609045450000002</v>
      </c>
      <c r="Q6">
        <v>0.89043368205446805</v>
      </c>
    </row>
    <row r="7" spans="1:17" x14ac:dyDescent="0.3">
      <c r="A7" s="56"/>
      <c r="B7" s="15" t="s">
        <v>7</v>
      </c>
      <c r="C7">
        <v>1.6255597789540038E-2</v>
      </c>
      <c r="D7">
        <v>7.8889217678800583E-3</v>
      </c>
      <c r="E7" s="41">
        <v>8.1696233358457637E-5</v>
      </c>
      <c r="F7">
        <v>1.4504214731779506E-2</v>
      </c>
      <c r="G7" s="56"/>
      <c r="H7" s="15" t="s">
        <v>7</v>
      </c>
      <c r="I7">
        <v>8.1277988947700192E-2</v>
      </c>
      <c r="J7">
        <v>3.9444608839400298E-2</v>
      </c>
      <c r="K7" s="41">
        <v>4.0848116679228819E-4</v>
      </c>
      <c r="L7">
        <v>7.2521073658897525E-2</v>
      </c>
      <c r="O7">
        <v>1.45162145240178E-3</v>
      </c>
      <c r="P7">
        <v>3.0000000000000001E-3</v>
      </c>
      <c r="Q7">
        <v>4.5517539307065903E-3</v>
      </c>
    </row>
    <row r="8" spans="1:17" ht="15" thickBot="1" x14ac:dyDescent="0.35">
      <c r="A8" s="56"/>
      <c r="B8" s="16" t="s">
        <v>8</v>
      </c>
      <c r="C8">
        <v>0</v>
      </c>
      <c r="D8">
        <v>0</v>
      </c>
      <c r="E8" s="41">
        <v>0</v>
      </c>
      <c r="F8">
        <v>0</v>
      </c>
      <c r="G8" s="56"/>
      <c r="H8" s="16" t="s">
        <v>8</v>
      </c>
      <c r="I8">
        <v>9.6092547876321099E-2</v>
      </c>
      <c r="J8">
        <v>5.9915160943831876E-2</v>
      </c>
      <c r="K8">
        <v>1.3081912869832286E-3</v>
      </c>
      <c r="L8">
        <v>0.11288457912893013</v>
      </c>
      <c r="O8">
        <v>7.7708266799432902E-4</v>
      </c>
      <c r="P8">
        <v>6.8999999999999999E-3</v>
      </c>
      <c r="Q8">
        <v>6.1308364701750601E-3</v>
      </c>
    </row>
    <row r="9" spans="1:17" x14ac:dyDescent="0.3">
      <c r="A9" s="56"/>
      <c r="B9" s="10" t="s">
        <v>42</v>
      </c>
      <c r="C9">
        <v>0.31135460636757883</v>
      </c>
      <c r="D9">
        <v>0.11397696106256372</v>
      </c>
      <c r="E9">
        <v>0.13197332333560011</v>
      </c>
      <c r="F9">
        <v>0.1567262031718625</v>
      </c>
      <c r="G9" s="56"/>
      <c r="H9" s="10" t="s">
        <v>42</v>
      </c>
      <c r="I9">
        <v>0.41579169742724592</v>
      </c>
      <c r="J9">
        <v>0.1522080391251833</v>
      </c>
      <c r="K9">
        <v>0.17624088740810698</v>
      </c>
      <c r="L9">
        <v>0.20929657925543302</v>
      </c>
      <c r="O9">
        <v>0.66026510482360501</v>
      </c>
      <c r="P9">
        <v>0.74</v>
      </c>
      <c r="Q9">
        <v>0.82624899727979095</v>
      </c>
    </row>
    <row r="14" spans="1:17" ht="15" customHeight="1" x14ac:dyDescent="0.3">
      <c r="O14" s="42"/>
    </row>
    <row r="15" spans="1:17" x14ac:dyDescent="0.3">
      <c r="O15" s="42"/>
    </row>
    <row r="16" spans="1:17" x14ac:dyDescent="0.3">
      <c r="O16" s="42"/>
    </row>
    <row r="17" spans="15:15" x14ac:dyDescent="0.3">
      <c r="O17" s="42"/>
    </row>
    <row r="18" spans="15:15" x14ac:dyDescent="0.3">
      <c r="O18" s="42"/>
    </row>
    <row r="19" spans="15:15" x14ac:dyDescent="0.3">
      <c r="O19" s="42"/>
    </row>
    <row r="20" spans="15:15" x14ac:dyDescent="0.3">
      <c r="O20" s="42"/>
    </row>
    <row r="21" spans="15:15" x14ac:dyDescent="0.3">
      <c r="O21" s="42"/>
    </row>
    <row r="22" spans="15:15" x14ac:dyDescent="0.3">
      <c r="O22" s="42"/>
    </row>
    <row r="23" spans="15:15" x14ac:dyDescent="0.3">
      <c r="O23" s="42"/>
    </row>
  </sheetData>
  <mergeCells count="2">
    <mergeCell ref="G2:G9"/>
    <mergeCell ref="A2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76880-C9F8-49C5-8864-D0DAE64E6204}">
  <dimension ref="A1:S39"/>
  <sheetViews>
    <sheetView workbookViewId="0">
      <selection activeCell="U13" sqref="U13"/>
    </sheetView>
  </sheetViews>
  <sheetFormatPr defaultRowHeight="14.4" x14ac:dyDescent="0.3"/>
  <sheetData>
    <row r="1" spans="1:19" x14ac:dyDescent="0.3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16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16</v>
      </c>
    </row>
    <row r="2" spans="1:19" x14ac:dyDescent="0.3">
      <c r="A2" t="s">
        <v>71</v>
      </c>
      <c r="B2" s="32"/>
      <c r="C2" s="32">
        <v>0</v>
      </c>
      <c r="D2" s="32"/>
      <c r="E2" s="32">
        <v>0</v>
      </c>
      <c r="F2" s="32"/>
      <c r="G2" s="32">
        <v>0</v>
      </c>
      <c r="H2" s="32"/>
      <c r="K2" t="s">
        <v>71</v>
      </c>
      <c r="L2">
        <f>B2*B$21</f>
        <v>0</v>
      </c>
      <c r="M2">
        <f t="shared" ref="M2:M18" si="0">C2*B$22</f>
        <v>0</v>
      </c>
      <c r="N2">
        <f t="shared" ref="N2:N18" si="1">D2*B$23</f>
        <v>0</v>
      </c>
      <c r="O2">
        <f t="shared" ref="O2:O18" si="2">E2*B$24</f>
        <v>0</v>
      </c>
      <c r="P2">
        <f t="shared" ref="P2:P18" si="3">F2*B$25</f>
        <v>0</v>
      </c>
      <c r="Q2">
        <f t="shared" ref="Q2:Q18" si="4">G2*B$26</f>
        <v>0</v>
      </c>
      <c r="R2">
        <f t="shared" ref="R2:R18" si="5">H2*B$27</f>
        <v>0</v>
      </c>
      <c r="S2">
        <f>$B$28*I2</f>
        <v>0</v>
      </c>
    </row>
    <row r="3" spans="1:19" x14ac:dyDescent="0.3">
      <c r="A3" t="s">
        <v>73</v>
      </c>
      <c r="B3" s="32"/>
      <c r="C3" s="32">
        <v>0</v>
      </c>
      <c r="D3" s="32"/>
      <c r="E3" s="32">
        <v>0</v>
      </c>
      <c r="F3" s="32"/>
      <c r="G3" s="32">
        <v>0</v>
      </c>
      <c r="H3" s="32"/>
      <c r="K3" t="s">
        <v>73</v>
      </c>
      <c r="L3">
        <f t="shared" ref="L3:L18" si="6">B3*B$21</f>
        <v>0</v>
      </c>
      <c r="M3">
        <f t="shared" si="0"/>
        <v>0</v>
      </c>
      <c r="N3">
        <f t="shared" si="1"/>
        <v>0</v>
      </c>
      <c r="O3">
        <f t="shared" si="2"/>
        <v>0</v>
      </c>
      <c r="P3">
        <f t="shared" si="3"/>
        <v>0</v>
      </c>
      <c r="Q3">
        <f t="shared" si="4"/>
        <v>0</v>
      </c>
      <c r="R3">
        <f t="shared" si="5"/>
        <v>0</v>
      </c>
      <c r="S3">
        <f t="shared" ref="S3:S18" si="7">$B$28*I3</f>
        <v>0</v>
      </c>
    </row>
    <row r="4" spans="1:19" x14ac:dyDescent="0.3">
      <c r="A4" t="s">
        <v>74</v>
      </c>
      <c r="B4" s="32"/>
      <c r="C4" s="32">
        <v>0</v>
      </c>
      <c r="D4" s="32"/>
      <c r="E4" s="32">
        <v>0</v>
      </c>
      <c r="F4" s="32"/>
      <c r="G4" s="32">
        <v>0</v>
      </c>
      <c r="H4" s="32"/>
      <c r="K4" t="s">
        <v>74</v>
      </c>
      <c r="L4">
        <f t="shared" si="6"/>
        <v>0</v>
      </c>
      <c r="M4">
        <f t="shared" si="0"/>
        <v>0</v>
      </c>
      <c r="N4">
        <f t="shared" si="1"/>
        <v>0</v>
      </c>
      <c r="O4">
        <f t="shared" si="2"/>
        <v>0</v>
      </c>
      <c r="P4">
        <f t="shared" si="3"/>
        <v>0</v>
      </c>
      <c r="Q4">
        <f t="shared" si="4"/>
        <v>0</v>
      </c>
      <c r="R4">
        <f t="shared" si="5"/>
        <v>0</v>
      </c>
      <c r="S4">
        <f t="shared" si="7"/>
        <v>0</v>
      </c>
    </row>
    <row r="5" spans="1:19" x14ac:dyDescent="0.3">
      <c r="A5" t="s">
        <v>37</v>
      </c>
      <c r="B5" s="32"/>
      <c r="C5" s="32">
        <v>0</v>
      </c>
      <c r="D5" s="32"/>
      <c r="E5" s="32">
        <v>0</v>
      </c>
      <c r="F5" s="32"/>
      <c r="G5" s="32">
        <v>0</v>
      </c>
      <c r="H5" s="32">
        <v>2.3966803909320291E-2</v>
      </c>
      <c r="K5" t="s">
        <v>37</v>
      </c>
      <c r="L5">
        <f t="shared" si="6"/>
        <v>0</v>
      </c>
      <c r="M5">
        <f t="shared" si="0"/>
        <v>0</v>
      </c>
      <c r="N5">
        <f t="shared" si="1"/>
        <v>0</v>
      </c>
      <c r="O5">
        <f t="shared" si="2"/>
        <v>0</v>
      </c>
      <c r="P5">
        <f t="shared" si="3"/>
        <v>0</v>
      </c>
      <c r="Q5">
        <f t="shared" si="4"/>
        <v>0</v>
      </c>
      <c r="R5">
        <f t="shared" si="5"/>
        <v>2.8107588471336276</v>
      </c>
      <c r="S5">
        <f t="shared" si="7"/>
        <v>0</v>
      </c>
    </row>
    <row r="6" spans="1:19" x14ac:dyDescent="0.3">
      <c r="A6" t="s">
        <v>75</v>
      </c>
      <c r="B6" s="32"/>
      <c r="C6" s="32">
        <v>0</v>
      </c>
      <c r="D6" s="32"/>
      <c r="E6" s="32">
        <v>0</v>
      </c>
      <c r="F6" s="32"/>
      <c r="G6" s="32">
        <v>0</v>
      </c>
      <c r="H6" s="32"/>
      <c r="K6" t="s">
        <v>75</v>
      </c>
      <c r="L6">
        <f t="shared" si="6"/>
        <v>0</v>
      </c>
      <c r="M6">
        <f t="shared" si="0"/>
        <v>0</v>
      </c>
      <c r="N6">
        <f t="shared" si="1"/>
        <v>0</v>
      </c>
      <c r="O6">
        <f t="shared" si="2"/>
        <v>0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7"/>
        <v>0</v>
      </c>
    </row>
    <row r="7" spans="1:19" x14ac:dyDescent="0.3">
      <c r="A7" t="s">
        <v>38</v>
      </c>
      <c r="B7" s="32"/>
      <c r="C7" s="32">
        <v>0.538633431327319</v>
      </c>
      <c r="D7" s="32">
        <v>0.52693678839489178</v>
      </c>
      <c r="E7" s="32">
        <v>0.72116504886904964</v>
      </c>
      <c r="F7" s="32">
        <v>0.64995714802912941</v>
      </c>
      <c r="G7" s="32">
        <v>0.73548693513001162</v>
      </c>
      <c r="H7" s="32">
        <v>0.55264137439442029</v>
      </c>
      <c r="I7">
        <v>0.93</v>
      </c>
      <c r="K7" t="s">
        <v>38</v>
      </c>
      <c r="L7">
        <f t="shared" si="6"/>
        <v>0</v>
      </c>
      <c r="M7">
        <f t="shared" si="0"/>
        <v>263.70873282181958</v>
      </c>
      <c r="N7">
        <f t="shared" si="1"/>
        <v>88.04270440673433</v>
      </c>
      <c r="O7">
        <f t="shared" si="2"/>
        <v>159.07325649428344</v>
      </c>
      <c r="P7">
        <f t="shared" si="3"/>
        <v>75.709353908345761</v>
      </c>
      <c r="Q7">
        <f t="shared" si="4"/>
        <v>44.552526210230013</v>
      </c>
      <c r="R7">
        <f t="shared" si="5"/>
        <v>64.812214354836669</v>
      </c>
      <c r="S7">
        <f t="shared" si="7"/>
        <v>132.71443851101947</v>
      </c>
    </row>
    <row r="8" spans="1:19" x14ac:dyDescent="0.3">
      <c r="A8" t="s">
        <v>39</v>
      </c>
      <c r="B8" s="32"/>
      <c r="C8" s="32">
        <v>0.13298139567035444</v>
      </c>
      <c r="D8" s="32">
        <v>4.1469887864321729E-2</v>
      </c>
      <c r="E8" s="32">
        <v>6.5264775616597381E-2</v>
      </c>
      <c r="F8" s="32">
        <v>3.7037778844625779E-2</v>
      </c>
      <c r="G8" s="32">
        <v>0.13332913010023476</v>
      </c>
      <c r="H8" s="32">
        <v>0.10273787670292051</v>
      </c>
      <c r="I8">
        <v>0.01</v>
      </c>
      <c r="K8" t="s">
        <v>39</v>
      </c>
      <c r="L8">
        <f t="shared" si="6"/>
        <v>0</v>
      </c>
      <c r="M8">
        <f t="shared" si="0"/>
        <v>65.106161818974982</v>
      </c>
      <c r="N8">
        <f t="shared" si="1"/>
        <v>6.9289545908165184</v>
      </c>
      <c r="O8">
        <f t="shared" si="2"/>
        <v>14.395983843063378</v>
      </c>
      <c r="P8">
        <f t="shared" si="3"/>
        <v>4.3142941269739552</v>
      </c>
      <c r="Q8">
        <f t="shared" si="4"/>
        <v>8.0764854950521165</v>
      </c>
      <c r="R8">
        <f t="shared" si="5"/>
        <v>12.048807048742917</v>
      </c>
      <c r="S8">
        <f t="shared" si="7"/>
        <v>1.4270369732367685</v>
      </c>
    </row>
    <row r="9" spans="1:19" x14ac:dyDescent="0.3">
      <c r="A9" t="s">
        <v>76</v>
      </c>
      <c r="B9" s="32"/>
      <c r="C9" s="32"/>
      <c r="D9" s="32"/>
      <c r="E9" s="32"/>
      <c r="F9" s="32"/>
      <c r="G9" s="32"/>
      <c r="H9" s="32"/>
      <c r="I9" s="1"/>
      <c r="K9" t="s">
        <v>76</v>
      </c>
      <c r="L9">
        <f t="shared" si="6"/>
        <v>0</v>
      </c>
      <c r="M9">
        <f>C9*B$22</f>
        <v>0</v>
      </c>
      <c r="N9">
        <f t="shared" si="1"/>
        <v>0</v>
      </c>
      <c r="O9">
        <f t="shared" si="2"/>
        <v>0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7"/>
        <v>0</v>
      </c>
    </row>
    <row r="10" spans="1:19" x14ac:dyDescent="0.3">
      <c r="A10" t="s">
        <v>40</v>
      </c>
      <c r="B10" s="32">
        <v>0.4512308641006294</v>
      </c>
      <c r="C10" s="32">
        <v>0.11301381927111878</v>
      </c>
      <c r="D10" s="32">
        <v>3.2913079326264805E-2</v>
      </c>
      <c r="E10" s="32">
        <v>8.8874895809788579E-2</v>
      </c>
      <c r="F10" s="32">
        <v>3.2731989736290774E-2</v>
      </c>
      <c r="G10" s="32">
        <v>2.7906657122760265E-2</v>
      </c>
      <c r="H10" s="32">
        <v>4.9547097433285336E-2</v>
      </c>
      <c r="I10">
        <v>0.06</v>
      </c>
      <c r="K10" t="s">
        <v>40</v>
      </c>
      <c r="L10">
        <f t="shared" si="6"/>
        <v>36.808251043764351</v>
      </c>
      <c r="M10">
        <f t="shared" si="0"/>
        <v>55.330266073347801</v>
      </c>
      <c r="N10">
        <f t="shared" si="1"/>
        <v>5.4992488246353428</v>
      </c>
      <c r="O10">
        <f t="shared" si="2"/>
        <v>19.603860613079085</v>
      </c>
      <c r="P10">
        <f t="shared" si="3"/>
        <v>3.8127402746220995</v>
      </c>
      <c r="Q10">
        <f t="shared" si="4"/>
        <v>1.6904611265214373</v>
      </c>
      <c r="R10">
        <f t="shared" si="5"/>
        <v>5.8107431840855845</v>
      </c>
      <c r="S10">
        <f t="shared" si="7"/>
        <v>8.5622218394206104</v>
      </c>
    </row>
    <row r="11" spans="1:19" x14ac:dyDescent="0.3">
      <c r="A11" t="s">
        <v>9</v>
      </c>
      <c r="B11" s="32"/>
      <c r="C11" s="32"/>
      <c r="D11" s="32"/>
      <c r="E11" s="32"/>
      <c r="F11" s="32"/>
      <c r="G11" s="32"/>
      <c r="H11" s="32"/>
      <c r="K11" t="s">
        <v>9</v>
      </c>
      <c r="L11">
        <f t="shared" si="6"/>
        <v>0</v>
      </c>
      <c r="M11">
        <f t="shared" si="0"/>
        <v>0</v>
      </c>
      <c r="N11">
        <f t="shared" si="1"/>
        <v>0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7"/>
        <v>0</v>
      </c>
    </row>
    <row r="12" spans="1:19" x14ac:dyDescent="0.3">
      <c r="A12" t="s">
        <v>77</v>
      </c>
      <c r="B12" s="32"/>
      <c r="C12" s="32"/>
      <c r="D12" s="32"/>
      <c r="E12" s="32"/>
      <c r="F12" s="32"/>
      <c r="G12" s="32"/>
      <c r="H12" s="32"/>
      <c r="K12" t="s">
        <v>77</v>
      </c>
      <c r="L12">
        <f t="shared" si="6"/>
        <v>0</v>
      </c>
      <c r="M12">
        <f t="shared" si="0"/>
        <v>0</v>
      </c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7"/>
        <v>0</v>
      </c>
    </row>
    <row r="13" spans="1:19" x14ac:dyDescent="0.3">
      <c r="A13" t="s">
        <v>78</v>
      </c>
      <c r="B13" s="32"/>
      <c r="C13" s="32"/>
      <c r="D13" s="32"/>
      <c r="E13" s="32"/>
      <c r="F13" s="32"/>
      <c r="G13" s="32"/>
      <c r="H13" s="32"/>
      <c r="K13" t="s">
        <v>78</v>
      </c>
      <c r="L13">
        <f t="shared" si="6"/>
        <v>0</v>
      </c>
      <c r="M13">
        <f t="shared" si="0"/>
        <v>0</v>
      </c>
      <c r="N13">
        <f t="shared" si="1"/>
        <v>0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0</v>
      </c>
      <c r="S13">
        <f t="shared" si="7"/>
        <v>0</v>
      </c>
    </row>
    <row r="14" spans="1:19" x14ac:dyDescent="0.3">
      <c r="A14" t="s">
        <v>79</v>
      </c>
      <c r="B14" s="32"/>
      <c r="C14" s="32"/>
      <c r="D14" s="32"/>
      <c r="E14" s="32"/>
      <c r="F14" s="32"/>
      <c r="G14" s="32"/>
      <c r="H14" s="32"/>
      <c r="K14" t="s">
        <v>79</v>
      </c>
      <c r="L14">
        <f t="shared" si="6"/>
        <v>0</v>
      </c>
      <c r="M14">
        <f t="shared" si="0"/>
        <v>0</v>
      </c>
      <c r="N14">
        <f t="shared" si="1"/>
        <v>0</v>
      </c>
      <c r="O14">
        <f t="shared" si="2"/>
        <v>0</v>
      </c>
      <c r="P14">
        <f t="shared" si="3"/>
        <v>0</v>
      </c>
      <c r="Q14">
        <f t="shared" si="4"/>
        <v>0</v>
      </c>
      <c r="R14">
        <f t="shared" si="5"/>
        <v>0</v>
      </c>
      <c r="S14">
        <f t="shared" si="7"/>
        <v>0</v>
      </c>
    </row>
    <row r="15" spans="1:19" x14ac:dyDescent="0.3">
      <c r="A15" t="s">
        <v>80</v>
      </c>
      <c r="B15" s="32"/>
      <c r="C15" s="32"/>
      <c r="D15" s="32"/>
      <c r="E15" s="32"/>
      <c r="F15" s="32"/>
      <c r="G15" s="32"/>
      <c r="H15" s="32"/>
      <c r="K15" t="s">
        <v>80</v>
      </c>
      <c r="L15">
        <f t="shared" si="6"/>
        <v>0</v>
      </c>
      <c r="M15">
        <f t="shared" si="0"/>
        <v>0</v>
      </c>
      <c r="N15">
        <f t="shared" si="1"/>
        <v>0</v>
      </c>
      <c r="O15">
        <f t="shared" si="2"/>
        <v>0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7"/>
        <v>0</v>
      </c>
    </row>
    <row r="16" spans="1:19" x14ac:dyDescent="0.3">
      <c r="A16" t="s">
        <v>81</v>
      </c>
      <c r="B16" s="32">
        <v>0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7.726586459069101E-3</v>
      </c>
      <c r="K16" t="s">
        <v>81</v>
      </c>
      <c r="L16">
        <f t="shared" si="6"/>
        <v>0</v>
      </c>
      <c r="M16">
        <f t="shared" si="0"/>
        <v>0</v>
      </c>
      <c r="N16">
        <f t="shared" si="1"/>
        <v>0</v>
      </c>
      <c r="O16">
        <f t="shared" si="2"/>
        <v>0</v>
      </c>
      <c r="P16">
        <f t="shared" si="3"/>
        <v>0</v>
      </c>
      <c r="Q16">
        <f t="shared" si="4"/>
        <v>0</v>
      </c>
      <c r="R16">
        <f t="shared" si="5"/>
        <v>0.90615216489194716</v>
      </c>
      <c r="S16">
        <f t="shared" si="7"/>
        <v>0</v>
      </c>
    </row>
    <row r="17" spans="1:19" x14ac:dyDescent="0.3">
      <c r="A17" t="s">
        <v>82</v>
      </c>
      <c r="B17" s="32">
        <v>0.5487691358993706</v>
      </c>
      <c r="C17" s="32">
        <v>0.21537135373120775</v>
      </c>
      <c r="D17" s="32">
        <v>0.39868024441452171</v>
      </c>
      <c r="E17" s="32">
        <v>0.12469527970456452</v>
      </c>
      <c r="F17" s="32">
        <v>0.28027308338995399</v>
      </c>
      <c r="G17" s="32">
        <v>0.10327727764699332</v>
      </c>
      <c r="H17" s="32">
        <v>0.26338026110098467</v>
      </c>
      <c r="I17" s="1"/>
      <c r="K17" t="s">
        <v>82</v>
      </c>
      <c r="L17">
        <f t="shared" si="6"/>
        <v>44.764739574084224</v>
      </c>
      <c r="M17">
        <f t="shared" si="0"/>
        <v>105.44333766773391</v>
      </c>
      <c r="N17">
        <f t="shared" si="1"/>
        <v>66.613088485838219</v>
      </c>
      <c r="O17">
        <f t="shared" si="2"/>
        <v>27.505054832007541</v>
      </c>
      <c r="P17">
        <f t="shared" si="3"/>
        <v>32.647220090888723</v>
      </c>
      <c r="Q17">
        <f t="shared" si="4"/>
        <v>6.2560779797883281</v>
      </c>
      <c r="R17">
        <f t="shared" si="5"/>
        <v>30.888490674472777</v>
      </c>
      <c r="S17">
        <f t="shared" si="7"/>
        <v>0</v>
      </c>
    </row>
    <row r="18" spans="1:19" x14ac:dyDescent="0.3">
      <c r="A18" t="s">
        <v>83</v>
      </c>
      <c r="B18" s="32"/>
      <c r="C18" s="32"/>
      <c r="D18" s="32"/>
      <c r="E18" s="32"/>
      <c r="F18" s="32"/>
      <c r="G18" s="32"/>
      <c r="H18" s="32"/>
      <c r="K18" t="s">
        <v>83</v>
      </c>
      <c r="L18">
        <f t="shared" si="6"/>
        <v>0</v>
      </c>
      <c r="M18">
        <f t="shared" si="0"/>
        <v>0</v>
      </c>
      <c r="N18">
        <f t="shared" si="1"/>
        <v>0</v>
      </c>
      <c r="O18">
        <f t="shared" si="2"/>
        <v>0</v>
      </c>
      <c r="P18">
        <f t="shared" si="3"/>
        <v>0</v>
      </c>
      <c r="Q18">
        <f t="shared" si="4"/>
        <v>0</v>
      </c>
      <c r="R18">
        <f t="shared" si="5"/>
        <v>0</v>
      </c>
      <c r="S18">
        <f t="shared" si="7"/>
        <v>0</v>
      </c>
    </row>
    <row r="19" spans="1:19" x14ac:dyDescent="0.3">
      <c r="A19" s="57" t="s">
        <v>93</v>
      </c>
      <c r="B19" s="57"/>
      <c r="C19" s="57"/>
      <c r="D19" s="57"/>
      <c r="E19" s="57"/>
      <c r="F19" s="57"/>
      <c r="G19" s="57"/>
      <c r="H19" s="57"/>
      <c r="I19" s="57"/>
      <c r="K19" s="57" t="s">
        <v>94</v>
      </c>
      <c r="L19" s="57"/>
      <c r="M19" s="57"/>
      <c r="N19" s="57"/>
      <c r="O19" s="57"/>
      <c r="P19" s="57"/>
      <c r="Q19" s="57"/>
      <c r="R19" s="57"/>
      <c r="S19" s="57"/>
    </row>
    <row r="20" spans="1:19" x14ac:dyDescent="0.3">
      <c r="C20" s="36"/>
      <c r="D20" s="36"/>
      <c r="E20" s="36"/>
      <c r="F20" s="36"/>
      <c r="G20" s="36"/>
      <c r="H20" s="36"/>
    </row>
    <row r="21" spans="1:19" x14ac:dyDescent="0.3">
      <c r="A21" s="33" t="s">
        <v>10</v>
      </c>
      <c r="B21">
        <v>81.572990617848575</v>
      </c>
      <c r="K21" s="35" t="s">
        <v>95</v>
      </c>
    </row>
    <row r="22" spans="1:19" x14ac:dyDescent="0.3">
      <c r="A22" s="34" t="s">
        <v>11</v>
      </c>
      <c r="B22">
        <v>489.58849838187632</v>
      </c>
      <c r="K22" t="s">
        <v>96</v>
      </c>
    </row>
    <row r="23" spans="1:19" x14ac:dyDescent="0.3">
      <c r="A23" s="34" t="s">
        <v>12</v>
      </c>
      <c r="B23">
        <v>167.08399630802441</v>
      </c>
      <c r="K23" t="s">
        <v>71</v>
      </c>
      <c r="L23">
        <f>SUM(L2:R2)</f>
        <v>0</v>
      </c>
    </row>
    <row r="24" spans="1:19" x14ac:dyDescent="0.3">
      <c r="A24" s="34" t="s">
        <v>13</v>
      </c>
      <c r="B24">
        <v>220.57815578243341</v>
      </c>
      <c r="K24" t="s">
        <v>73</v>
      </c>
      <c r="L24">
        <f t="shared" ref="L24:L39" si="8">SUM(L3:R3)</f>
        <v>0</v>
      </c>
    </row>
    <row r="25" spans="1:19" x14ac:dyDescent="0.3">
      <c r="A25" s="34" t="s">
        <v>14</v>
      </c>
      <c r="B25">
        <v>116.48360840083055</v>
      </c>
      <c r="K25" t="s">
        <v>74</v>
      </c>
      <c r="L25">
        <f t="shared" si="8"/>
        <v>0</v>
      </c>
    </row>
    <row r="26" spans="1:19" x14ac:dyDescent="0.3">
      <c r="A26" s="34" t="s">
        <v>15</v>
      </c>
      <c r="B26">
        <v>60.575550811591896</v>
      </c>
      <c r="K26" t="s">
        <v>37</v>
      </c>
      <c r="L26">
        <f t="shared" si="8"/>
        <v>2.8107588471336276</v>
      </c>
    </row>
    <row r="27" spans="1:19" x14ac:dyDescent="0.3">
      <c r="A27" s="34" t="s">
        <v>17</v>
      </c>
      <c r="B27">
        <v>117.27716627416351</v>
      </c>
      <c r="K27" t="s">
        <v>75</v>
      </c>
      <c r="L27">
        <f t="shared" si="8"/>
        <v>0</v>
      </c>
    </row>
    <row r="28" spans="1:19" x14ac:dyDescent="0.3">
      <c r="A28" t="s">
        <v>16</v>
      </c>
      <c r="B28">
        <v>142.70369732367683</v>
      </c>
      <c r="K28" t="s">
        <v>38</v>
      </c>
      <c r="L28">
        <f t="shared" si="8"/>
        <v>695.89878819624982</v>
      </c>
    </row>
    <row r="29" spans="1:19" x14ac:dyDescent="0.3">
      <c r="K29" t="s">
        <v>39</v>
      </c>
      <c r="L29">
        <f t="shared" si="8"/>
        <v>110.87068692362386</v>
      </c>
    </row>
    <row r="30" spans="1:19" x14ac:dyDescent="0.3">
      <c r="K30" t="s">
        <v>76</v>
      </c>
      <c r="L30">
        <f t="shared" si="8"/>
        <v>0</v>
      </c>
    </row>
    <row r="31" spans="1:19" x14ac:dyDescent="0.3">
      <c r="K31" t="s">
        <v>40</v>
      </c>
      <c r="L31">
        <f t="shared" si="8"/>
        <v>128.55557114005572</v>
      </c>
    </row>
    <row r="32" spans="1:19" x14ac:dyDescent="0.3">
      <c r="K32" t="s">
        <v>9</v>
      </c>
      <c r="L32">
        <f t="shared" si="8"/>
        <v>0</v>
      </c>
    </row>
    <row r="33" spans="11:12" x14ac:dyDescent="0.3">
      <c r="K33" t="s">
        <v>77</v>
      </c>
      <c r="L33">
        <f t="shared" si="8"/>
        <v>0</v>
      </c>
    </row>
    <row r="34" spans="11:12" x14ac:dyDescent="0.3">
      <c r="K34" t="s">
        <v>78</v>
      </c>
      <c r="L34">
        <f t="shared" si="8"/>
        <v>0</v>
      </c>
    </row>
    <row r="35" spans="11:12" x14ac:dyDescent="0.3">
      <c r="K35" t="s">
        <v>79</v>
      </c>
      <c r="L35">
        <f t="shared" si="8"/>
        <v>0</v>
      </c>
    </row>
    <row r="36" spans="11:12" x14ac:dyDescent="0.3">
      <c r="K36" t="s">
        <v>80</v>
      </c>
      <c r="L36">
        <f t="shared" si="8"/>
        <v>0</v>
      </c>
    </row>
    <row r="37" spans="11:12" x14ac:dyDescent="0.3">
      <c r="K37" t="s">
        <v>81</v>
      </c>
      <c r="L37">
        <f t="shared" si="8"/>
        <v>0.90615216489194716</v>
      </c>
    </row>
    <row r="38" spans="11:12" x14ac:dyDescent="0.3">
      <c r="K38" t="s">
        <v>82</v>
      </c>
      <c r="L38">
        <f t="shared" si="8"/>
        <v>314.11800930481371</v>
      </c>
    </row>
    <row r="39" spans="11:12" x14ac:dyDescent="0.3">
      <c r="K39" t="s">
        <v>83</v>
      </c>
      <c r="L39">
        <f t="shared" si="8"/>
        <v>0</v>
      </c>
    </row>
  </sheetData>
  <mergeCells count="2">
    <mergeCell ref="A19:I19"/>
    <mergeCell ref="K19:S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Durables EoL WT 1996-2019</vt:lpstr>
      <vt:lpstr>Figure (EoL)</vt:lpstr>
      <vt:lpstr>Monte Carlo</vt:lpstr>
      <vt:lpstr>Waste Treatment Error Mar</vt:lpstr>
      <vt:lpstr>Het. Mach &amp; MV.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hıdıroğlu</dc:creator>
  <cp:lastModifiedBy>kaan hıdıroğlu</cp:lastModifiedBy>
  <dcterms:created xsi:type="dcterms:W3CDTF">2015-06-05T18:17:20Z</dcterms:created>
  <dcterms:modified xsi:type="dcterms:W3CDTF">2024-01-15T13:33:01Z</dcterms:modified>
</cp:coreProperties>
</file>