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5b78a3e08609c8/文件/"/>
    </mc:Choice>
  </mc:AlternateContent>
  <xr:revisionPtr revIDLastSave="0" documentId="8_{FBCFB29C-5389-493E-8ED8-A8324D46685F}" xr6:coauthVersionLast="47" xr6:coauthVersionMax="47" xr10:uidLastSave="{00000000-0000-0000-0000-000000000000}"/>
  <bookViews>
    <workbookView xWindow="-120" yWindow="-120" windowWidth="29040" windowHeight="17520" firstSheet="5" xr2:uid="{00000000-000D-0000-FFFF-FFFF00000000}"/>
  </bookViews>
  <sheets>
    <sheet name="glicko rank預算機" sheetId="6" r:id="rId1"/>
    <sheet name="glicko 1" sheetId="1" r:id="rId2"/>
    <sheet name="glicko 1 rank" sheetId="2" r:id="rId3"/>
    <sheet name="glicko 1 rank-2" sheetId="3" r:id="rId4"/>
    <sheet name="glicko 1 rank-3" sheetId="4" r:id="rId5"/>
    <sheet name="glicko rank計算機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6" l="1"/>
  <c r="H27" i="6"/>
  <c r="I27" i="6"/>
  <c r="J27" i="6"/>
  <c r="K27" i="6"/>
  <c r="F27" i="6"/>
  <c r="C12" i="6"/>
  <c r="B12" i="6"/>
  <c r="A12" i="6"/>
  <c r="C11" i="6"/>
  <c r="B11" i="6"/>
  <c r="A11" i="6"/>
  <c r="C10" i="6"/>
  <c r="B10" i="6"/>
  <c r="A10" i="6"/>
  <c r="C9" i="6"/>
  <c r="B9" i="6"/>
  <c r="A9" i="6"/>
  <c r="C8" i="6"/>
  <c r="B8" i="6"/>
  <c r="A8" i="6"/>
  <c r="C7" i="6"/>
  <c r="B7" i="6"/>
  <c r="A7" i="6"/>
  <c r="O2" i="6"/>
  <c r="K5" i="6" s="1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O2" i="5"/>
  <c r="K5" i="5" s="1"/>
  <c r="C34" i="4"/>
  <c r="C33" i="4"/>
  <c r="C32" i="4"/>
  <c r="C31" i="4"/>
  <c r="C30" i="4"/>
  <c r="C29" i="4"/>
  <c r="C12" i="4"/>
  <c r="C11" i="4"/>
  <c r="C10" i="4"/>
  <c r="C9" i="4"/>
  <c r="C8" i="4"/>
  <c r="C7" i="4"/>
  <c r="A12" i="4"/>
  <c r="A11" i="4"/>
  <c r="A10" i="4"/>
  <c r="A9" i="4"/>
  <c r="A8" i="4"/>
  <c r="A7" i="4"/>
  <c r="B12" i="4"/>
  <c r="B11" i="4"/>
  <c r="B10" i="4"/>
  <c r="B9" i="4"/>
  <c r="B8" i="4"/>
  <c r="B7" i="4"/>
  <c r="O2" i="4"/>
  <c r="C28" i="3"/>
  <c r="L2" i="3"/>
  <c r="H8" i="3"/>
  <c r="G8" i="3"/>
  <c r="F8" i="3"/>
  <c r="E8" i="3"/>
  <c r="D8" i="3"/>
  <c r="C8" i="3"/>
  <c r="I7" i="2"/>
  <c r="H7" i="2"/>
  <c r="G7" i="2"/>
  <c r="F7" i="2"/>
  <c r="C7" i="2"/>
  <c r="C10" i="2"/>
  <c r="C11" i="2" s="1"/>
  <c r="E7" i="2"/>
  <c r="B10" i="1"/>
  <c r="B7" i="1"/>
  <c r="B8" i="1"/>
  <c r="D7" i="1"/>
  <c r="D8" i="1"/>
  <c r="D11" i="1" s="1" a="1"/>
  <c r="D11" i="1" s="1"/>
  <c r="E7" i="1"/>
  <c r="E8" i="1"/>
  <c r="E11" i="1" a="1"/>
  <c r="E11" i="1"/>
  <c r="F7" i="1"/>
  <c r="F8" i="1"/>
  <c r="F11" i="1" a="1"/>
  <c r="F11" i="1"/>
  <c r="G7" i="1"/>
  <c r="G8" i="1"/>
  <c r="G11" i="1" a="1"/>
  <c r="G11" i="1"/>
  <c r="H7" i="1"/>
  <c r="H8" i="1"/>
  <c r="H11" i="1" a="1"/>
  <c r="H11" i="1"/>
  <c r="I7" i="1"/>
  <c r="I8" i="1"/>
  <c r="I11" i="1" a="1"/>
  <c r="I11" i="1"/>
  <c r="J7" i="1"/>
  <c r="J8" i="1"/>
  <c r="J11" i="1" a="1"/>
  <c r="J11" i="1"/>
  <c r="K7" i="1"/>
  <c r="K8" i="1"/>
  <c r="K11" i="1" a="1"/>
  <c r="K11" i="1"/>
  <c r="L7" i="1"/>
  <c r="L8" i="1"/>
  <c r="L11" i="1" a="1"/>
  <c r="L11" i="1"/>
  <c r="M7" i="1"/>
  <c r="M8" i="1"/>
  <c r="M11" i="1" a="1"/>
  <c r="M11" i="1"/>
  <c r="N7" i="1"/>
  <c r="N8" i="1"/>
  <c r="N11" i="1" a="1"/>
  <c r="N11" i="1"/>
  <c r="O7" i="1"/>
  <c r="O8" i="1"/>
  <c r="O11" i="1" a="1"/>
  <c r="O11" i="1"/>
  <c r="O12" i="1" a="1"/>
  <c r="O12" i="1"/>
  <c r="O13" i="1" a="1"/>
  <c r="O13" i="1"/>
  <c r="O14" i="1" a="1"/>
  <c r="O14" i="1"/>
  <c r="N12" i="1" a="1"/>
  <c r="N12" i="1"/>
  <c r="N13" i="1" a="1"/>
  <c r="N13" i="1"/>
  <c r="N14" i="1" a="1"/>
  <c r="N14" i="1" s="1"/>
  <c r="M12" i="1" a="1"/>
  <c r="M12" i="1"/>
  <c r="M13" i="1" a="1"/>
  <c r="M13" i="1"/>
  <c r="M14" i="1" a="1"/>
  <c r="M14" i="1"/>
  <c r="L12" i="1" a="1"/>
  <c r="L12" i="1"/>
  <c r="L13" i="1" a="1"/>
  <c r="L13" i="1"/>
  <c r="L14" i="1" a="1"/>
  <c r="L14" i="1"/>
  <c r="K12" i="1" a="1"/>
  <c r="K12" i="1"/>
  <c r="K13" i="1" a="1"/>
  <c r="K13" i="1"/>
  <c r="K14" i="1" a="1"/>
  <c r="K14" i="1"/>
  <c r="J12" i="1" a="1"/>
  <c r="J12" i="1" s="1"/>
  <c r="I12" i="1" a="1"/>
  <c r="I12" i="1"/>
  <c r="I13" i="1" a="1"/>
  <c r="I13" i="1"/>
  <c r="I14" i="1" a="1"/>
  <c r="I14" i="1"/>
  <c r="H12" i="1" a="1"/>
  <c r="H12" i="1"/>
  <c r="H13" i="1" a="1"/>
  <c r="H13" i="1"/>
  <c r="H14" i="1" a="1"/>
  <c r="H14" i="1"/>
  <c r="G12" i="1" a="1"/>
  <c r="G12" i="1"/>
  <c r="G14" i="1" s="1" a="1"/>
  <c r="G14" i="1" s="1"/>
  <c r="G13" i="1" a="1"/>
  <c r="G13" i="1" s="1"/>
  <c r="F12" i="1" a="1"/>
  <c r="F12" i="1"/>
  <c r="F13" i="1" a="1"/>
  <c r="F13" i="1"/>
  <c r="F14" i="1" a="1"/>
  <c r="F14" i="1"/>
  <c r="E12" i="1" a="1"/>
  <c r="E12" i="1"/>
  <c r="E13" i="1" a="1"/>
  <c r="E13" i="1"/>
  <c r="E14" i="1" a="1"/>
  <c r="E14" i="1"/>
  <c r="K10" i="6" l="1"/>
  <c r="K11" i="6"/>
  <c r="K12" i="6"/>
  <c r="K8" i="6"/>
  <c r="D12" i="6"/>
  <c r="K9" i="6"/>
  <c r="K7" i="6"/>
  <c r="I5" i="6"/>
  <c r="F5" i="6"/>
  <c r="G5" i="6"/>
  <c r="H5" i="6"/>
  <c r="J5" i="6"/>
  <c r="K12" i="5"/>
  <c r="K10" i="5"/>
  <c r="K8" i="5"/>
  <c r="D12" i="5"/>
  <c r="K11" i="5"/>
  <c r="K9" i="5"/>
  <c r="K7" i="5"/>
  <c r="F5" i="5"/>
  <c r="G5" i="5"/>
  <c r="H5" i="5"/>
  <c r="I5" i="5"/>
  <c r="J5" i="5"/>
  <c r="J13" i="1" a="1"/>
  <c r="J13" i="1" s="1"/>
  <c r="J14" i="1" a="1"/>
  <c r="J14" i="1" s="1"/>
  <c r="D12" i="1" a="1"/>
  <c r="D12" i="1" s="1"/>
  <c r="D14" i="1" s="1" a="1"/>
  <c r="D14" i="1" s="1"/>
  <c r="D13" i="1" a="1"/>
  <c r="D13" i="1" s="1"/>
  <c r="G5" i="4"/>
  <c r="J5" i="4"/>
  <c r="K5" i="4"/>
  <c r="F5" i="4"/>
  <c r="H5" i="4"/>
  <c r="I5" i="4"/>
  <c r="C10" i="3"/>
  <c r="D10" i="3"/>
  <c r="E10" i="3"/>
  <c r="F10" i="3"/>
  <c r="G10" i="3"/>
  <c r="H10" i="3"/>
  <c r="E11" i="2"/>
  <c r="I11" i="2"/>
  <c r="I13" i="2" s="1" a="1"/>
  <c r="I13" i="2" s="1"/>
  <c r="H11" i="2"/>
  <c r="H13" i="2" s="1" a="1"/>
  <c r="H13" i="2" s="1"/>
  <c r="G11" i="2"/>
  <c r="G13" i="2" s="1" a="1"/>
  <c r="G13" i="2" s="1"/>
  <c r="F11" i="2"/>
  <c r="K16" i="6" l="1"/>
  <c r="G12" i="6"/>
  <c r="G10" i="6"/>
  <c r="D8" i="6"/>
  <c r="G11" i="6"/>
  <c r="G9" i="6"/>
  <c r="G7" i="6"/>
  <c r="G8" i="6"/>
  <c r="I11" i="6"/>
  <c r="I9" i="6"/>
  <c r="I7" i="6"/>
  <c r="I8" i="6"/>
  <c r="I12" i="6"/>
  <c r="I10" i="6"/>
  <c r="D10" i="6"/>
  <c r="J9" i="6"/>
  <c r="D11" i="6"/>
  <c r="F15" i="6" s="1"/>
  <c r="J12" i="6"/>
  <c r="J10" i="6"/>
  <c r="J8" i="6"/>
  <c r="J11" i="6"/>
  <c r="J7" i="6"/>
  <c r="H12" i="6"/>
  <c r="H10" i="6"/>
  <c r="H8" i="6"/>
  <c r="H11" i="6"/>
  <c r="H9" i="6"/>
  <c r="H7" i="6"/>
  <c r="D9" i="6"/>
  <c r="F11" i="6"/>
  <c r="F9" i="6"/>
  <c r="F7" i="6"/>
  <c r="D7" i="6"/>
  <c r="F12" i="6"/>
  <c r="F10" i="6"/>
  <c r="F8" i="6"/>
  <c r="I12" i="5"/>
  <c r="I10" i="5"/>
  <c r="I8" i="5"/>
  <c r="D10" i="5"/>
  <c r="I11" i="5"/>
  <c r="I9" i="5"/>
  <c r="I7" i="5"/>
  <c r="I16" i="5" s="1"/>
  <c r="H12" i="5"/>
  <c r="H10" i="5"/>
  <c r="H8" i="5"/>
  <c r="H11" i="5"/>
  <c r="H9" i="5"/>
  <c r="H7" i="5"/>
  <c r="H16" i="5" s="1"/>
  <c r="D9" i="5"/>
  <c r="G12" i="5"/>
  <c r="G10" i="5"/>
  <c r="G8" i="5"/>
  <c r="D8" i="5"/>
  <c r="G11" i="5"/>
  <c r="G9" i="5"/>
  <c r="G7" i="5"/>
  <c r="J12" i="5"/>
  <c r="J10" i="5"/>
  <c r="J8" i="5"/>
  <c r="J11" i="5"/>
  <c r="J9" i="5"/>
  <c r="J7" i="5"/>
  <c r="D11" i="5"/>
  <c r="F12" i="5"/>
  <c r="F10" i="5"/>
  <c r="F8" i="5"/>
  <c r="F11" i="5"/>
  <c r="F9" i="5"/>
  <c r="F7" i="5"/>
  <c r="F16" i="5" s="1"/>
  <c r="D7" i="5"/>
  <c r="K15" i="5" s="1"/>
  <c r="K16" i="5"/>
  <c r="N16" i="1" a="1"/>
  <c r="N16" i="1" s="1"/>
  <c r="E16" i="1" a="1"/>
  <c r="E16" i="1" s="1"/>
  <c r="E18" i="1" s="1" a="1"/>
  <c r="E18" i="1" s="1"/>
  <c r="O16" i="1" a="1"/>
  <c r="O16" i="1" s="1"/>
  <c r="F16" i="1" a="1"/>
  <c r="F16" i="1" s="1"/>
  <c r="F18" i="1" s="1" a="1"/>
  <c r="F18" i="1" s="1"/>
  <c r="D16" i="1" a="1"/>
  <c r="D16" i="1" s="1"/>
  <c r="D18" i="1" s="1" a="1"/>
  <c r="D18" i="1" s="1"/>
  <c r="G16" i="1" a="1"/>
  <c r="G16" i="1" s="1"/>
  <c r="G18" i="1" s="1" a="1"/>
  <c r="G18" i="1" s="1"/>
  <c r="H16" i="1" a="1"/>
  <c r="H16" i="1" s="1"/>
  <c r="H19" i="1" s="1" a="1"/>
  <c r="H19" i="1" s="1"/>
  <c r="I16" i="1" a="1"/>
  <c r="I16" i="1" s="1"/>
  <c r="I19" i="1" s="1" a="1"/>
  <c r="I19" i="1" s="1"/>
  <c r="J16" i="1" a="1"/>
  <c r="J16" i="1" s="1"/>
  <c r="J18" i="1" s="1" a="1"/>
  <c r="J18" i="1" s="1"/>
  <c r="K16" i="1" a="1"/>
  <c r="K16" i="1" s="1"/>
  <c r="L16" i="1" a="1"/>
  <c r="L16" i="1" s="1"/>
  <c r="M16" i="1" a="1"/>
  <c r="M16" i="1" s="1"/>
  <c r="M19" i="1" a="1"/>
  <c r="M19" i="1" s="1"/>
  <c r="M18" i="1" a="1"/>
  <c r="M18" i="1" s="1"/>
  <c r="L18" i="1" a="1"/>
  <c r="L18" i="1" s="1"/>
  <c r="L19" i="1" a="1"/>
  <c r="L19" i="1" s="1"/>
  <c r="K19" i="1" a="1"/>
  <c r="K19" i="1" s="1"/>
  <c r="K18" i="1" a="1"/>
  <c r="K18" i="1" s="1"/>
  <c r="J19" i="1" a="1"/>
  <c r="J19" i="1" s="1"/>
  <c r="O18" i="1" a="1"/>
  <c r="O18" i="1" s="1"/>
  <c r="O19" i="1" a="1"/>
  <c r="O19" i="1" s="1"/>
  <c r="N18" i="1" a="1"/>
  <c r="N18" i="1" s="1"/>
  <c r="N19" i="1" a="1"/>
  <c r="N19" i="1" s="1"/>
  <c r="K8" i="4"/>
  <c r="K9" i="4"/>
  <c r="K10" i="4"/>
  <c r="K11" i="4"/>
  <c r="K12" i="4"/>
  <c r="D12" i="4"/>
  <c r="K7" i="4"/>
  <c r="J9" i="4"/>
  <c r="J10" i="4"/>
  <c r="J11" i="4"/>
  <c r="J12" i="4"/>
  <c r="D11" i="4"/>
  <c r="J8" i="4"/>
  <c r="J7" i="4"/>
  <c r="I8" i="4"/>
  <c r="I9" i="4"/>
  <c r="I10" i="4"/>
  <c r="I11" i="4"/>
  <c r="I12" i="4"/>
  <c r="D10" i="4"/>
  <c r="I7" i="4"/>
  <c r="H8" i="4"/>
  <c r="D9" i="4"/>
  <c r="H9" i="4"/>
  <c r="H10" i="4"/>
  <c r="H11" i="4"/>
  <c r="H12" i="4"/>
  <c r="H7" i="4"/>
  <c r="G8" i="4"/>
  <c r="G12" i="4"/>
  <c r="G9" i="4"/>
  <c r="D8" i="4"/>
  <c r="G10" i="4"/>
  <c r="G11" i="4"/>
  <c r="G7" i="4"/>
  <c r="F10" i="4"/>
  <c r="F11" i="4"/>
  <c r="F8" i="4"/>
  <c r="D7" i="4"/>
  <c r="F12" i="4"/>
  <c r="F9" i="4"/>
  <c r="F7" i="4"/>
  <c r="H14" i="3" a="1"/>
  <c r="H14" i="3" s="1"/>
  <c r="H13" i="3" s="1"/>
  <c r="G14" i="3" a="1"/>
  <c r="G14" i="3" s="1"/>
  <c r="G13" i="3" s="1"/>
  <c r="F14" i="3" a="1"/>
  <c r="F14" i="3" s="1"/>
  <c r="F13" i="3" s="1"/>
  <c r="E14" i="3" a="1"/>
  <c r="E14" i="3" s="1"/>
  <c r="E13" i="3" s="1"/>
  <c r="C23" i="3"/>
  <c r="D14" i="3"/>
  <c r="D13" i="3" s="1"/>
  <c r="E22" i="2"/>
  <c r="G12" i="2"/>
  <c r="G14" i="2" a="1"/>
  <c r="G14" i="2" s="1"/>
  <c r="G15" i="2"/>
  <c r="G17" i="2" s="1"/>
  <c r="H12" i="2"/>
  <c r="H14" i="2" a="1"/>
  <c r="H14" i="2" s="1"/>
  <c r="H15" i="2"/>
  <c r="H17" i="2" s="1"/>
  <c r="I12" i="2"/>
  <c r="I14" i="2" a="1"/>
  <c r="I14" i="2" s="1"/>
  <c r="I15" i="2"/>
  <c r="I17" i="2" s="1"/>
  <c r="F13" i="2" a="1"/>
  <c r="F13" i="2" s="1"/>
  <c r="F12" i="2" s="1"/>
  <c r="E13" i="2"/>
  <c r="E12" i="2" s="1"/>
  <c r="I16" i="6" l="1"/>
  <c r="H16" i="6"/>
  <c r="J15" i="6"/>
  <c r="K15" i="6"/>
  <c r="H15" i="6"/>
  <c r="J16" i="6"/>
  <c r="I15" i="6"/>
  <c r="G16" i="6"/>
  <c r="F16" i="6"/>
  <c r="F17" i="6" s="1"/>
  <c r="F18" i="6" s="1"/>
  <c r="G15" i="6"/>
  <c r="H15" i="5"/>
  <c r="F15" i="5"/>
  <c r="J15" i="5"/>
  <c r="J16" i="5"/>
  <c r="I15" i="5"/>
  <c r="K19" i="5"/>
  <c r="K20" i="5"/>
  <c r="K22" i="5" s="1"/>
  <c r="G15" i="5"/>
  <c r="G16" i="5"/>
  <c r="H16" i="4"/>
  <c r="K16" i="4"/>
  <c r="F19" i="1" a="1"/>
  <c r="F19" i="1" s="1"/>
  <c r="E19" i="1" a="1"/>
  <c r="E19" i="1" s="1"/>
  <c r="D19" i="1" a="1"/>
  <c r="D19" i="1" s="1"/>
  <c r="G19" i="1" a="1"/>
  <c r="G19" i="1" s="1"/>
  <c r="H18" i="1" a="1"/>
  <c r="H18" i="1" s="1"/>
  <c r="I18" i="1" a="1"/>
  <c r="I18" i="1" s="1"/>
  <c r="G16" i="4"/>
  <c r="J16" i="4"/>
  <c r="I16" i="4"/>
  <c r="F16" i="4"/>
  <c r="G15" i="4"/>
  <c r="H15" i="4"/>
  <c r="I15" i="4"/>
  <c r="I20" i="4" s="1"/>
  <c r="J15" i="4"/>
  <c r="J20" i="4" s="1"/>
  <c r="K15" i="4"/>
  <c r="F15" i="4"/>
  <c r="C24" i="3"/>
  <c r="D16" i="3"/>
  <c r="D18" i="3" s="1"/>
  <c r="D15" i="3" a="1"/>
  <c r="D15" i="3" s="1"/>
  <c r="E16" i="3"/>
  <c r="E18" i="3" s="1"/>
  <c r="E15" i="3" a="1"/>
  <c r="E15" i="3" s="1"/>
  <c r="F16" i="3"/>
  <c r="F18" i="3" s="1"/>
  <c r="F15" i="3" a="1"/>
  <c r="F15" i="3" s="1"/>
  <c r="G16" i="3"/>
  <c r="G18" i="3" s="1"/>
  <c r="G15" i="3" a="1"/>
  <c r="G15" i="3" s="1"/>
  <c r="H16" i="3"/>
  <c r="H18" i="3" s="1"/>
  <c r="H15" i="3" a="1"/>
  <c r="H15" i="3" s="1"/>
  <c r="E23" i="2"/>
  <c r="I19" i="2"/>
  <c r="I20" i="2" a="1"/>
  <c r="I20" i="2" s="1"/>
  <c r="I18" i="2"/>
  <c r="H20" i="2" a="1"/>
  <c r="H20" i="2" s="1"/>
  <c r="H18" i="2"/>
  <c r="H19" i="2"/>
  <c r="G20" i="2" a="1"/>
  <c r="G20" i="2" s="1"/>
  <c r="G18" i="2"/>
  <c r="G19" i="2"/>
  <c r="F15" i="2"/>
  <c r="F17" i="2" s="1"/>
  <c r="F20" i="2" s="1" a="1"/>
  <c r="F20" i="2" s="1"/>
  <c r="F14" i="2" a="1"/>
  <c r="F14" i="2" s="1"/>
  <c r="E15" i="2"/>
  <c r="E17" i="2" s="1"/>
  <c r="E14" i="2" a="1"/>
  <c r="E14" i="2" s="1"/>
  <c r="G23" i="6" l="1"/>
  <c r="G28" i="6"/>
  <c r="I23" i="6"/>
  <c r="I28" i="6"/>
  <c r="H23" i="6"/>
  <c r="H28" i="6"/>
  <c r="K23" i="6"/>
  <c r="K28" i="6"/>
  <c r="J23" i="6"/>
  <c r="J28" i="6"/>
  <c r="F28" i="6"/>
  <c r="F29" i="6" s="1"/>
  <c r="F30" i="6" s="1"/>
  <c r="F23" i="6"/>
  <c r="F19" i="6"/>
  <c r="G17" i="6"/>
  <c r="G18" i="6" s="1"/>
  <c r="K17" i="6"/>
  <c r="K18" i="6" s="1"/>
  <c r="K29" i="6" s="1"/>
  <c r="K30" i="6" s="1"/>
  <c r="F24" i="6"/>
  <c r="I17" i="6"/>
  <c r="I18" i="6" s="1"/>
  <c r="I29" i="6" s="1"/>
  <c r="I30" i="6" s="1"/>
  <c r="H17" i="6"/>
  <c r="H18" i="6" s="1"/>
  <c r="H29" i="6" s="1"/>
  <c r="H30" i="6" s="1"/>
  <c r="J17" i="6"/>
  <c r="J18" i="6" s="1"/>
  <c r="J29" i="6" s="1"/>
  <c r="J30" i="6" s="1"/>
  <c r="G20" i="5"/>
  <c r="G22" i="5" s="1"/>
  <c r="G19" i="5"/>
  <c r="K25" i="5"/>
  <c r="K23" i="5"/>
  <c r="K24" i="5" s="1"/>
  <c r="I19" i="5"/>
  <c r="I20" i="5"/>
  <c r="I22" i="5" s="1"/>
  <c r="J19" i="5"/>
  <c r="J20" i="5"/>
  <c r="J22" i="5" s="1"/>
  <c r="F20" i="5"/>
  <c r="F22" i="5" s="1"/>
  <c r="F19" i="5"/>
  <c r="H20" i="5"/>
  <c r="H22" i="5" s="1"/>
  <c r="H19" i="5"/>
  <c r="K20" i="4"/>
  <c r="K22" i="4" s="1"/>
  <c r="K25" i="4" s="1"/>
  <c r="H20" i="4"/>
  <c r="H22" i="4" s="1"/>
  <c r="H25" i="4" s="1"/>
  <c r="G20" i="4"/>
  <c r="G22" i="4" s="1"/>
  <c r="G25" i="4" s="1"/>
  <c r="F19" i="4"/>
  <c r="F20" i="4"/>
  <c r="F22" i="4" s="1"/>
  <c r="F25" i="4" s="1"/>
  <c r="K19" i="4"/>
  <c r="J22" i="4"/>
  <c r="J25" i="4" s="1"/>
  <c r="J19" i="4"/>
  <c r="I22" i="4"/>
  <c r="I25" i="4" s="1"/>
  <c r="I19" i="4"/>
  <c r="H19" i="4"/>
  <c r="G19" i="4"/>
  <c r="C30" i="3"/>
  <c r="C27" i="3"/>
  <c r="D19" i="3"/>
  <c r="D21" i="3" a="1"/>
  <c r="D21" i="3" s="1"/>
  <c r="D20" i="3"/>
  <c r="H19" i="3"/>
  <c r="H21" i="3" a="1"/>
  <c r="H21" i="3" s="1"/>
  <c r="H20" i="3"/>
  <c r="G19" i="3"/>
  <c r="G21" i="3" a="1"/>
  <c r="G21" i="3" s="1"/>
  <c r="G20" i="3"/>
  <c r="F19" i="3"/>
  <c r="F21" i="3" a="1"/>
  <c r="F21" i="3" s="1"/>
  <c r="F20" i="3"/>
  <c r="E19" i="3"/>
  <c r="E21" i="3" a="1"/>
  <c r="E21" i="3" s="1"/>
  <c r="E20" i="3"/>
  <c r="F19" i="2"/>
  <c r="E26" i="2"/>
  <c r="E27" i="2"/>
  <c r="E29" i="2" s="1"/>
  <c r="F18" i="2"/>
  <c r="E18" i="2"/>
  <c r="E20" i="2" a="1"/>
  <c r="E20" i="2" s="1"/>
  <c r="E19" i="2"/>
  <c r="G29" i="6" l="1"/>
  <c r="G30" i="6" s="1"/>
  <c r="F25" i="6"/>
  <c r="I19" i="6"/>
  <c r="I24" i="6"/>
  <c r="I25" i="6" s="1"/>
  <c r="K19" i="6"/>
  <c r="K24" i="6"/>
  <c r="K25" i="6" s="1"/>
  <c r="J19" i="6"/>
  <c r="J24" i="6"/>
  <c r="J25" i="6" s="1"/>
  <c r="H19" i="6"/>
  <c r="H24" i="6"/>
  <c r="H25" i="6" s="1"/>
  <c r="G19" i="6"/>
  <c r="G24" i="6"/>
  <c r="G25" i="6" s="1"/>
  <c r="H23" i="5"/>
  <c r="H24" i="5" s="1"/>
  <c r="H25" i="5"/>
  <c r="F23" i="5"/>
  <c r="F25" i="5"/>
  <c r="J25" i="5"/>
  <c r="J23" i="5"/>
  <c r="J24" i="5" s="1"/>
  <c r="I25" i="5"/>
  <c r="I23" i="5"/>
  <c r="I24" i="5" s="1"/>
  <c r="G23" i="5"/>
  <c r="G24" i="5" s="1"/>
  <c r="G25" i="5"/>
  <c r="B31" i="4"/>
  <c r="H27" i="4"/>
  <c r="B32" i="4"/>
  <c r="I27" i="4"/>
  <c r="B30" i="4"/>
  <c r="G27" i="4"/>
  <c r="B34" i="4"/>
  <c r="K27" i="4"/>
  <c r="B33" i="4"/>
  <c r="J27" i="4"/>
  <c r="F27" i="4"/>
  <c r="D29" i="4" s="1"/>
  <c r="B29" i="4"/>
  <c r="F23" i="4"/>
  <c r="G23" i="4"/>
  <c r="G24" i="4" s="1"/>
  <c r="A30" i="4" s="1"/>
  <c r="H23" i="4"/>
  <c r="H24" i="4" s="1"/>
  <c r="A31" i="4" s="1"/>
  <c r="I23" i="4"/>
  <c r="I24" i="4" s="1"/>
  <c r="A32" i="4" s="1"/>
  <c r="J23" i="4"/>
  <c r="J24" i="4" s="1"/>
  <c r="A33" i="4" s="1"/>
  <c r="K23" i="4"/>
  <c r="K24" i="4" s="1"/>
  <c r="A34" i="4" s="1"/>
  <c r="C31" i="3"/>
  <c r="C32" i="3" s="1"/>
  <c r="C30" i="2"/>
  <c r="C31" i="2" s="1"/>
  <c r="F24" i="5" l="1"/>
  <c r="M23" i="5"/>
  <c r="F24" i="4"/>
  <c r="F30" i="4" s="1"/>
  <c r="M23" i="4"/>
  <c r="D33" i="4"/>
  <c r="J31" i="4"/>
  <c r="J34" i="4"/>
  <c r="J30" i="4"/>
  <c r="J33" i="4"/>
  <c r="J32" i="4"/>
  <c r="K31" i="4"/>
  <c r="K34" i="4"/>
  <c r="K30" i="4"/>
  <c r="K33" i="4"/>
  <c r="K32" i="4"/>
  <c r="D34" i="4"/>
  <c r="G32" i="4"/>
  <c r="G31" i="4"/>
  <c r="G34" i="4"/>
  <c r="G30" i="4"/>
  <c r="G33" i="4"/>
  <c r="D30" i="4"/>
  <c r="D32" i="4"/>
  <c r="I31" i="4"/>
  <c r="I34" i="4"/>
  <c r="I30" i="4"/>
  <c r="I33" i="4"/>
  <c r="I32" i="4"/>
  <c r="D31" i="4"/>
  <c r="H32" i="4"/>
  <c r="H31" i="4"/>
  <c r="H34" i="4"/>
  <c r="H30" i="4"/>
  <c r="H33" i="4"/>
  <c r="F33" i="4" l="1"/>
  <c r="A29" i="4"/>
  <c r="F31" i="4"/>
  <c r="F34" i="4"/>
  <c r="F32" i="4"/>
  <c r="F37" i="4"/>
  <c r="J37" i="4"/>
  <c r="K37" i="4"/>
  <c r="H37" i="4"/>
  <c r="I37" i="4"/>
  <c r="G37" i="4"/>
  <c r="I29" i="4"/>
  <c r="I38" i="4" s="1"/>
  <c r="G29" i="4"/>
  <c r="G38" i="4" s="1"/>
  <c r="F29" i="4"/>
  <c r="J29" i="4"/>
  <c r="J38" i="4" s="1"/>
  <c r="H29" i="4"/>
  <c r="H38" i="4" s="1"/>
  <c r="K29" i="4"/>
  <c r="K38" i="4" s="1"/>
  <c r="F3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<sst xmlns="http://schemas.openxmlformats.org/spreadsheetml/2006/main" count="227" uniqueCount="64">
  <si>
    <t>自己</t>
  </si>
  <si>
    <t>對手</t>
  </si>
  <si>
    <t>總人數</t>
    <phoneticPr fontId="1" type="noConversion"/>
  </si>
  <si>
    <t>R</t>
  </si>
  <si>
    <t>q</t>
  </si>
  <si>
    <t>RD</t>
  </si>
  <si>
    <t>選手資料</t>
    <phoneticPr fontId="1" type="noConversion"/>
  </si>
  <si>
    <t>result RK</t>
    <phoneticPr fontId="1" type="noConversion"/>
  </si>
  <si>
    <t>a</t>
    <phoneticPr fontId="1" type="noConversion"/>
  </si>
  <si>
    <t>這一輪比賽預測</t>
    <phoneticPr fontId="1" type="noConversion"/>
  </si>
  <si>
    <t>g</t>
    <phoneticPr fontId="1" type="noConversion"/>
  </si>
  <si>
    <t>分數結果</t>
    <phoneticPr fontId="1" type="noConversion"/>
  </si>
  <si>
    <t>R</t>
    <phoneticPr fontId="1" type="noConversion"/>
  </si>
  <si>
    <t>RD</t>
    <phoneticPr fontId="1" type="noConversion"/>
  </si>
  <si>
    <t>下一輪比賽預測</t>
    <phoneticPr fontId="1" type="noConversion"/>
  </si>
  <si>
    <t>評分可靠度總和</t>
    <phoneticPr fontId="1" type="noConversion"/>
  </si>
  <si>
    <t>Gtotal</t>
    <phoneticPr fontId="1" type="noConversion"/>
  </si>
  <si>
    <t>排名預測</t>
    <phoneticPr fontId="1" type="noConversion"/>
  </si>
  <si>
    <t>Etotal</t>
  </si>
  <si>
    <t>minid</t>
    <phoneticPr fontId="1" type="noConversion"/>
  </si>
  <si>
    <t>實力差距平方</t>
    <phoneticPr fontId="1" type="noConversion"/>
  </si>
  <si>
    <t>d2</t>
    <phoneticPr fontId="1" type="noConversion"/>
  </si>
  <si>
    <t>result RD</t>
    <phoneticPr fontId="1" type="noConversion"/>
  </si>
  <si>
    <t>假設得第一名</t>
    <phoneticPr fontId="1" type="noConversion"/>
  </si>
  <si>
    <t>基本改變量</t>
    <phoneticPr fontId="1" type="noConversion"/>
  </si>
  <si>
    <t>minisgma</t>
    <phoneticPr fontId="1" type="noConversion"/>
  </si>
  <si>
    <t>add R</t>
    <phoneticPr fontId="1" type="noConversion"/>
  </si>
  <si>
    <t>result R</t>
    <phoneticPr fontId="1" type="noConversion"/>
  </si>
  <si>
    <t>假設得最後一名</t>
    <phoneticPr fontId="1" type="noConversion"/>
  </si>
  <si>
    <t>比賽週期</t>
  </si>
  <si>
    <t>初始RD</t>
  </si>
  <si>
    <t>t</t>
  </si>
  <si>
    <t>最高RD</t>
  </si>
  <si>
    <t>WL</t>
  </si>
  <si>
    <t>c</t>
  </si>
  <si>
    <t>初始R</t>
  </si>
  <si>
    <t>new RD</t>
  </si>
  <si>
    <t>a</t>
  </si>
  <si>
    <t>g</t>
  </si>
  <si>
    <t>E</t>
  </si>
  <si>
    <t>minisgma</t>
  </si>
  <si>
    <t>minid</t>
  </si>
  <si>
    <t>週期</t>
  </si>
  <si>
    <t>d2</t>
  </si>
  <si>
    <t>result R</t>
  </si>
  <si>
    <t>result RD</t>
  </si>
  <si>
    <t>比賽可靠度</t>
    <phoneticPr fontId="1" type="noConversion"/>
  </si>
  <si>
    <t>1-E</t>
    <phoneticPr fontId="1" type="noConversion"/>
  </si>
  <si>
    <t>勝率</t>
    <phoneticPr fontId="1" type="noConversion"/>
  </si>
  <si>
    <t>E 勝率</t>
  </si>
  <si>
    <t>基本改變值，根據比賽可靠度，及實際結果-預估結果得出</t>
    <phoneticPr fontId="1" type="noConversion"/>
  </si>
  <si>
    <t>兩對手差距(數字越小，差距越大)</t>
    <phoneticPr fontId="1" type="noConversion"/>
  </si>
  <si>
    <t>根據兩對手差距、誤差值得出，兩對手差距越大，或誤差越大，此值越大</t>
    <phoneticPr fontId="1" type="noConversion"/>
  </si>
  <si>
    <t>改變值，</t>
    <phoneticPr fontId="1" type="noConversion"/>
  </si>
  <si>
    <t>比賽可靠度，誤差越小，此值越大</t>
    <phoneticPr fontId="1" type="noConversion"/>
  </si>
  <si>
    <t>名次預測</t>
    <phoneticPr fontId="1" type="noConversion"/>
  </si>
  <si>
    <t>和其他對手的差距(數字越小，差距越大)</t>
    <phoneticPr fontId="1" type="noConversion"/>
  </si>
  <si>
    <t>總改變量：</t>
    <phoneticPr fontId="1" type="noConversion"/>
  </si>
  <si>
    <t>QQ/((1/(RD_0^2))+(1/DD2tt))</t>
  </si>
  <si>
    <t>minisgma:</t>
    <phoneticPr fontId="1" type="noConversion"/>
  </si>
  <si>
    <t>公式：比賽可靠度*(結果-勝率)</t>
    <phoneticPr fontId="1" type="noConversion"/>
  </si>
  <si>
    <t>Elo公式：</t>
    <phoneticPr fontId="1" type="noConversion"/>
  </si>
  <si>
    <t>值*(結果-勝率)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</si>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</sst>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A9B5-C0E0-463E-A78C-A5F40C25292A}">
  <dimension ref="A1:O30"/>
  <sheetViews>
    <sheetView workbookViewId="0">
      <selection activeCell="J9" sqref="J9"/>
    </sheetView>
  </sheetViews>
  <sheetFormatPr defaultRowHeight="16.5"/>
  <sheetData>
    <row r="1" spans="1:15">
      <c r="F1" t="s">
        <v>0</v>
      </c>
      <c r="G1" t="s">
        <v>1</v>
      </c>
      <c r="N1" t="s">
        <v>2</v>
      </c>
      <c r="O1">
        <v>6</v>
      </c>
    </row>
    <row r="2" spans="1:15">
      <c r="E2" t="s">
        <v>3</v>
      </c>
      <c r="F2" s="3">
        <v>1500</v>
      </c>
      <c r="G2" s="3">
        <v>1500</v>
      </c>
      <c r="H2" s="3">
        <v>1500</v>
      </c>
      <c r="I2" s="3">
        <v>1500</v>
      </c>
      <c r="J2" s="3">
        <v>1500</v>
      </c>
      <c r="K2" s="3">
        <v>1500</v>
      </c>
      <c r="N2" t="s">
        <v>4</v>
      </c>
      <c r="O2">
        <f>LN(10)/400</f>
        <v>5.7564627324851146E-3</v>
      </c>
    </row>
    <row r="3" spans="1:15">
      <c r="E3" t="s">
        <v>5</v>
      </c>
      <c r="F3" s="3">
        <v>80</v>
      </c>
      <c r="G3" s="3">
        <v>80</v>
      </c>
      <c r="H3" s="3">
        <v>80</v>
      </c>
      <c r="I3" s="3">
        <v>35</v>
      </c>
      <c r="J3" s="3">
        <v>35</v>
      </c>
      <c r="K3" s="3">
        <v>35</v>
      </c>
      <c r="N3" s="10" t="s">
        <v>6</v>
      </c>
      <c r="O3" s="10"/>
    </row>
    <row r="4" spans="1:15">
      <c r="E4" t="s">
        <v>7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N4" s="11" t="s">
        <v>9</v>
      </c>
      <c r="O4" s="11"/>
    </row>
    <row r="5" spans="1:15">
      <c r="E5" t="s">
        <v>10</v>
      </c>
      <c r="F5">
        <f t="shared" ref="F5:K5" si="0">_xlfn.LET(_xlpm.RD_1,F3,_xlpm.QQ,$O$2,1/(SQRT(1+3*_xlpm.QQ^2*(_xlpm.RD_1^2)/PI()^2)))</f>
        <v>0.96924739680357896</v>
      </c>
      <c r="G5">
        <f t="shared" si="0"/>
        <v>0.96924739680357896</v>
      </c>
      <c r="H5">
        <f t="shared" si="0"/>
        <v>0.96924739680357896</v>
      </c>
      <c r="I5">
        <f t="shared" si="0"/>
        <v>0.99388716630964002</v>
      </c>
      <c r="J5">
        <f t="shared" si="0"/>
        <v>0.99388716630964002</v>
      </c>
      <c r="K5">
        <f t="shared" si="0"/>
        <v>0.99388716630964002</v>
      </c>
      <c r="N5" s="12" t="s">
        <v>11</v>
      </c>
      <c r="O5" s="12"/>
    </row>
    <row r="6" spans="1:15">
      <c r="A6" t="s">
        <v>12</v>
      </c>
      <c r="B6" t="s">
        <v>13</v>
      </c>
      <c r="C6" t="s">
        <v>7</v>
      </c>
      <c r="D6" t="s">
        <v>10</v>
      </c>
      <c r="N6" s="13" t="s">
        <v>14</v>
      </c>
      <c r="O6" s="13"/>
    </row>
    <row r="7" spans="1:15">
      <c r="A7">
        <f>F2</f>
        <v>1500</v>
      </c>
      <c r="B7">
        <f>F3</f>
        <v>80</v>
      </c>
      <c r="C7" t="str">
        <f>F4</f>
        <v>a</v>
      </c>
      <c r="D7">
        <f>F5</f>
        <v>0.96924739680357896</v>
      </c>
      <c r="F7">
        <f t="shared" ref="F7:K12" si="1">_xlfn.LET(_xlpm.G_0,F$5,_xlpm.oldR_0,$A7,_xlpm.oldR_1,F$2,1/(1+10^((_xlpm.G_0*(_xlpm.oldR_0-_xlpm.oldR_1))/(-400))))</f>
        <v>0.5</v>
      </c>
      <c r="G7">
        <f t="shared" si="1"/>
        <v>0.5</v>
      </c>
      <c r="H7">
        <f t="shared" si="1"/>
        <v>0.5</v>
      </c>
      <c r="I7">
        <f t="shared" si="1"/>
        <v>0.5</v>
      </c>
      <c r="J7">
        <f t="shared" si="1"/>
        <v>0.5</v>
      </c>
      <c r="K7">
        <f t="shared" si="1"/>
        <v>0.5</v>
      </c>
    </row>
    <row r="8" spans="1:15">
      <c r="A8">
        <f>G2</f>
        <v>1500</v>
      </c>
      <c r="B8">
        <f>G3</f>
        <v>80</v>
      </c>
      <c r="C8" t="str">
        <f>G4</f>
        <v>a</v>
      </c>
      <c r="D8">
        <f>G5</f>
        <v>0.96924739680357896</v>
      </c>
      <c r="F8">
        <f t="shared" si="1"/>
        <v>0.5</v>
      </c>
      <c r="G8">
        <f t="shared" si="1"/>
        <v>0.5</v>
      </c>
      <c r="H8">
        <f t="shared" si="1"/>
        <v>0.5</v>
      </c>
      <c r="I8">
        <f t="shared" si="1"/>
        <v>0.5</v>
      </c>
      <c r="J8">
        <f t="shared" si="1"/>
        <v>0.5</v>
      </c>
      <c r="K8">
        <f t="shared" si="1"/>
        <v>0.5</v>
      </c>
    </row>
    <row r="9" spans="1:15">
      <c r="A9">
        <f>H2</f>
        <v>1500</v>
      </c>
      <c r="B9">
        <f>H3</f>
        <v>80</v>
      </c>
      <c r="C9" t="str">
        <f>H4</f>
        <v>a</v>
      </c>
      <c r="D9">
        <f>H5</f>
        <v>0.96924739680357896</v>
      </c>
      <c r="F9">
        <f t="shared" si="1"/>
        <v>0.5</v>
      </c>
      <c r="G9">
        <f t="shared" si="1"/>
        <v>0.5</v>
      </c>
      <c r="H9">
        <f t="shared" si="1"/>
        <v>0.5</v>
      </c>
      <c r="I9">
        <f t="shared" si="1"/>
        <v>0.5</v>
      </c>
      <c r="J9">
        <f t="shared" si="1"/>
        <v>0.5</v>
      </c>
      <c r="K9">
        <f t="shared" si="1"/>
        <v>0.5</v>
      </c>
    </row>
    <row r="10" spans="1:15">
      <c r="A10">
        <f>I2</f>
        <v>1500</v>
      </c>
      <c r="B10">
        <f>I3</f>
        <v>35</v>
      </c>
      <c r="C10" t="str">
        <f>I4</f>
        <v>a</v>
      </c>
      <c r="D10">
        <f>I5</f>
        <v>0.99388716630964002</v>
      </c>
      <c r="F10">
        <f t="shared" si="1"/>
        <v>0.5</v>
      </c>
      <c r="G10">
        <f t="shared" si="1"/>
        <v>0.5</v>
      </c>
      <c r="H10">
        <f t="shared" si="1"/>
        <v>0.5</v>
      </c>
      <c r="I10">
        <f t="shared" si="1"/>
        <v>0.5</v>
      </c>
      <c r="J10">
        <f t="shared" si="1"/>
        <v>0.5</v>
      </c>
      <c r="K10">
        <f t="shared" si="1"/>
        <v>0.5</v>
      </c>
    </row>
    <row r="11" spans="1:15">
      <c r="A11">
        <f>J2</f>
        <v>1500</v>
      </c>
      <c r="B11">
        <f>J3</f>
        <v>35</v>
      </c>
      <c r="C11" t="str">
        <f>J4</f>
        <v>a</v>
      </c>
      <c r="D11">
        <f>J5</f>
        <v>0.99388716630964002</v>
      </c>
      <c r="F11">
        <f t="shared" si="1"/>
        <v>0.5</v>
      </c>
      <c r="G11">
        <f t="shared" si="1"/>
        <v>0.5</v>
      </c>
      <c r="H11">
        <f t="shared" si="1"/>
        <v>0.5</v>
      </c>
      <c r="I11">
        <f t="shared" si="1"/>
        <v>0.5</v>
      </c>
      <c r="J11">
        <f t="shared" si="1"/>
        <v>0.5</v>
      </c>
      <c r="K11">
        <f t="shared" si="1"/>
        <v>0.5</v>
      </c>
    </row>
    <row r="12" spans="1:15">
      <c r="A12">
        <f>K2</f>
        <v>1500</v>
      </c>
      <c r="B12">
        <f>K3</f>
        <v>35</v>
      </c>
      <c r="C12" t="str">
        <f>K4</f>
        <v>a</v>
      </c>
      <c r="D12">
        <f>K5</f>
        <v>0.99388716630964002</v>
      </c>
      <c r="F12">
        <f t="shared" si="1"/>
        <v>0.5</v>
      </c>
      <c r="G12">
        <f t="shared" si="1"/>
        <v>0.5</v>
      </c>
      <c r="H12">
        <f t="shared" si="1"/>
        <v>0.5</v>
      </c>
      <c r="I12">
        <f t="shared" si="1"/>
        <v>0.5</v>
      </c>
      <c r="J12">
        <f t="shared" si="1"/>
        <v>0.5</v>
      </c>
      <c r="K12">
        <f t="shared" si="1"/>
        <v>0.5</v>
      </c>
    </row>
    <row r="15" spans="1:15">
      <c r="C15" s="9" t="s">
        <v>15</v>
      </c>
      <c r="D15" s="9"/>
      <c r="E15" t="s">
        <v>16</v>
      </c>
      <c r="F15">
        <f>(SUM($D$7:$D$12)-F5)/($O$1-1)</f>
        <v>0.98403125850721551</v>
      </c>
      <c r="G15">
        <f t="shared" ref="G15:K15" si="2">(SUM($D$7:$D$12)-G5)/($O$1-1)</f>
        <v>0.98403125850721551</v>
      </c>
      <c r="H15">
        <f t="shared" si="2"/>
        <v>0.98403125850721551</v>
      </c>
      <c r="I15">
        <f t="shared" si="2"/>
        <v>0.97910330460600326</v>
      </c>
      <c r="J15">
        <f t="shared" si="2"/>
        <v>0.97910330460600326</v>
      </c>
      <c r="K15">
        <f t="shared" si="2"/>
        <v>0.97910330460600326</v>
      </c>
    </row>
    <row r="16" spans="1:15">
      <c r="C16" s="9" t="s">
        <v>17</v>
      </c>
      <c r="D16" s="9"/>
      <c r="E16" t="s">
        <v>18</v>
      </c>
      <c r="F16" s="5">
        <f>SUM(F7:F12)+1-0.5</f>
        <v>3.5</v>
      </c>
      <c r="G16" s="5">
        <f t="shared" ref="G16:K16" si="3">SUM(G7:G12)+1-0.5</f>
        <v>3.5</v>
      </c>
      <c r="H16" s="5">
        <f t="shared" si="3"/>
        <v>3.5</v>
      </c>
      <c r="I16" s="5">
        <f t="shared" si="3"/>
        <v>3.5</v>
      </c>
      <c r="J16" s="5">
        <f t="shared" si="3"/>
        <v>3.5</v>
      </c>
      <c r="K16" s="5">
        <f t="shared" si="3"/>
        <v>3.5</v>
      </c>
    </row>
    <row r="17" spans="3:11">
      <c r="E17" t="s">
        <v>19</v>
      </c>
      <c r="F17" s="1">
        <f>_xlfn.LET(_xlpm.allp,$O$1,_xlpm.g,F15,_xlpm.e,F16,(_xlpm.g)^2*_xlpm.e*(_xlpm.allp-_xlpm.e+1)/_xlpm.allp/_xlpm.allp)</f>
        <v>0.32949693311281553</v>
      </c>
      <c r="G17" s="1">
        <f>_xlfn.LET(_xlpm.allp,$O$1,_xlpm.g,G15,_xlpm.e,G16,(_xlpm.g)^2*_xlpm.e*(_xlpm.allp-_xlpm.e+1)/_xlpm.allp/_xlpm.allp)</f>
        <v>0.32949693311281553</v>
      </c>
      <c r="H17" s="1">
        <f>_xlfn.LET(_xlpm.allp,$O$1,_xlpm.g,H15,_xlpm.e,H16,(_xlpm.g)^2*_xlpm.e*(_xlpm.allp-_xlpm.e+1)/_xlpm.allp/_xlpm.allp)</f>
        <v>0.32949693311281553</v>
      </c>
      <c r="I17" s="1">
        <f>_xlfn.LET(_xlpm.allp,$O$1,_xlpm.g,I15,_xlpm.e,I16,(_xlpm.g)^2*_xlpm.e*(_xlpm.allp-_xlpm.e+1)/_xlpm.allp/_xlpm.allp)</f>
        <v>0.32620500537103753</v>
      </c>
      <c r="J17" s="1">
        <f>_xlfn.LET(_xlpm.allp,$O$1,_xlpm.g,J15,_xlpm.e,J16,(_xlpm.g)^2*_xlpm.e*(_xlpm.allp-_xlpm.e+1)/_xlpm.allp/_xlpm.allp)</f>
        <v>0.32620500537103753</v>
      </c>
      <c r="K17" s="1">
        <f>_xlfn.LET(_xlpm.allp,$O$1,_xlpm.g,K15,_xlpm.e,K16,(_xlpm.g)^2*_xlpm.e*(_xlpm.allp-_xlpm.e+1)/_xlpm.allp/_xlpm.allp)</f>
        <v>0.32620500537103753</v>
      </c>
    </row>
    <row r="18" spans="3:11">
      <c r="C18" s="9" t="s">
        <v>20</v>
      </c>
      <c r="D18" s="9"/>
      <c r="E18" t="s">
        <v>21</v>
      </c>
      <c r="F18">
        <f>_xlfn.LET(_xlpm.sgma,SUM(F17),_xlpm.q,$O$2,(_xlpm.q^2*_xlpm.sgma)^(-1))</f>
        <v>91587.715966769581</v>
      </c>
      <c r="G18">
        <f>_xlfn.LET(_xlpm.sgma,SUM(G17),_xlpm.q,$O$2,(_xlpm.q^2*_xlpm.sgma)^(-1))</f>
        <v>91587.715966769581</v>
      </c>
      <c r="H18">
        <f>_xlfn.LET(_xlpm.sgma,SUM(H17),_xlpm.q,$O$2,(_xlpm.q^2*_xlpm.sgma)^(-1))</f>
        <v>91587.715966769581</v>
      </c>
      <c r="I18">
        <f>_xlfn.LET(_xlpm.sgma,SUM(I17),_xlpm.q,$O$2,(_xlpm.q^2*_xlpm.sgma)^(-1))</f>
        <v>92511.981805836505</v>
      </c>
      <c r="J18">
        <f>_xlfn.LET(_xlpm.sgma,SUM(J17),_xlpm.q,$O$2,(_xlpm.q^2*_xlpm.sgma)^(-1))</f>
        <v>92511.981805836505</v>
      </c>
      <c r="K18">
        <f>_xlfn.LET(_xlpm.sgma,SUM(K17),_xlpm.q,$O$2,(_xlpm.q^2*_xlpm.sgma)^(-1))</f>
        <v>92511.981805836505</v>
      </c>
    </row>
    <row r="19" spans="3:11">
      <c r="C19" s="8"/>
      <c r="D19" s="8"/>
      <c r="E19" t="s">
        <v>22</v>
      </c>
      <c r="F19" s="6">
        <f>_xlfn.LET(_xlpm.RD_0,$F$3,_xlpm.DD,F18,SQRT((1/(_xlpm.RD_0^2)+1/_xlpm.DD)^(-1)))</f>
        <v>77.343315287830961</v>
      </c>
      <c r="G19" s="6">
        <f>_xlfn.LET(_xlpm.RD_0,$F$3,_xlpm.DD,G18,SQRT((1/(_xlpm.RD_0^2)+1/_xlpm.DD)^(-1)))</f>
        <v>77.343315287830961</v>
      </c>
      <c r="H19" s="6">
        <f>_xlfn.LET(_xlpm.RD_0,$F$3,_xlpm.DD,H18,SQRT((1/(_xlpm.RD_0^2)+1/_xlpm.DD)^(-1)))</f>
        <v>77.343315287830961</v>
      </c>
      <c r="I19" s="6">
        <f>_xlfn.LET(_xlpm.RD_0,$F$3,_xlpm.DD,I18,SQRT((1/(_xlpm.RD_0^2)+1/_xlpm.DD)^(-1)))</f>
        <v>77.36856245492713</v>
      </c>
      <c r="J19" s="6">
        <f>_xlfn.LET(_xlpm.RD_0,$F$3,_xlpm.DD,J18,SQRT((1/(_xlpm.RD_0^2)+1/_xlpm.DD)^(-1)))</f>
        <v>77.36856245492713</v>
      </c>
      <c r="K19" s="6">
        <f>_xlfn.LET(_xlpm.RD_0,$F$3,_xlpm.DD,K18,SQRT((1/(_xlpm.RD_0^2)+1/_xlpm.DD)^(-1)))</f>
        <v>77.36856245492713</v>
      </c>
    </row>
    <row r="20" spans="3:11">
      <c r="C20" s="8"/>
      <c r="D20" s="8"/>
    </row>
    <row r="21" spans="3:11">
      <c r="C21" s="8"/>
      <c r="D21" s="8"/>
    </row>
    <row r="22" spans="3:11">
      <c r="C22" s="9" t="s">
        <v>23</v>
      </c>
      <c r="D22" s="9"/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3:11">
      <c r="C23" s="9" t="s">
        <v>24</v>
      </c>
      <c r="D23" s="9"/>
      <c r="E23" t="s">
        <v>25</v>
      </c>
      <c r="F23">
        <f>_xlfn.LET(_xlpm.RK,F22,_xlpm.Gtotal,F15,_xlpm.Etotal,F16,_xlpm.Gtotal*(_xlpm.Etotal-_xlpm.RK))</f>
        <v>2.4600781462680388</v>
      </c>
      <c r="G23">
        <f t="shared" ref="G23:K23" si="4">_xlfn.LET(_xlpm.RK,G22,_xlpm.Gtotal,G15,_xlpm.Etotal,G16,_xlpm.Gtotal*(_xlpm.Etotal-_xlpm.RK))</f>
        <v>2.4600781462680388</v>
      </c>
      <c r="H23">
        <f t="shared" si="4"/>
        <v>2.4600781462680388</v>
      </c>
      <c r="I23">
        <f t="shared" si="4"/>
        <v>2.4477582615150082</v>
      </c>
      <c r="J23">
        <f t="shared" si="4"/>
        <v>2.4477582615150082</v>
      </c>
      <c r="K23">
        <f t="shared" si="4"/>
        <v>2.4477582615150082</v>
      </c>
    </row>
    <row r="24" spans="3:11">
      <c r="E24" t="s">
        <v>26</v>
      </c>
      <c r="F24" s="6">
        <f>_xlfn.LET(_xlpm.RD_0,$F$3,_xlpm.QQ,$O$2,_xlpm.minisgmatt,F23,_xlpm.DD2tt,F18,_xlpm.QQ/((1/(_xlpm.RD_0^2))+(1/_xlpm.DD2tt))*SUM(_xlpm.minisgmatt))</f>
        <v>84.713020748455762</v>
      </c>
      <c r="G24" s="6">
        <f>_xlfn.LET(_xlpm.RD_0,$F$3,_xlpm.QQ,$O$2,_xlpm.minisgmatt,G23,_xlpm.DD2tt,G18,_xlpm.QQ/((1/(_xlpm.RD_0^2))+(1/_xlpm.DD2tt))*SUM(_xlpm.minisgmatt))</f>
        <v>84.713020748455762</v>
      </c>
      <c r="H24" s="6">
        <f>_xlfn.LET(_xlpm.RD_0,$F$3,_xlpm.QQ,$O$2,_xlpm.minisgmatt,H23,_xlpm.DD2tt,H18,_xlpm.QQ/((1/(_xlpm.RD_0^2))+(1/_xlpm.DD2tt))*SUM(_xlpm.minisgmatt))</f>
        <v>84.713020748455762</v>
      </c>
      <c r="I24" s="6">
        <f>_xlfn.LET(_xlpm.RD_0,$F$3,_xlpm.QQ,$O$2,_xlpm.minisgmatt,I23,_xlpm.DD2tt,I18,_xlpm.QQ/((1/(_xlpm.RD_0^2))+(1/_xlpm.DD2tt))*SUM(_xlpm.minisgmatt))</f>
        <v>84.343822098872351</v>
      </c>
      <c r="J24" s="6">
        <f>_xlfn.LET(_xlpm.RD_0,$F$3,_xlpm.QQ,$O$2,_xlpm.minisgmatt,J23,_xlpm.DD2tt,J18,_xlpm.QQ/((1/(_xlpm.RD_0^2))+(1/_xlpm.DD2tt))*SUM(_xlpm.minisgmatt))</f>
        <v>84.343822098872351</v>
      </c>
      <c r="K24" s="6">
        <f>_xlfn.LET(_xlpm.RD_0,$F$3,_xlpm.QQ,$O$2,_xlpm.minisgmatt,K23,_xlpm.DD2tt,K18,_xlpm.QQ/((1/(_xlpm.RD_0^2))+(1/_xlpm.DD2tt))*SUM(_xlpm.minisgmatt))</f>
        <v>84.343822098872351</v>
      </c>
    </row>
    <row r="25" spans="3:11">
      <c r="E25" t="s">
        <v>27</v>
      </c>
      <c r="F25" s="6">
        <f>F2+F24</f>
        <v>1584.7130207484558</v>
      </c>
      <c r="G25" s="6">
        <f>G2+G24</f>
        <v>1584.7130207484558</v>
      </c>
      <c r="H25" s="6">
        <f>H2+H24</f>
        <v>1584.7130207484558</v>
      </c>
      <c r="I25" s="6">
        <f>I2+I24</f>
        <v>1584.3438220988724</v>
      </c>
      <c r="J25" s="6">
        <f>J2+J24</f>
        <v>1584.3438220988724</v>
      </c>
      <c r="K25" s="6">
        <f>K2+K24</f>
        <v>1584.3438220988724</v>
      </c>
    </row>
    <row r="27" spans="3:11">
      <c r="C27" s="9" t="s">
        <v>28</v>
      </c>
      <c r="D27" s="9"/>
      <c r="F27">
        <f>$O$1</f>
        <v>6</v>
      </c>
      <c r="G27">
        <f t="shared" ref="G27:K27" si="5">$O$1</f>
        <v>6</v>
      </c>
      <c r="H27">
        <f t="shared" si="5"/>
        <v>6</v>
      </c>
      <c r="I27">
        <f t="shared" si="5"/>
        <v>6</v>
      </c>
      <c r="J27">
        <f t="shared" si="5"/>
        <v>6</v>
      </c>
      <c r="K27">
        <f t="shared" si="5"/>
        <v>6</v>
      </c>
    </row>
    <row r="28" spans="3:11">
      <c r="C28" s="9" t="s">
        <v>24</v>
      </c>
      <c r="D28" s="9"/>
      <c r="E28" t="s">
        <v>25</v>
      </c>
      <c r="F28">
        <f>_xlfn.LET(_xlpm.RK,F27,_xlpm.Gtotal,F15,_xlpm.Etotal,F16,_xlpm.Gtotal*(_xlpm.Etotal-_xlpm.RK))</f>
        <v>-2.4600781462680388</v>
      </c>
      <c r="G28">
        <f t="shared" ref="G28:K28" si="6">_xlfn.LET(_xlpm.RK,G27,_xlpm.Gtotal,G15,_xlpm.Etotal,G16,_xlpm.Gtotal*(_xlpm.Etotal-_xlpm.RK))</f>
        <v>-2.4600781462680388</v>
      </c>
      <c r="H28">
        <f t="shared" si="6"/>
        <v>-2.4600781462680388</v>
      </c>
      <c r="I28">
        <f t="shared" si="6"/>
        <v>-2.4477582615150082</v>
      </c>
      <c r="J28">
        <f t="shared" si="6"/>
        <v>-2.4477582615150082</v>
      </c>
      <c r="K28">
        <f t="shared" si="6"/>
        <v>-2.4477582615150082</v>
      </c>
    </row>
    <row r="29" spans="3:11">
      <c r="E29" t="s">
        <v>26</v>
      </c>
      <c r="F29" s="6">
        <f>_xlfn.LET(_xlpm.RD_0,$F$3,_xlpm.QQ,$O$2,_xlpm.minisgmatt,F28,_xlpm.DD2tt,F18,_xlpm.QQ/((1/(_xlpm.RD_0^2))+(1/_xlpm.DD2tt))*SUM(_xlpm.minisgmatt))</f>
        <v>-84.713020748455762</v>
      </c>
      <c r="G29" s="6">
        <f t="shared" ref="G29:K29" si="7">_xlfn.LET(_xlpm.RD_0,$F$3,_xlpm.QQ,$O$2,_xlpm.minisgmatt,G28,_xlpm.DD2tt,G18,_xlpm.QQ/((1/(_xlpm.RD_0^2))+(1/_xlpm.DD2tt))*SUM(_xlpm.minisgmatt))</f>
        <v>-84.713020748455762</v>
      </c>
      <c r="H29" s="6">
        <f t="shared" si="7"/>
        <v>-84.713020748455762</v>
      </c>
      <c r="I29" s="6">
        <f t="shared" si="7"/>
        <v>-84.343822098872351</v>
      </c>
      <c r="J29" s="6">
        <f t="shared" si="7"/>
        <v>-84.343822098872351</v>
      </c>
      <c r="K29" s="6">
        <f t="shared" si="7"/>
        <v>-84.343822098872351</v>
      </c>
    </row>
    <row r="30" spans="3:11">
      <c r="E30" t="s">
        <v>27</v>
      </c>
      <c r="F30" s="6">
        <f>F2+F29</f>
        <v>1415.2869792515442</v>
      </c>
      <c r="G30" s="6">
        <f t="shared" ref="G30:K30" si="8">G2+G29</f>
        <v>1415.2869792515442</v>
      </c>
      <c r="H30" s="6">
        <f t="shared" si="8"/>
        <v>1415.2869792515442</v>
      </c>
      <c r="I30" s="6">
        <f t="shared" si="8"/>
        <v>1415.6561779011276</v>
      </c>
      <c r="J30" s="6">
        <f t="shared" si="8"/>
        <v>1415.6561779011276</v>
      </c>
      <c r="K30" s="6">
        <f t="shared" si="8"/>
        <v>1415.6561779011276</v>
      </c>
    </row>
  </sheetData>
  <mergeCells count="11">
    <mergeCell ref="C16:D16"/>
    <mergeCell ref="N3:O3"/>
    <mergeCell ref="N4:O4"/>
    <mergeCell ref="N5:O5"/>
    <mergeCell ref="N6:O6"/>
    <mergeCell ref="C15:D15"/>
    <mergeCell ref="C23:D23"/>
    <mergeCell ref="C18:D18"/>
    <mergeCell ref="C22:D22"/>
    <mergeCell ref="C27:D27"/>
    <mergeCell ref="C28:D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B6" sqref="B6"/>
    </sheetView>
  </sheetViews>
  <sheetFormatPr defaultRowHeight="16.5" customHeight="1"/>
  <cols>
    <col min="2" max="2" width="11.875" bestFit="1" customWidth="1"/>
    <col min="4" max="4" width="12.25" bestFit="1" customWidth="1"/>
    <col min="5" max="5" width="11.875" bestFit="1" customWidth="1"/>
    <col min="6" max="6" width="10.875" bestFit="1" customWidth="1"/>
  </cols>
  <sheetData>
    <row r="1" spans="1:18" ht="15.95" customHeight="1">
      <c r="B1" t="s">
        <v>0</v>
      </c>
      <c r="D1" t="s">
        <v>1</v>
      </c>
    </row>
    <row r="2" spans="1:18">
      <c r="A2" t="s">
        <v>5</v>
      </c>
      <c r="B2">
        <v>80</v>
      </c>
      <c r="D2">
        <v>80</v>
      </c>
      <c r="E2">
        <v>100</v>
      </c>
      <c r="F2">
        <v>300</v>
      </c>
      <c r="Q2" t="s">
        <v>29</v>
      </c>
      <c r="R2">
        <v>1</v>
      </c>
    </row>
    <row r="3" spans="1:18">
      <c r="A3" t="s">
        <v>3</v>
      </c>
      <c r="B3">
        <v>1500</v>
      </c>
      <c r="D3">
        <v>1500</v>
      </c>
      <c r="E3">
        <v>1550</v>
      </c>
      <c r="F3">
        <v>1700</v>
      </c>
      <c r="Q3" t="s">
        <v>30</v>
      </c>
      <c r="R3">
        <v>350</v>
      </c>
    </row>
    <row r="4" spans="1:18">
      <c r="A4" t="s">
        <v>31</v>
      </c>
      <c r="B4">
        <v>0</v>
      </c>
      <c r="D4">
        <v>0</v>
      </c>
      <c r="E4">
        <v>0</v>
      </c>
      <c r="F4">
        <v>0</v>
      </c>
      <c r="Q4" t="s">
        <v>32</v>
      </c>
      <c r="R4">
        <v>350</v>
      </c>
    </row>
    <row r="5" spans="1:18">
      <c r="A5" t="s">
        <v>33</v>
      </c>
      <c r="D5">
        <v>1</v>
      </c>
      <c r="E5">
        <v>0</v>
      </c>
      <c r="F5">
        <v>0</v>
      </c>
    </row>
    <row r="6" spans="1:18">
      <c r="Q6" t="s">
        <v>34</v>
      </c>
      <c r="R6">
        <v>3</v>
      </c>
    </row>
    <row r="7" spans="1:18" ht="16.5" customHeight="1">
      <c r="A7" t="s">
        <v>34</v>
      </c>
      <c r="B7">
        <f>SQRT(($R$4^2-B2^2)/$R$8)</f>
        <v>34.073450074801642</v>
      </c>
      <c r="D7">
        <f t="shared" ref="D7:O7" si="0">$R$6</f>
        <v>3</v>
      </c>
      <c r="E7">
        <f t="shared" si="0"/>
        <v>3</v>
      </c>
      <c r="F7">
        <f t="shared" si="0"/>
        <v>3</v>
      </c>
      <c r="G7">
        <f t="shared" si="0"/>
        <v>3</v>
      </c>
      <c r="H7">
        <f t="shared" si="0"/>
        <v>3</v>
      </c>
      <c r="I7">
        <f t="shared" si="0"/>
        <v>3</v>
      </c>
      <c r="J7">
        <f t="shared" si="0"/>
        <v>3</v>
      </c>
      <c r="K7">
        <f t="shared" si="0"/>
        <v>3</v>
      </c>
      <c r="L7">
        <f t="shared" si="0"/>
        <v>3</v>
      </c>
      <c r="M7">
        <f t="shared" si="0"/>
        <v>3</v>
      </c>
      <c r="N7">
        <f t="shared" si="0"/>
        <v>3</v>
      </c>
      <c r="O7">
        <f t="shared" si="0"/>
        <v>3</v>
      </c>
      <c r="Q7" t="s">
        <v>35</v>
      </c>
      <c r="R7">
        <v>1500</v>
      </c>
    </row>
    <row r="8" spans="1:18" ht="16.5" customHeight="1">
      <c r="A8" t="s">
        <v>36</v>
      </c>
      <c r="B8">
        <f>MIN($R$4,SQRT(B2^2+B7^2*B4))</f>
        <v>80</v>
      </c>
      <c r="D8">
        <f>MIN($R$4,SQRT(D2^2+D7^2*D4))</f>
        <v>80</v>
      </c>
      <c r="E8">
        <f t="shared" ref="E8:O8" si="1">MIN($R$4,SQRT(E2^2+E7^2*E4))</f>
        <v>100</v>
      </c>
      <c r="F8">
        <f t="shared" si="1"/>
        <v>300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Q8" t="s">
        <v>37</v>
      </c>
      <c r="R8">
        <v>100</v>
      </c>
    </row>
    <row r="10" spans="1:18" ht="16.5" customHeight="1">
      <c r="A10" t="s">
        <v>4</v>
      </c>
      <c r="B10">
        <f>LN(10)/400</f>
        <v>5.7564627324851146E-3</v>
      </c>
    </row>
    <row r="11" spans="1:18" ht="16.5" customHeight="1">
      <c r="A11" t="s">
        <v>38</v>
      </c>
      <c r="D11" cm="1">
        <f t="array" ref="D11">_xlfn.LET(_xlpm.RD_1,D8,_xlpm.QQ,$B$10,1/(SQRT(1+3*_xlpm.QQ^2*(_xlpm.RD_1^2)/PI()^2)))</f>
        <v>0.96924739680357896</v>
      </c>
      <c r="E11" cm="1">
        <f t="array" ref="E11">_xlfn.LET(_xlpm.RD_1,E8,_xlpm.QQ,$B$10,1/(SQRT(1+3*_xlpm.QQ^2*(_xlpm.RD_1^2)/PI()^2)))</f>
        <v>0.953148974234587</v>
      </c>
      <c r="F11" cm="1">
        <f t="array" ref="F11">_xlfn.LET(_xlpm.RD_1,F8,_xlpm.QQ,$B$10,1/(SQRT(1+3*_xlpm.QQ^2*(_xlpm.RD_1^2)/PI()^2)))</f>
        <v>0.72423546373844339</v>
      </c>
      <c r="G11" cm="1">
        <f t="array" ref="G11">_xlfn.LET(_xlpm.RD_1,G8,_xlpm.QQ,$B$10,1/(SQRT(1+3*_xlpm.QQ^2*(_xlpm.RD_1^2)/PI()^2)))</f>
        <v>1</v>
      </c>
      <c r="H11" cm="1">
        <f t="array" ref="H11">_xlfn.LET(_xlpm.RD_1,H8,_xlpm.QQ,$B$10,1/(SQRT(1+3*_xlpm.QQ^2*(_xlpm.RD_1^2)/PI()^2)))</f>
        <v>1</v>
      </c>
      <c r="I11" cm="1">
        <f t="array" ref="I11">_xlfn.LET(_xlpm.RD_1,I8,_xlpm.QQ,$B$10,1/(SQRT(1+3*_xlpm.QQ^2*(_xlpm.RD_1^2)/PI()^2)))</f>
        <v>1</v>
      </c>
      <c r="J11" cm="1">
        <f t="array" ref="J11">_xlfn.LET(_xlpm.RD_1,J8,_xlpm.QQ,$B$10,1/(SQRT(1+3*_xlpm.QQ^2*(_xlpm.RD_1^2)/PI()^2)))</f>
        <v>1</v>
      </c>
      <c r="K11" cm="1">
        <f t="array" ref="K11">_xlfn.LET(_xlpm.RD_1,K8,_xlpm.QQ,$B$10,1/(SQRT(1+3*_xlpm.QQ^2*(_xlpm.RD_1^2)/PI()^2)))</f>
        <v>1</v>
      </c>
      <c r="L11" cm="1">
        <f t="array" ref="L11">_xlfn.LET(_xlpm.RD_1,L8,_xlpm.QQ,$B$10,1/(SQRT(1+3*_xlpm.QQ^2*(_xlpm.RD_1^2)/PI()^2)))</f>
        <v>1</v>
      </c>
      <c r="M11" cm="1">
        <f t="array" ref="M11">_xlfn.LET(_xlpm.RD_1,M8,_xlpm.QQ,$B$10,1/(SQRT(1+3*_xlpm.QQ^2*(_xlpm.RD_1^2)/PI()^2)))</f>
        <v>1</v>
      </c>
      <c r="N11" cm="1">
        <f t="array" ref="N11">_xlfn.LET(_xlpm.RD_1,N8,_xlpm.QQ,$B$10,1/(SQRT(1+3*_xlpm.QQ^2*(_xlpm.RD_1^2)/PI()^2)))</f>
        <v>1</v>
      </c>
      <c r="O11" cm="1">
        <f t="array" ref="O11">_xlfn.LET(_xlpm.RD_1,O8,_xlpm.QQ,$B$10,1/(SQRT(1+3*_xlpm.QQ^2*(_xlpm.RD_1^2)/PI()^2)))</f>
        <v>1</v>
      </c>
    </row>
    <row r="12" spans="1:18" ht="16.5" customHeight="1">
      <c r="A12" t="s">
        <v>39</v>
      </c>
      <c r="D12" cm="1">
        <f t="array" ref="D12">_xlfn.LET(_xlpm.G_0,D11,_xlpm.countRD_1,D8,_xlpm.oldR_0,$B$3,_xlpm.oldR_1,D3,1/(1+10^((_xlpm.G_0*(_xlpm.oldR_0-_xlpm.oldR_1))/(-400))))</f>
        <v>0.5</v>
      </c>
      <c r="E12" cm="1">
        <f t="array" ref="E12">_xlfn.LET(_xlpm.G_0,E11,_xlpm.countRD_1,E8,_xlpm.oldR_0,$B$3,_xlpm.oldR_1,E3,1/(1+10^((_xlpm.G_0*(_xlpm.oldR_0-_xlpm.oldR_1))/(-400))))</f>
        <v>0.43184235355955686</v>
      </c>
      <c r="F12" cm="1">
        <f t="array" ref="F12">_xlfn.LET(_xlpm.G_0,F11,_xlpm.countRD_1,F8,_xlpm.oldR_0,$B$3,_xlpm.oldR_1,F3,1/(1+10^((_xlpm.G_0*(_xlpm.oldR_0-_xlpm.oldR_1))/(-400))))</f>
        <v>0.30284072524764</v>
      </c>
      <c r="G12" cm="1">
        <f t="array" ref="G12">_xlfn.LET(_xlpm.G_0,G11,_xlpm.countRD_1,G8,_xlpm.oldR_0,$B$3,_xlpm.oldR_1,G3,1/(1+10^((_xlpm.G_0*(_xlpm.oldR_0-_xlpm.oldR_1))/(-400))))</f>
        <v>0.99982220367615038</v>
      </c>
      <c r="H12" cm="1">
        <f t="array" ref="H12">_xlfn.LET(_xlpm.G_0,H11,_xlpm.countRD_1,H8,_xlpm.oldR_0,$B$3,_xlpm.oldR_1,H3,1/(1+10^((_xlpm.G_0*(_xlpm.oldR_0-_xlpm.oldR_1))/(-400))))</f>
        <v>0.99982220367615038</v>
      </c>
      <c r="I12" cm="1">
        <f t="array" ref="I12">_xlfn.LET(_xlpm.G_0,I11,_xlpm.countRD_1,I8,_xlpm.oldR_0,$B$3,_xlpm.oldR_1,I3,1/(1+10^((_xlpm.G_0*(_xlpm.oldR_0-_xlpm.oldR_1))/(-400))))</f>
        <v>0.99982220367615038</v>
      </c>
      <c r="J12" cm="1">
        <f t="array" ref="J12">_xlfn.LET(_xlpm.G_0,J11,_xlpm.countRD_1,J8,_xlpm.oldR_0,$B$3,_xlpm.oldR_1,J3,1/(1+10^((_xlpm.G_0*(_xlpm.oldR_0-_xlpm.oldR_1))/(-400))))</f>
        <v>0.99982220367615038</v>
      </c>
      <c r="K12" cm="1">
        <f t="array" ref="K12">_xlfn.LET(_xlpm.G_0,K11,_xlpm.countRD_1,K8,_xlpm.oldR_0,$B$3,_xlpm.oldR_1,K3,1/(1+10^((_xlpm.G_0*(_xlpm.oldR_0-_xlpm.oldR_1))/(-400))))</f>
        <v>0.99982220367615038</v>
      </c>
      <c r="L12" cm="1">
        <f t="array" ref="L12">_xlfn.LET(_xlpm.G_0,L11,_xlpm.countRD_1,L8,_xlpm.oldR_0,$B$3,_xlpm.oldR_1,L3,1/(1+10^((_xlpm.G_0*(_xlpm.oldR_0-_xlpm.oldR_1))/(-400))))</f>
        <v>0.99982220367615038</v>
      </c>
      <c r="M12" cm="1">
        <f t="array" ref="M12">_xlfn.LET(_xlpm.G_0,M11,_xlpm.countRD_1,M8,_xlpm.oldR_0,$B$3,_xlpm.oldR_1,M3,1/(1+10^((_xlpm.G_0*(_xlpm.oldR_0-_xlpm.oldR_1))/(-400))))</f>
        <v>0.99982220367615038</v>
      </c>
      <c r="N12" cm="1">
        <f t="array" ref="N12">_xlfn.LET(_xlpm.G_0,N11,_xlpm.countRD_1,N8,_xlpm.oldR_0,$B$3,_xlpm.oldR_1,N3,1/(1+10^((_xlpm.G_0*(_xlpm.oldR_0-_xlpm.oldR_1))/(-400))))</f>
        <v>0.99982220367615038</v>
      </c>
      <c r="O12" cm="1">
        <f t="array" ref="O12">_xlfn.LET(_xlpm.G_0,O11,_xlpm.countRD_1,O8,_xlpm.oldR_0,$B$3,_xlpm.oldR_1,O3,1/(1+10^((_xlpm.G_0*(_xlpm.oldR_0-_xlpm.oldR_1))/(-400))))</f>
        <v>0.99982220367615038</v>
      </c>
    </row>
    <row r="13" spans="1:18" ht="16.5" customHeight="1">
      <c r="A13" t="s">
        <v>40</v>
      </c>
      <c r="D13" cm="1">
        <f t="array" ref="D13">_xlfn.LET(_xlpm.WL,D5,_xlpm.GG,D11,_xlpm.EE,D12,_xlpm.GG*(_xlpm.WL-_xlpm.EE))</f>
        <v>0.48462369840178948</v>
      </c>
      <c r="E13" cm="1">
        <f t="array" ref="E13">_xlfn.LET(_xlpm.WL,E5,_xlpm.GG,E11,_xlpm.EE,E12,_xlpm.GG*(_xlpm.WL-_xlpm.EE))</f>
        <v>-0.41161009632634149</v>
      </c>
      <c r="F13" cm="1">
        <f t="array" ref="F13">_xlfn.LET(_xlpm.WL,F5,_xlpm.GG,F11,_xlpm.EE,F12,_xlpm.GG*(_xlpm.WL-_xlpm.EE))</f>
        <v>-0.21932799308861106</v>
      </c>
      <c r="G13" cm="1">
        <f t="array" ref="G13">_xlfn.LET(_xlpm.WL,G5,_xlpm.GG,G11,_xlpm.EE,G12,_xlpm.GG*(_xlpm.WL-_xlpm.EE))</f>
        <v>-0.99982220367615038</v>
      </c>
      <c r="H13" cm="1">
        <f t="array" ref="H13">_xlfn.LET(_xlpm.WL,H5,_xlpm.GG,H11,_xlpm.EE,H12,_xlpm.GG*(_xlpm.WL-_xlpm.EE))</f>
        <v>-0.99982220367615038</v>
      </c>
      <c r="I13" cm="1">
        <f t="array" ref="I13">_xlfn.LET(_xlpm.WL,I5,_xlpm.GG,I11,_xlpm.EE,I12,_xlpm.GG*(_xlpm.WL-_xlpm.EE))</f>
        <v>-0.99982220367615038</v>
      </c>
      <c r="J13" cm="1">
        <f t="array" ref="J13">_xlfn.LET(_xlpm.WL,J5,_xlpm.GG,J11,_xlpm.EE,J12,_xlpm.GG*(_xlpm.WL-_xlpm.EE))</f>
        <v>-0.99982220367615038</v>
      </c>
      <c r="K13" cm="1">
        <f t="array" ref="K13">_xlfn.LET(_xlpm.WL,K5,_xlpm.GG,K11,_xlpm.EE,K12,_xlpm.GG*(_xlpm.WL-_xlpm.EE))</f>
        <v>-0.99982220367615038</v>
      </c>
      <c r="L13" cm="1">
        <f t="array" ref="L13">_xlfn.LET(_xlpm.WL,L5,_xlpm.GG,L11,_xlpm.EE,L12,_xlpm.GG*(_xlpm.WL-_xlpm.EE))</f>
        <v>-0.99982220367615038</v>
      </c>
      <c r="M13" cm="1">
        <f t="array" ref="M13">_xlfn.LET(_xlpm.WL,M5,_xlpm.GG,M11,_xlpm.EE,M12,_xlpm.GG*(_xlpm.WL-_xlpm.EE))</f>
        <v>-0.99982220367615038</v>
      </c>
      <c r="N13" cm="1">
        <f t="array" ref="N13">_xlfn.LET(_xlpm.WL,N5,_xlpm.GG,N11,_xlpm.EE,N12,_xlpm.GG*(_xlpm.WL-_xlpm.EE))</f>
        <v>-0.99982220367615038</v>
      </c>
      <c r="O13" cm="1">
        <f t="array" ref="O13">_xlfn.LET(_xlpm.WL,O5,_xlpm.GG,O11,_xlpm.EE,O12,_xlpm.GG*(_xlpm.WL-_xlpm.EE))</f>
        <v>-0.99982220367615038</v>
      </c>
    </row>
    <row r="14" spans="1:18" ht="16.5" customHeight="1">
      <c r="A14" t="s">
        <v>41</v>
      </c>
      <c r="D14" cm="1">
        <f t="array" ref="D14">_xlfn.LET(_xlpm.g,D11,_xlpm.e,D12,(_xlpm.g)^2*_xlpm.e*(1-_xlpm.e))</f>
        <v>0.23486012905262862</v>
      </c>
      <c r="E14" cm="1">
        <f t="array" ref="E14">_xlfn.LET(_xlpm.g,E11,_xlpm.e,E12,(_xlpm.g)^2*_xlpm.e*(1-_xlpm.e))</f>
        <v>0.22290286970027182</v>
      </c>
      <c r="F14" cm="1">
        <f t="array" ref="F14">_xlfn.LET(_xlpm.g,F11,_xlpm.e,F12,(_xlpm.g)^2*_xlpm.e*(1-_xlpm.e))</f>
        <v>0.11074034223307451</v>
      </c>
      <c r="G14" cm="1">
        <f t="array" ref="G14">_xlfn.LET(_xlpm.g,G11,_xlpm.e,G12,(_xlpm.g)^2*_xlpm.e*(1-_xlpm.e))</f>
        <v>1.7776471231684718E-4</v>
      </c>
      <c r="H14" cm="1">
        <f t="array" ref="H14">_xlfn.LET(_xlpm.g,H11,_xlpm.e,H12,(_xlpm.g)^2*_xlpm.e*(1-_xlpm.e))</f>
        <v>1.7776471231684718E-4</v>
      </c>
      <c r="I14" cm="1">
        <f t="array" ref="I14">_xlfn.LET(_xlpm.g,I11,_xlpm.e,I12,(_xlpm.g)^2*_xlpm.e*(1-_xlpm.e))</f>
        <v>1.7776471231684718E-4</v>
      </c>
      <c r="J14" cm="1">
        <f t="array" ref="J14">_xlfn.LET(_xlpm.g,J11,_xlpm.e,J12,(_xlpm.g)^2*_xlpm.e*(1-_xlpm.e))</f>
        <v>1.7776471231684718E-4</v>
      </c>
      <c r="K14" cm="1">
        <f t="array" ref="K14">_xlfn.LET(_xlpm.g,K11,_xlpm.e,K12,(_xlpm.g)^2*_xlpm.e*(1-_xlpm.e))</f>
        <v>1.7776471231684718E-4</v>
      </c>
      <c r="L14" cm="1">
        <f t="array" ref="L14">_xlfn.LET(_xlpm.g,L11,_xlpm.e,L12,(_xlpm.g)^2*_xlpm.e*(1-_xlpm.e))</f>
        <v>1.7776471231684718E-4</v>
      </c>
      <c r="M14" cm="1">
        <f t="array" ref="M14">_xlfn.LET(_xlpm.g,M11,_xlpm.e,M12,(_xlpm.g)^2*_xlpm.e*(1-_xlpm.e))</f>
        <v>1.7776471231684718E-4</v>
      </c>
      <c r="N14" cm="1">
        <f t="array" ref="N14">_xlfn.LET(_xlpm.g,N11,_xlpm.e,N12,(_xlpm.g)^2*_xlpm.e*(1-_xlpm.e))</f>
        <v>1.7776471231684718E-4</v>
      </c>
      <c r="O14" cm="1">
        <f t="array" ref="O14">_xlfn.LET(_xlpm.g,O11,_xlpm.e,O12,(_xlpm.g)^2*_xlpm.e*(1-_xlpm.e))</f>
        <v>1.7776471231684718E-4</v>
      </c>
    </row>
    <row r="15" spans="1:18" ht="16.5" customHeight="1">
      <c r="C15" t="s">
        <v>42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</row>
    <row r="16" spans="1:18" ht="16.5" customHeight="1">
      <c r="A16" t="s">
        <v>43</v>
      </c>
      <c r="D16" cm="1">
        <f t="array" ref="D16">_xlfn.LET(_xlpm.sgma,SUM($D$14:D14),_xlpm.q,$B$10,(_xlpm.q^2*_xlpm.sgma)^(-1))</f>
        <v>128492.95299116443</v>
      </c>
      <c r="E16" cm="1">
        <f t="array" ref="E16">_xlfn.LET(_xlpm.sgma,SUM($D$14:E14),_xlpm.q,$B$10,(_xlpm.q^2*_xlpm.sgma)^(-1))</f>
        <v>65924.663207976264</v>
      </c>
      <c r="F16" cm="1">
        <f t="array" ref="F16">_xlfn.LET(_xlpm.sgma,SUM($D$14:F14),_xlpm.q,$B$10,(_xlpm.q^2*_xlpm.sgma)^(-1))</f>
        <v>53083.015254615202</v>
      </c>
      <c r="G16" cm="1">
        <f t="array" ref="G16">_xlfn.LET(_xlpm.sgma,SUM($D$14:G14),_xlpm.q,$B$10,(_xlpm.q^2*_xlpm.sgma)^(-1))</f>
        <v>53066.421970890646</v>
      </c>
      <c r="H16" cm="1">
        <f t="array" ref="H16">_xlfn.LET(_xlpm.sgma,SUM($D$14:H14),_xlpm.q,$B$10,(_xlpm.q^2*_xlpm.sgma)^(-1))</f>
        <v>53049.839057753445</v>
      </c>
      <c r="I16" cm="1">
        <f t="array" ref="I16">_xlfn.LET(_xlpm.sgma,SUM($D$14:I14),_xlpm.q,$B$10,(_xlpm.q^2*_xlpm.sgma)^(-1))</f>
        <v>53033.26650548444</v>
      </c>
      <c r="J16" cm="1">
        <f t="array" ref="J16">_xlfn.LET(_xlpm.sgma,SUM($D$14:J14),_xlpm.q,$B$10,(_xlpm.q^2*_xlpm.sgma)^(-1))</f>
        <v>53016.704304376552</v>
      </c>
      <c r="K16" cm="1">
        <f t="array" ref="K16">_xlfn.LET(_xlpm.sgma,SUM($D$14:K14),_xlpm.q,$B$10,(_xlpm.q^2*_xlpm.sgma)^(-1))</f>
        <v>53000.152444734878</v>
      </c>
      <c r="L16" cm="1">
        <f t="array" ref="L16">_xlfn.LET(_xlpm.sgma,SUM($D$14:L14),_xlpm.q,$B$10,(_xlpm.q^2*_xlpm.sgma)^(-1))</f>
        <v>52983.610916876605</v>
      </c>
      <c r="M16" cm="1">
        <f t="array" ref="M16">_xlfn.LET(_xlpm.sgma,SUM($D$14:M14),_xlpm.q,$B$10,(_xlpm.q^2*_xlpm.sgma)^(-1))</f>
        <v>52967.07971113098</v>
      </c>
      <c r="N16" cm="1">
        <f t="array" ref="N16">_xlfn.LET(_xlpm.sgma,SUM($D$14:N14),_xlpm.q,$B$10,(_xlpm.q^2*_xlpm.sgma)^(-1))</f>
        <v>52950.558817839345</v>
      </c>
      <c r="O16" cm="1">
        <f t="array" ref="O16">_xlfn.LET(_xlpm.sgma,SUM($D$14:O14),_xlpm.q,$B$10,(_xlpm.q^2*_xlpm.sgma)^(-1))</f>
        <v>52934.048227355066</v>
      </c>
    </row>
    <row r="18" spans="1:15" ht="16.5" customHeight="1">
      <c r="A18" t="s">
        <v>44</v>
      </c>
      <c r="D18" cm="1">
        <f t="array" ref="D18">_xlfn.LET(_xlpm.R_0,$B$3,_xlpm.RD_0,$B$8,_xlpm.QQ,$B$10,_xlpm.minisgmatt,$D$13:D$13,_xlpm.DD2tt,D16,_xlpm.R_0+_xlpm.QQ/((1/(_xlpm.RD_0^2))+(1/_xlpm.DD2tt))*SUM(_xlpm.minisgmatt))</f>
        <v>1517.0071039795159</v>
      </c>
      <c r="E18" cm="1">
        <f t="array" ref="E18">_xlfn.LET(_xlpm.R_0,$B$3,_xlpm.RD_0,$B$8,_xlpm.QQ,$B$10,_xlpm.minisgmatt,$D$13:E$13,_xlpm.DD2tt,E16,_xlpm.R_0+_xlpm.QQ/((1/(_xlpm.RD_0^2))+(1/_xlpm.DD2tt))*SUM(_xlpm.minisgmatt))</f>
        <v>1502.4518897932444</v>
      </c>
      <c r="F18" cm="1">
        <f t="array" ref="F18">_xlfn.LET(_xlpm.R_0,$B$3,_xlpm.RD_0,$B$8,_xlpm.QQ,$B$10,_xlpm.minisgmatt,$D$13:F$13,_xlpm.DD2tt,F16,_xlpm.R_0+_xlpm.QQ/((1/(_xlpm.RD_0^2))+(1/_xlpm.DD2tt))*SUM(_xlpm.minisgmatt))</f>
        <v>1495.1895542181539</v>
      </c>
      <c r="G18" cm="1">
        <f t="array" ref="G18">_xlfn.LET(_xlpm.R_0,$B$3,_xlpm.RD_0,$B$8,_xlpm.QQ,$B$10,_xlpm.minisgmatt,$D$13:G$13,_xlpm.DD2tt,G16,_xlpm.R_0+_xlpm.QQ/((1/(_xlpm.RD_0^2))+(1/_xlpm.DD2tt))*SUM(_xlpm.minisgmatt))</f>
        <v>1462.3192057521287</v>
      </c>
      <c r="H18" cm="1">
        <f t="array" ref="H18">_xlfn.LET(_xlpm.R_0,$B$3,_xlpm.RD_0,$B$8,_xlpm.QQ,$B$10,_xlpm.minisgmatt,$D$13:H$13,_xlpm.DD2tt,H16,_xlpm.R_0+_xlpm.QQ/((1/(_xlpm.RD_0^2))+(1/_xlpm.DD2tt))*SUM(_xlpm.minisgmatt))</f>
        <v>1429.4510688760872</v>
      </c>
      <c r="I18" cm="1">
        <f t="array" ref="I18">_xlfn.LET(_xlpm.R_0,$B$3,_xlpm.RD_0,$B$8,_xlpm.QQ,$B$10,_xlpm.minisgmatt,$D$13:I$13,_xlpm.DD2tt,I16,_xlpm.R_0+_xlpm.QQ/((1/(_xlpm.RD_0^2))+(1/_xlpm.DD2tt))*SUM(_xlpm.minisgmatt))</f>
        <v>1396.5851433668358</v>
      </c>
      <c r="J18" cm="1">
        <f t="array" ref="J18">_xlfn.LET(_xlpm.R_0,$B$3,_xlpm.RD_0,$B$8,_xlpm.QQ,$B$10,_xlpm.minisgmatt,$D$13:J$13,_xlpm.DD2tt,J16,_xlpm.R_0+_xlpm.QQ/((1/(_xlpm.RD_0^2))+(1/_xlpm.DD2tt))*SUM(_xlpm.minisgmatt))</f>
        <v>1363.7214290012109</v>
      </c>
      <c r="K18" cm="1">
        <f t="array" ref="K18">_xlfn.LET(_xlpm.R_0,$B$3,_xlpm.RD_0,$B$8,_xlpm.QQ,$B$10,_xlpm.minisgmatt,$D$13:K$13,_xlpm.DD2tt,K16,_xlpm.R_0+_xlpm.QQ/((1/(_xlpm.RD_0^2))+(1/_xlpm.DD2tt))*SUM(_xlpm.minisgmatt))</f>
        <v>1330.8599255560796</v>
      </c>
      <c r="L18" cm="1">
        <f t="array" ref="L18">_xlfn.LET(_xlpm.R_0,$B$3,_xlpm.RD_0,$B$8,_xlpm.QQ,$B$10,_xlpm.minisgmatt,$D$13:L$13,_xlpm.DD2tt,L16,_xlpm.R_0+_xlpm.QQ/((1/(_xlpm.RD_0^2))+(1/_xlpm.DD2tt))*SUM(_xlpm.minisgmatt))</f>
        <v>1298.0006328083377</v>
      </c>
      <c r="M18" cm="1">
        <f t="array" ref="M18">_xlfn.LET(_xlpm.R_0,$B$3,_xlpm.RD_0,$B$8,_xlpm.QQ,$B$10,_xlpm.minisgmatt,$D$13:M$13,_xlpm.DD2tt,M16,_xlpm.R_0+_xlpm.QQ/((1/(_xlpm.RD_0^2))+(1/_xlpm.DD2tt))*SUM(_xlpm.minisgmatt))</f>
        <v>1265.1435505349123</v>
      </c>
      <c r="N18" cm="1">
        <f t="array" ref="N18">_xlfn.LET(_xlpm.R_0,$B$3,_xlpm.RD_0,$B$8,_xlpm.QQ,$B$10,_xlpm.minisgmatt,$D$13:N$13,_xlpm.DD2tt,N16,_xlpm.R_0+_xlpm.QQ/((1/(_xlpm.RD_0^2))+(1/_xlpm.DD2tt))*SUM(_xlpm.minisgmatt))</f>
        <v>1232.2886785127598</v>
      </c>
      <c r="O18" cm="1">
        <f t="array" ref="O18">_xlfn.LET(_xlpm.R_0,$B$3,_xlpm.RD_0,$B$8,_xlpm.QQ,$B$10,_xlpm.minisgmatt,$D$13:O$13,_xlpm.DD2tt,O16,_xlpm.R_0+_xlpm.QQ/((1/(_xlpm.RD_0^2))+(1/_xlpm.DD2tt))*SUM(_xlpm.minisgmatt))</f>
        <v>1199.4360165188668</v>
      </c>
    </row>
    <row r="19" spans="1:15" ht="16.5" customHeight="1">
      <c r="A19" t="s">
        <v>45</v>
      </c>
      <c r="D19" cm="1">
        <f t="array" ref="D19">_xlfn.LET(_xlpm.RD_0,$B$8,_xlpm.DD,D16,SQRT((1/(_xlpm.RD_0^2)+1/_xlpm.DD)^(-1)))</f>
        <v>78.079138171204278</v>
      </c>
      <c r="E19" cm="1">
        <f t="array" ref="E19">_xlfn.LET(_xlpm.RD_0,$B$8,_xlpm.DD,E16,SQRT((1/(_xlpm.RD_0^2)+1/_xlpm.DD)^(-1)))</f>
        <v>76.378431746063143</v>
      </c>
      <c r="F19" cm="1">
        <f t="array" ref="F19">_xlfn.LET(_xlpm.RD_0,$B$8,_xlpm.DD,F16,SQRT((1/(_xlpm.RD_0^2)+1/_xlpm.DD)^(-1)))</f>
        <v>75.573805464342627</v>
      </c>
      <c r="G19" cm="1">
        <f t="array" ref="G19">_xlfn.LET(_xlpm.RD_0,$B$8,_xlpm.DD,G16,SQRT((1/(_xlpm.RD_0^2)+1/_xlpm.DD)^(-1)))</f>
        <v>75.572534217552629</v>
      </c>
      <c r="H19" cm="1">
        <f t="array" ref="H19">_xlfn.LET(_xlpm.RD_0,$B$8,_xlpm.DD,H16,SQRT((1/(_xlpm.RD_0^2)+1/_xlpm.DD)^(-1)))</f>
        <v>75.571263034912405</v>
      </c>
      <c r="I19" cm="1">
        <f t="array" ref="I19">_xlfn.LET(_xlpm.RD_0,$B$8,_xlpm.DD,I16,SQRT((1/(_xlpm.RD_0^2)+1/_xlpm.DD)^(-1)))</f>
        <v>75.569991916416541</v>
      </c>
      <c r="J19" cm="1">
        <f t="array" ref="J19">_xlfn.LET(_xlpm.RD_0,$B$8,_xlpm.DD,J16,SQRT((1/(_xlpm.RD_0^2)+1/_xlpm.DD)^(-1)))</f>
        <v>75.568720862059664</v>
      </c>
      <c r="K19" cm="1">
        <f t="array" ref="K19">_xlfn.LET(_xlpm.RD_0,$B$8,_xlpm.DD,K16,SQRT((1/(_xlpm.RD_0^2)+1/_xlpm.DD)^(-1)))</f>
        <v>75.567449871836359</v>
      </c>
      <c r="L19" cm="1">
        <f t="array" ref="L19">_xlfn.LET(_xlpm.RD_0,$B$8,_xlpm.DD,L16,SQRT((1/(_xlpm.RD_0^2)+1/_xlpm.DD)^(-1)))</f>
        <v>75.566178945741271</v>
      </c>
      <c r="M19" cm="1">
        <f t="array" ref="M19">_xlfn.LET(_xlpm.RD_0,$B$8,_xlpm.DD,M16,SQRT((1/(_xlpm.RD_0^2)+1/_xlpm.DD)^(-1)))</f>
        <v>75.564908083768955</v>
      </c>
      <c r="N19" cm="1">
        <f t="array" ref="N19">_xlfn.LET(_xlpm.RD_0,$B$8,_xlpm.DD,N16,SQRT((1/(_xlpm.RD_0^2)+1/_xlpm.DD)^(-1)))</f>
        <v>75.563637285914069</v>
      </c>
      <c r="O19" cm="1">
        <f t="array" ref="O19">_xlfn.LET(_xlpm.RD_0,$B$8,_xlpm.DD,O16,SQRT((1/(_xlpm.RD_0^2)+1/_xlpm.DD)^(-1)))</f>
        <v>75.562366552171184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12BE-479B-114C-A1C2-60ED01224F6E}">
  <dimension ref="A1:S40"/>
  <sheetViews>
    <sheetView zoomScaleNormal="60" zoomScaleSheetLayoutView="100" workbookViewId="0">
      <selection activeCell="D3" sqref="D3"/>
    </sheetView>
  </sheetViews>
  <sheetFormatPr defaultRowHeight="16.5"/>
  <cols>
    <col min="1" max="1" width="70.75" customWidth="1"/>
  </cols>
  <sheetData>
    <row r="1" spans="1:19">
      <c r="C1" t="s">
        <v>0</v>
      </c>
      <c r="E1" t="s">
        <v>1</v>
      </c>
    </row>
    <row r="2" spans="1:19">
      <c r="B2" t="s">
        <v>5</v>
      </c>
      <c r="C2" s="3">
        <v>350</v>
      </c>
      <c r="E2">
        <v>350</v>
      </c>
      <c r="F2">
        <v>350</v>
      </c>
      <c r="G2">
        <v>350</v>
      </c>
      <c r="H2">
        <v>350</v>
      </c>
      <c r="I2">
        <v>350</v>
      </c>
      <c r="R2" t="s">
        <v>29</v>
      </c>
      <c r="S2">
        <v>1</v>
      </c>
    </row>
    <row r="3" spans="1:19">
      <c r="B3" t="s">
        <v>3</v>
      </c>
      <c r="C3" s="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R3" t="s">
        <v>30</v>
      </c>
      <c r="S3">
        <v>350</v>
      </c>
    </row>
    <row r="4" spans="1:19">
      <c r="B4" t="s">
        <v>31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R4" t="s">
        <v>32</v>
      </c>
      <c r="S4">
        <v>350</v>
      </c>
    </row>
    <row r="5" spans="1:19">
      <c r="B5" t="s">
        <v>33</v>
      </c>
      <c r="E5">
        <v>1</v>
      </c>
      <c r="F5">
        <v>1</v>
      </c>
      <c r="G5">
        <v>1</v>
      </c>
      <c r="H5">
        <v>1</v>
      </c>
      <c r="I5">
        <v>1</v>
      </c>
    </row>
    <row r="6" spans="1:19">
      <c r="R6" t="s">
        <v>34</v>
      </c>
      <c r="S6">
        <v>3</v>
      </c>
    </row>
    <row r="7" spans="1:19">
      <c r="B7" t="s">
        <v>34</v>
      </c>
      <c r="C7">
        <f>SQRT(($S$4^2-C2^2)/$S$8)</f>
        <v>0</v>
      </c>
      <c r="E7">
        <f>$S$6</f>
        <v>3</v>
      </c>
      <c r="F7">
        <f>$S$6</f>
        <v>3</v>
      </c>
      <c r="G7">
        <f>$S$6</f>
        <v>3</v>
      </c>
      <c r="H7">
        <f>$S$6</f>
        <v>3</v>
      </c>
      <c r="I7">
        <f>$S$6</f>
        <v>3</v>
      </c>
      <c r="R7" t="s">
        <v>35</v>
      </c>
      <c r="S7">
        <v>1500</v>
      </c>
    </row>
    <row r="8" spans="1:19">
      <c r="B8" t="s">
        <v>36</v>
      </c>
      <c r="C8">
        <v>75</v>
      </c>
      <c r="E8">
        <v>75</v>
      </c>
      <c r="F8">
        <v>75</v>
      </c>
      <c r="G8">
        <v>75</v>
      </c>
      <c r="H8">
        <v>75</v>
      </c>
      <c r="I8">
        <v>75</v>
      </c>
      <c r="R8" t="s">
        <v>37</v>
      </c>
      <c r="S8">
        <v>100</v>
      </c>
    </row>
    <row r="10" spans="1:19">
      <c r="B10" t="s">
        <v>4</v>
      </c>
      <c r="C10">
        <f>LN(10)/400</f>
        <v>5.7564627324851146E-3</v>
      </c>
    </row>
    <row r="11" spans="1:19">
      <c r="A11" t="s">
        <v>46</v>
      </c>
      <c r="B11" t="s">
        <v>10</v>
      </c>
      <c r="C11">
        <f>_xlfn.LET(_xlpm.RD_1,C8,_xlpm.QQ,$C$10,1/(SQRT(1+3*_xlpm.QQ^2*(_xlpm.RD_1^2)/PI()^2)))</f>
        <v>0.97282099104868947</v>
      </c>
      <c r="E11">
        <f>_xlfn.LET(_xlpm.RD_1,E8,_xlpm.QQ,$C$10,1/(SQRT(1+3*_xlpm.QQ^2*(_xlpm.RD_1^2)/PI()^2)))</f>
        <v>0.97282099104868947</v>
      </c>
      <c r="F11">
        <f t="shared" ref="F11:I11" si="0">_xlfn.LET(_xlpm.RD_1,F8,_xlpm.QQ,$C$10,1/(SQRT(1+3*_xlpm.QQ^2*(_xlpm.RD_1^2)/PI()^2)))</f>
        <v>0.97282099104868947</v>
      </c>
      <c r="G11">
        <f t="shared" si="0"/>
        <v>0.97282099104868947</v>
      </c>
      <c r="H11">
        <f t="shared" si="0"/>
        <v>0.97282099104868947</v>
      </c>
      <c r="I11">
        <f t="shared" si="0"/>
        <v>0.97282099104868947</v>
      </c>
    </row>
    <row r="12" spans="1:19">
      <c r="A12" t="s">
        <v>47</v>
      </c>
      <c r="E12">
        <f>1-E13</f>
        <v>0.5</v>
      </c>
      <c r="F12">
        <f t="shared" ref="F12:I12" si="1">1-F13</f>
        <v>0.5</v>
      </c>
      <c r="G12">
        <f t="shared" si="1"/>
        <v>0.5</v>
      </c>
      <c r="H12">
        <f t="shared" si="1"/>
        <v>0.5</v>
      </c>
      <c r="I12">
        <f t="shared" si="1"/>
        <v>0.5</v>
      </c>
    </row>
    <row r="13" spans="1:19">
      <c r="A13" t="s">
        <v>48</v>
      </c>
      <c r="B13" t="s">
        <v>49</v>
      </c>
      <c r="E13">
        <f>_xlfn.LET(_xlpm.G_0,E11,_xlpm.oldR_0,$C$3,_xlpm.oldR_1,E3,1/(1+10^((_xlpm.G_0*(_xlpm.oldR_0-_xlpm.oldR_1))/(-400))))</f>
        <v>0.5</v>
      </c>
      <c r="F13" cm="1">
        <f t="array" ref="F13">_xlfn.LET(_xlpm.G_0,F11,_xlpm.countRD_1,F8,_xlpm.oldR_0,$C$3,_xlpm.oldR_1,F3,1/(1+10^((_xlpm.G_0*(_xlpm.oldR_0-_xlpm.oldR_1))/(-400))))</f>
        <v>0.5</v>
      </c>
      <c r="G13" cm="1">
        <f t="array" ref="G13">_xlfn.LET(_xlpm.G_0,G11,_xlpm.countRD_1,G8,_xlpm.oldR_0,$C$3,_xlpm.oldR_1,G3,1/(1+10^((_xlpm.G_0*(_xlpm.oldR_0-_xlpm.oldR_1))/(-400))))</f>
        <v>0.5</v>
      </c>
      <c r="H13" cm="1">
        <f t="array" ref="H13">_xlfn.LET(_xlpm.G_0,H11,_xlpm.countRD_1,H8,_xlpm.oldR_0,$C$3,_xlpm.oldR_1,H3,1/(1+10^((_xlpm.G_0*(_xlpm.oldR_0-_xlpm.oldR_1))/(-400))))</f>
        <v>0.5</v>
      </c>
      <c r="I13" cm="1">
        <f t="array" ref="I13">_xlfn.LET(_xlpm.G_0,I11,_xlpm.countRD_1,I8,_xlpm.oldR_0,$C$3,_xlpm.oldR_1,I3,1/(1+10^((_xlpm.G_0*(_xlpm.oldR_0-_xlpm.oldR_1))/(-400))))</f>
        <v>0.5</v>
      </c>
    </row>
    <row r="14" spans="1:19">
      <c r="A14" t="s">
        <v>50</v>
      </c>
      <c r="B14" s="2" t="s">
        <v>40</v>
      </c>
      <c r="C14" s="2"/>
      <c r="D14" s="2"/>
      <c r="E14" s="2" cm="1">
        <f t="array" ref="E14">_xlfn.LET(_xlpm.WL,E5,_xlpm.GG,E11,_xlpm.EE,E13,_xlpm.GG*(_xlpm.WL-_xlpm.EE))</f>
        <v>0.48641049552434473</v>
      </c>
      <c r="F14" s="2" cm="1">
        <f t="array" ref="F14">_xlfn.LET(_xlpm.WL,F5,_xlpm.GG,F11,_xlpm.EE,F13,_xlpm.GG*(_xlpm.WL-_xlpm.EE))</f>
        <v>0.48641049552434473</v>
      </c>
      <c r="G14" s="2" cm="1">
        <f t="array" ref="G14">_xlfn.LET(_xlpm.WL,G5,_xlpm.GG,G11,_xlpm.EE,G13,_xlpm.GG*(_xlpm.WL-_xlpm.EE))</f>
        <v>0.48641049552434473</v>
      </c>
      <c r="H14" s="2" cm="1">
        <f t="array" ref="H14">_xlfn.LET(_xlpm.WL,H5,_xlpm.GG,H11,_xlpm.EE,H13,_xlpm.GG*(_xlpm.WL-_xlpm.EE))</f>
        <v>0.48641049552434473</v>
      </c>
      <c r="I14" s="2" cm="1">
        <f t="array" ref="I14">_xlfn.LET(_xlpm.WL,I5,_xlpm.GG,I11,_xlpm.EE,I13,_xlpm.GG*(_xlpm.WL-_xlpm.EE))</f>
        <v>0.48641049552434473</v>
      </c>
    </row>
    <row r="15" spans="1:19">
      <c r="A15" t="s">
        <v>51</v>
      </c>
      <c r="B15" s="2" t="s">
        <v>41</v>
      </c>
      <c r="C15" s="2"/>
      <c r="D15" s="2"/>
      <c r="E15" s="2">
        <f>_xlfn.LET(_xlpm.g,E11,_xlpm.e,E13,(_xlpm.g)^2*_xlpm.e*(1-_xlpm.e))</f>
        <v>0.2365951701562386</v>
      </c>
      <c r="F15" s="2">
        <f t="shared" ref="F15:I15" si="2">_xlfn.LET(_xlpm.g,F11,_xlpm.e,F13,(_xlpm.g)^2*_xlpm.e*(1-_xlpm.e))</f>
        <v>0.2365951701562386</v>
      </c>
      <c r="G15" s="2">
        <f t="shared" si="2"/>
        <v>0.2365951701562386</v>
      </c>
      <c r="H15" s="2">
        <f t="shared" si="2"/>
        <v>0.2365951701562386</v>
      </c>
      <c r="I15" s="2">
        <f t="shared" si="2"/>
        <v>0.2365951701562386</v>
      </c>
    </row>
    <row r="16" spans="1:19">
      <c r="B16" s="2"/>
      <c r="C16" s="2"/>
      <c r="D16" s="2"/>
      <c r="E16" s="2"/>
      <c r="F16" s="2"/>
      <c r="G16" s="2"/>
      <c r="H16" s="2"/>
      <c r="I16" s="2"/>
    </row>
    <row r="17" spans="1:9">
      <c r="A17" t="s">
        <v>52</v>
      </c>
      <c r="B17" s="2" t="s">
        <v>43</v>
      </c>
      <c r="C17" s="2"/>
      <c r="D17" s="2"/>
      <c r="E17" s="2">
        <f>_xlfn.LET(_xlpm.sgma,SUM(E15:E15),_xlpm.q,$C$10,(_xlpm.q^2*_xlpm.sgma)^(-1))</f>
        <v>127550.66598329073</v>
      </c>
      <c r="F17" s="2">
        <f>_xlfn.LET(_xlpm.sgma,SUM(F15:F15),_xlpm.q,$C$10,(_xlpm.q^2*_xlpm.sgma)^(-1))</f>
        <v>127550.66598329073</v>
      </c>
      <c r="G17" s="2">
        <f>_xlfn.LET(_xlpm.sgma,SUM(G15:G15),_xlpm.q,$C$10,(_xlpm.q^2*_xlpm.sgma)^(-1))</f>
        <v>127550.66598329073</v>
      </c>
      <c r="H17" s="2">
        <f>_xlfn.LET(_xlpm.sgma,SUM(H15:H15),_xlpm.q,$C$10,(_xlpm.q^2*_xlpm.sgma)^(-1))</f>
        <v>127550.66598329073</v>
      </c>
      <c r="I17" s="2">
        <f>_xlfn.LET(_xlpm.sgma,SUM(I15:I15),_xlpm.q,$C$10,(_xlpm.q^2*_xlpm.sgma)^(-1))</f>
        <v>127550.66598329073</v>
      </c>
    </row>
    <row r="18" spans="1:9">
      <c r="A18" t="s">
        <v>53</v>
      </c>
      <c r="B18" s="2" t="s">
        <v>26</v>
      </c>
      <c r="C18" s="2"/>
      <c r="D18" s="2"/>
      <c r="E18" s="2">
        <f>_xlfn.LET(_xlpm.RD_0,$C$8,_xlpm.QQ,$C$10,_xlpm.minisgmatt,E14:E14,_xlpm.DD2tt,E17,_xlpm.QQ/((1/(_xlpm.RD_0^2))+(1/_xlpm.DD2tt))*SUM(_xlpm.minisgmatt))</f>
        <v>15.084781183544575</v>
      </c>
      <c r="F18" s="2">
        <f>_xlfn.LET(_xlpm.RD_0,$C$8,_xlpm.QQ,$C$10,_xlpm.minisgmatt,F14:F14,_xlpm.DD2tt,F17,_xlpm.QQ/((1/(_xlpm.RD_0^2))+(1/_xlpm.DD2tt))*SUM(_xlpm.minisgmatt))</f>
        <v>15.084781183544575</v>
      </c>
      <c r="G18" s="2">
        <f>_xlfn.LET(_xlpm.RD_0,$C$8,_xlpm.QQ,$C$10,_xlpm.minisgmatt,G14:G14,_xlpm.DD2tt,G17,_xlpm.QQ/((1/(_xlpm.RD_0^2))+(1/_xlpm.DD2tt))*SUM(_xlpm.minisgmatt))</f>
        <v>15.084781183544575</v>
      </c>
      <c r="H18" s="2">
        <f>_xlfn.LET(_xlpm.RD_0,$C$8,_xlpm.QQ,$C$10,_xlpm.minisgmatt,H14:H14,_xlpm.DD2tt,H17,_xlpm.QQ/((1/(_xlpm.RD_0^2))+(1/_xlpm.DD2tt))*SUM(_xlpm.minisgmatt))</f>
        <v>15.084781183544575</v>
      </c>
      <c r="I18" s="2">
        <f>_xlfn.LET(_xlpm.RD_0,$C$8,_xlpm.QQ,$C$10,_xlpm.minisgmatt,I14:I14,_xlpm.DD2tt,I17,_xlpm.QQ/((1/(_xlpm.RD_0^2))+(1/_xlpm.DD2tt))*SUM(_xlpm.minisgmatt))</f>
        <v>15.084781183544575</v>
      </c>
    </row>
    <row r="19" spans="1:9">
      <c r="B19" s="2" t="s">
        <v>44</v>
      </c>
      <c r="C19" s="2"/>
      <c r="D19" s="2"/>
      <c r="E19" s="2">
        <f>_xlfn.LET(_xlpm.R_0,$C$3,_xlpm.RD_0,$C$8,_xlpm.QQ,$C$10,_xlpm.minisgmatt,E$14:E$14,_xlpm.DD2tt,E17,_xlpm.R_0+_xlpm.QQ/((1/(_xlpm.RD_0^2))+(1/_xlpm.DD2tt))*SUM(_xlpm.minisgmatt))</f>
        <v>1515.0847811835445</v>
      </c>
      <c r="F19" s="2">
        <f>_xlfn.LET(_xlpm.R_0,$C$3,_xlpm.RD_0,$C$8,_xlpm.QQ,$C$10,_xlpm.minisgmatt,F$14:F$14,_xlpm.DD2tt,F17,_xlpm.R_0+_xlpm.QQ/((1/(_xlpm.RD_0^2))+(1/_xlpm.DD2tt))*SUM(_xlpm.minisgmatt))</f>
        <v>1515.0847811835445</v>
      </c>
      <c r="G19" s="2">
        <f>_xlfn.LET(_xlpm.R_0,$C$3,_xlpm.RD_0,$C$8,_xlpm.QQ,$C$10,_xlpm.minisgmatt,G$14:G$14,_xlpm.DD2tt,G17,_xlpm.R_0+_xlpm.QQ/((1/(_xlpm.RD_0^2))+(1/_xlpm.DD2tt))*SUM(_xlpm.minisgmatt))</f>
        <v>1515.0847811835445</v>
      </c>
      <c r="H19" s="2">
        <f>_xlfn.LET(_xlpm.R_0,$C$3,_xlpm.RD_0,$C$8,_xlpm.QQ,$C$10,_xlpm.minisgmatt,H$14:H$14,_xlpm.DD2tt,H17,_xlpm.R_0+_xlpm.QQ/((1/(_xlpm.RD_0^2))+(1/_xlpm.DD2tt))*SUM(_xlpm.minisgmatt))</f>
        <v>1515.0847811835445</v>
      </c>
      <c r="I19" s="2">
        <f>_xlfn.LET(_xlpm.R_0,$C$3,_xlpm.RD_0,$C$8,_xlpm.QQ,$C$10,_xlpm.minisgmatt,I$14:I$14,_xlpm.DD2tt,I17,_xlpm.R_0+_xlpm.QQ/((1/(_xlpm.RD_0^2))+(1/_xlpm.DD2tt))*SUM(_xlpm.minisgmatt))</f>
        <v>1515.0847811835445</v>
      </c>
    </row>
    <row r="20" spans="1:9">
      <c r="B20" s="2" t="s">
        <v>45</v>
      </c>
      <c r="C20" s="2"/>
      <c r="D20" s="2"/>
      <c r="E20" s="2" cm="1">
        <f t="array" ref="E20">_xlfn.LET(_xlpm.RD_0,$C$8,_xlpm.DD,E17,SQRT((1/(_xlpm.RD_0^2)+1/_xlpm.DD)^(-1)))</f>
        <v>73.399007937917062</v>
      </c>
      <c r="F20" s="2" cm="1">
        <f t="array" ref="F20">_xlfn.LET(_xlpm.RD_0,$C$8,_xlpm.DD,F17,SQRT((1/(_xlpm.RD_0^2)+1/_xlpm.DD)^(-1)))</f>
        <v>73.399007937917062</v>
      </c>
      <c r="G20" s="2" cm="1">
        <f t="array" ref="G20">_xlfn.LET(_xlpm.RD_0,$C$8,_xlpm.DD,G17,SQRT((1/(_xlpm.RD_0^2)+1/_xlpm.DD)^(-1)))</f>
        <v>73.399007937917062</v>
      </c>
      <c r="H20" s="2" cm="1">
        <f t="array" ref="H20">_xlfn.LET(_xlpm.RD_0,$C$8,_xlpm.DD,H17,SQRT((1/(_xlpm.RD_0^2)+1/_xlpm.DD)^(-1)))</f>
        <v>73.399007937917062</v>
      </c>
      <c r="I20" s="2" cm="1">
        <f t="array" ref="I20">_xlfn.LET(_xlpm.RD_0,$C$8,_xlpm.DD,I17,SQRT((1/(_xlpm.RD_0^2)+1/_xlpm.DD)^(-1)))</f>
        <v>73.399007937917062</v>
      </c>
    </row>
    <row r="22" spans="1:9">
      <c r="A22" t="s">
        <v>54</v>
      </c>
      <c r="B22" t="s">
        <v>16</v>
      </c>
      <c r="E22">
        <f>SUM(E11:I11)/(C28-1)</f>
        <v>0.97282099104868947</v>
      </c>
    </row>
    <row r="23" spans="1:9">
      <c r="A23" t="s">
        <v>55</v>
      </c>
      <c r="B23" t="s">
        <v>18</v>
      </c>
      <c r="E23">
        <f>SUM(E12:I12)+1</f>
        <v>3.5</v>
      </c>
    </row>
    <row r="24" spans="1:9">
      <c r="B24" t="s">
        <v>7</v>
      </c>
      <c r="C24" s="3">
        <v>1</v>
      </c>
    </row>
    <row r="26" spans="1:9">
      <c r="B26" t="s">
        <v>25</v>
      </c>
      <c r="E26">
        <f>_xlfn.LET(_xlpm.WL,C24,_xlpm.GG,E22,_xlpm.EE,E23,_xlpm.GG*(_xlpm.EE-_xlpm.WL))</f>
        <v>2.4320524776217236</v>
      </c>
    </row>
    <row r="27" spans="1:9">
      <c r="A27" t="s">
        <v>56</v>
      </c>
      <c r="B27" t="s">
        <v>19</v>
      </c>
      <c r="E27" s="1">
        <f>_xlfn.LET(_xlpm.g,E22,_xlpm.e,E23,(_xlpm.g)^2*_xlpm.e*(6-_xlpm.e))</f>
        <v>8.2808309554683515</v>
      </c>
    </row>
    <row r="28" spans="1:9">
      <c r="B28" t="s">
        <v>2</v>
      </c>
      <c r="C28">
        <v>6</v>
      </c>
    </row>
    <row r="29" spans="1:9">
      <c r="A29" t="s">
        <v>52</v>
      </c>
      <c r="B29" t="s">
        <v>21</v>
      </c>
      <c r="E29">
        <f>_xlfn.LET(_xlpm.sgma,SUM(E27),_xlpm.q,$C$10,(_xlpm.q^2*_xlpm.sgma)^(-1))</f>
        <v>3644.3047423797343</v>
      </c>
    </row>
    <row r="30" spans="1:9">
      <c r="B30" t="s">
        <v>26</v>
      </c>
      <c r="C30">
        <f>_xlfn.LET(_xlpm.RD_0,$C$8,_xlpm.QQ,$C$10,_xlpm.minisgmatt,E26,_xlpm.DD2tt,E29,_xlpm.QQ/((1/(_xlpm.RD_0^2))+(1/_xlpm.DD2tt))*SUM(_xlpm.minisgmatt))</f>
        <v>30.961264643504332</v>
      </c>
    </row>
    <row r="31" spans="1:9">
      <c r="B31" t="s">
        <v>27</v>
      </c>
      <c r="C31">
        <f>C3+C30</f>
        <v>1530.9612646435044</v>
      </c>
    </row>
    <row r="32" spans="1:9">
      <c r="A32" t="s">
        <v>57</v>
      </c>
    </row>
    <row r="33" spans="1:1">
      <c r="A33" t="s">
        <v>58</v>
      </c>
    </row>
    <row r="36" spans="1:1">
      <c r="A36" t="s">
        <v>59</v>
      </c>
    </row>
    <row r="37" spans="1:1">
      <c r="A37" t="s">
        <v>60</v>
      </c>
    </row>
    <row r="39" spans="1:1">
      <c r="A39" t="s">
        <v>61</v>
      </c>
    </row>
    <row r="40" spans="1:1">
      <c r="A40" t="s">
        <v>62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4DDF-728E-4382-BFA4-40AF2CFE9468}">
  <dimension ref="A1:S41"/>
  <sheetViews>
    <sheetView zoomScaleNormal="60" zoomScaleSheetLayoutView="100" workbookViewId="0">
      <selection activeCell="A13" sqref="A13"/>
    </sheetView>
  </sheetViews>
  <sheetFormatPr defaultRowHeight="16.5"/>
  <cols>
    <col min="1" max="1" width="70.75" customWidth="1"/>
  </cols>
  <sheetData>
    <row r="1" spans="1:19">
      <c r="C1" t="s">
        <v>0</v>
      </c>
      <c r="D1" t="s">
        <v>1</v>
      </c>
      <c r="K1" t="s">
        <v>2</v>
      </c>
      <c r="L1">
        <v>6</v>
      </c>
    </row>
    <row r="2" spans="1:19">
      <c r="B2" t="s">
        <v>5</v>
      </c>
      <c r="C2" s="3">
        <v>350</v>
      </c>
      <c r="D2">
        <v>350</v>
      </c>
      <c r="E2">
        <v>350</v>
      </c>
      <c r="F2">
        <v>350</v>
      </c>
      <c r="G2">
        <v>350</v>
      </c>
      <c r="H2">
        <v>350</v>
      </c>
      <c r="K2" t="s">
        <v>4</v>
      </c>
      <c r="L2">
        <f>LN(10)/400</f>
        <v>5.7564627324851146E-3</v>
      </c>
      <c r="R2" t="s">
        <v>29</v>
      </c>
      <c r="S2">
        <v>1</v>
      </c>
    </row>
    <row r="3" spans="1:19">
      <c r="B3" t="s">
        <v>3</v>
      </c>
      <c r="C3" s="3">
        <v>1500</v>
      </c>
      <c r="D3">
        <v>1500</v>
      </c>
      <c r="E3">
        <v>1500</v>
      </c>
      <c r="F3">
        <v>1500</v>
      </c>
      <c r="G3">
        <v>1500</v>
      </c>
      <c r="H3">
        <v>1500</v>
      </c>
      <c r="R3" t="s">
        <v>30</v>
      </c>
      <c r="S3">
        <v>350</v>
      </c>
    </row>
    <row r="4" spans="1:19"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R4" t="s">
        <v>32</v>
      </c>
      <c r="S4">
        <v>350</v>
      </c>
    </row>
    <row r="5" spans="1:19">
      <c r="B5" t="s">
        <v>7</v>
      </c>
      <c r="C5" s="3">
        <v>1</v>
      </c>
    </row>
    <row r="6" spans="1:19">
      <c r="B6" s="4" t="s">
        <v>33</v>
      </c>
      <c r="C6" s="4"/>
      <c r="D6" s="4">
        <v>1</v>
      </c>
      <c r="E6" s="4">
        <v>1</v>
      </c>
      <c r="F6" s="4">
        <v>1</v>
      </c>
      <c r="G6" s="4">
        <v>1</v>
      </c>
      <c r="H6" s="4">
        <v>1</v>
      </c>
    </row>
    <row r="7" spans="1:19">
      <c r="R7" t="s">
        <v>34</v>
      </c>
      <c r="S7">
        <v>3</v>
      </c>
    </row>
    <row r="8" spans="1:19">
      <c r="B8" t="s">
        <v>34</v>
      </c>
      <c r="C8">
        <f>SQRT(($S$4^2-C2^2)/$S$9)</f>
        <v>0</v>
      </c>
      <c r="D8">
        <f>$S$7</f>
        <v>3</v>
      </c>
      <c r="E8">
        <f>$S$7</f>
        <v>3</v>
      </c>
      <c r="F8">
        <f>$S$7</f>
        <v>3</v>
      </c>
      <c r="G8">
        <f>$S$7</f>
        <v>3</v>
      </c>
      <c r="H8">
        <f>$S$7</f>
        <v>3</v>
      </c>
      <c r="R8" t="s">
        <v>35</v>
      </c>
      <c r="S8">
        <v>1500</v>
      </c>
    </row>
    <row r="9" spans="1:19">
      <c r="B9" t="s">
        <v>36</v>
      </c>
      <c r="C9">
        <v>75</v>
      </c>
      <c r="D9">
        <v>75</v>
      </c>
      <c r="E9">
        <v>75</v>
      </c>
      <c r="F9">
        <v>75</v>
      </c>
      <c r="G9">
        <v>75</v>
      </c>
      <c r="H9">
        <v>75</v>
      </c>
      <c r="R9" t="s">
        <v>37</v>
      </c>
      <c r="S9">
        <v>100</v>
      </c>
    </row>
    <row r="10" spans="1:19">
      <c r="B10" t="s">
        <v>10</v>
      </c>
      <c r="C10">
        <f t="shared" ref="C10:H10" si="0">_xlfn.LET(_xlpm.RD_1,C9,_xlpm.QQ,$L$2,1/(SQRT(1+3*_xlpm.QQ^2*(_xlpm.RD_1^2)/PI()^2)))</f>
        <v>0.97282099104868947</v>
      </c>
      <c r="D10">
        <f t="shared" si="0"/>
        <v>0.97282099104868947</v>
      </c>
      <c r="E10">
        <f t="shared" si="0"/>
        <v>0.97282099104868947</v>
      </c>
      <c r="F10">
        <f t="shared" si="0"/>
        <v>0.97282099104868947</v>
      </c>
      <c r="G10">
        <f t="shared" si="0"/>
        <v>0.97282099104868947</v>
      </c>
      <c r="H10">
        <f t="shared" si="0"/>
        <v>0.97282099104868947</v>
      </c>
    </row>
    <row r="12" spans="1:19">
      <c r="A12" t="s">
        <v>46</v>
      </c>
    </row>
    <row r="13" spans="1:19">
      <c r="A13" t="s">
        <v>47</v>
      </c>
      <c r="D13">
        <f>1-D14</f>
        <v>0.5</v>
      </c>
      <c r="E13">
        <f t="shared" ref="E13:H13" si="1">1-E14</f>
        <v>0.5</v>
      </c>
      <c r="F13">
        <f t="shared" si="1"/>
        <v>0.5</v>
      </c>
      <c r="G13">
        <f t="shared" si="1"/>
        <v>0.5</v>
      </c>
      <c r="H13">
        <f t="shared" si="1"/>
        <v>0.5</v>
      </c>
    </row>
    <row r="14" spans="1:19">
      <c r="A14" t="s">
        <v>48</v>
      </c>
      <c r="B14" t="s">
        <v>49</v>
      </c>
      <c r="D14">
        <f>_xlfn.LET(_xlpm.G_0,D10,_xlpm.oldR_0,$C$3,_xlpm.oldR_1,D3,1/(1+10^((_xlpm.G_0*(_xlpm.oldR_0-_xlpm.oldR_1))/(-400))))</f>
        <v>0.5</v>
      </c>
      <c r="E14" cm="1">
        <f t="array" ref="E14">_xlfn.LET(_xlpm.G_0,E10,_xlpm.countRD_1,E9,_xlpm.oldR_0,$C$3,_xlpm.oldR_1,E3,1/(1+10^((_xlpm.G_0*(_xlpm.oldR_0-_xlpm.oldR_1))/(-400))))</f>
        <v>0.5</v>
      </c>
      <c r="F14" cm="1">
        <f t="array" ref="F14">_xlfn.LET(_xlpm.G_0,F10,_xlpm.countRD_1,F9,_xlpm.oldR_0,$C$3,_xlpm.oldR_1,F3,1/(1+10^((_xlpm.G_0*(_xlpm.oldR_0-_xlpm.oldR_1))/(-400))))</f>
        <v>0.5</v>
      </c>
      <c r="G14" cm="1">
        <f t="array" ref="G14">_xlfn.LET(_xlpm.G_0,G10,_xlpm.countRD_1,G9,_xlpm.oldR_0,$C$3,_xlpm.oldR_1,G3,1/(1+10^((_xlpm.G_0*(_xlpm.oldR_0-_xlpm.oldR_1))/(-400))))</f>
        <v>0.5</v>
      </c>
      <c r="H14" cm="1">
        <f t="array" ref="H14">_xlfn.LET(_xlpm.G_0,H10,_xlpm.countRD_1,H9,_xlpm.oldR_0,$C$3,_xlpm.oldR_1,H3,1/(1+10^((_xlpm.G_0*(_xlpm.oldR_0-_xlpm.oldR_1))/(-400))))</f>
        <v>0.5</v>
      </c>
    </row>
    <row r="15" spans="1:19" hidden="1">
      <c r="A15" t="s">
        <v>50</v>
      </c>
      <c r="B15" s="2" t="s">
        <v>40</v>
      </c>
      <c r="C15" s="2"/>
      <c r="D15" s="2" cm="1">
        <f t="array" ref="D15">_xlfn.LET(_xlpm.WL,D6,_xlpm.GG,D10,_xlpm.EE,D14,_xlpm.GG*(_xlpm.WL-_xlpm.EE))</f>
        <v>0.48641049552434473</v>
      </c>
      <c r="E15" s="2" cm="1">
        <f t="array" ref="E15">_xlfn.LET(_xlpm.WL,E6,_xlpm.GG,E10,_xlpm.EE,E14,_xlpm.GG*(_xlpm.WL-_xlpm.EE))</f>
        <v>0.48641049552434473</v>
      </c>
      <c r="F15" s="2" cm="1">
        <f t="array" ref="F15">_xlfn.LET(_xlpm.WL,F6,_xlpm.GG,F10,_xlpm.EE,F14,_xlpm.GG*(_xlpm.WL-_xlpm.EE))</f>
        <v>0.48641049552434473</v>
      </c>
      <c r="G15" s="2" cm="1">
        <f t="array" ref="G15">_xlfn.LET(_xlpm.WL,G6,_xlpm.GG,G10,_xlpm.EE,G14,_xlpm.GG*(_xlpm.WL-_xlpm.EE))</f>
        <v>0.48641049552434473</v>
      </c>
      <c r="H15" s="2" cm="1">
        <f t="array" ref="H15">_xlfn.LET(_xlpm.WL,H6,_xlpm.GG,H10,_xlpm.EE,H14,_xlpm.GG*(_xlpm.WL-_xlpm.EE))</f>
        <v>0.48641049552434473</v>
      </c>
    </row>
    <row r="16" spans="1:19" hidden="1">
      <c r="A16" t="s">
        <v>51</v>
      </c>
      <c r="B16" s="2" t="s">
        <v>41</v>
      </c>
      <c r="C16" s="2"/>
      <c r="D16" s="2">
        <f>_xlfn.LET(_xlpm.g,D10,_xlpm.e,D14,(_xlpm.g)^2*_xlpm.e*(1-_xlpm.e))</f>
        <v>0.2365951701562386</v>
      </c>
      <c r="E16" s="2">
        <f>_xlfn.LET(_xlpm.g,E10,_xlpm.e,E14,(_xlpm.g)^2*_xlpm.e*(1-_xlpm.e))</f>
        <v>0.2365951701562386</v>
      </c>
      <c r="F16" s="2">
        <f>_xlfn.LET(_xlpm.g,F10,_xlpm.e,F14,(_xlpm.g)^2*_xlpm.e*(1-_xlpm.e))</f>
        <v>0.2365951701562386</v>
      </c>
      <c r="G16" s="2">
        <f>_xlfn.LET(_xlpm.g,G10,_xlpm.e,G14,(_xlpm.g)^2*_xlpm.e*(1-_xlpm.e))</f>
        <v>0.2365951701562386</v>
      </c>
      <c r="H16" s="2">
        <f>_xlfn.LET(_xlpm.g,H10,_xlpm.e,H14,(_xlpm.g)^2*_xlpm.e*(1-_xlpm.e))</f>
        <v>0.2365951701562386</v>
      </c>
    </row>
    <row r="17" spans="1:8" hidden="1">
      <c r="B17" s="2"/>
      <c r="C17" s="2"/>
      <c r="D17" s="2"/>
      <c r="E17" s="2"/>
      <c r="F17" s="2"/>
      <c r="G17" s="2"/>
      <c r="H17" s="2"/>
    </row>
    <row r="18" spans="1:8" hidden="1">
      <c r="A18" t="s">
        <v>52</v>
      </c>
      <c r="B18" s="2" t="s">
        <v>43</v>
      </c>
      <c r="C18" s="2"/>
      <c r="D18" s="2">
        <f>_xlfn.LET(_xlpm.sgma,SUM(D16:D16),_xlpm.q,$L$2,(_xlpm.q^2*_xlpm.sgma)^(-1))</f>
        <v>127550.66598329073</v>
      </c>
      <c r="E18" s="2">
        <f>_xlfn.LET(_xlpm.sgma,SUM(E16:E16),_xlpm.q,$L$2,(_xlpm.q^2*_xlpm.sgma)^(-1))</f>
        <v>127550.66598329073</v>
      </c>
      <c r="F18" s="2">
        <f>_xlfn.LET(_xlpm.sgma,SUM(F16:F16),_xlpm.q,$L$2,(_xlpm.q^2*_xlpm.sgma)^(-1))</f>
        <v>127550.66598329073</v>
      </c>
      <c r="G18" s="2">
        <f>_xlfn.LET(_xlpm.sgma,SUM(G16:G16),_xlpm.q,$L$2,(_xlpm.q^2*_xlpm.sgma)^(-1))</f>
        <v>127550.66598329073</v>
      </c>
      <c r="H18" s="2">
        <f>_xlfn.LET(_xlpm.sgma,SUM(H16:H16),_xlpm.q,$L$2,(_xlpm.q^2*_xlpm.sgma)^(-1))</f>
        <v>127550.66598329073</v>
      </c>
    </row>
    <row r="19" spans="1:8" hidden="1">
      <c r="A19" t="s">
        <v>53</v>
      </c>
      <c r="B19" s="2" t="s">
        <v>26</v>
      </c>
      <c r="C19" s="2"/>
      <c r="D19" s="2">
        <f>_xlfn.LET(_xlpm.RD_0,$C$9,_xlpm.QQ,$L$2,_xlpm.minisgmatt,D15:D15,_xlpm.DD2tt,D18,_xlpm.QQ/((1/(_xlpm.RD_0^2))+(1/_xlpm.DD2tt))*SUM(_xlpm.minisgmatt))</f>
        <v>15.084781183544575</v>
      </c>
      <c r="E19" s="2">
        <f>_xlfn.LET(_xlpm.RD_0,$C$9,_xlpm.QQ,$L$2,_xlpm.minisgmatt,E15:E15,_xlpm.DD2tt,E18,_xlpm.QQ/((1/(_xlpm.RD_0^2))+(1/_xlpm.DD2tt))*SUM(_xlpm.minisgmatt))</f>
        <v>15.084781183544575</v>
      </c>
      <c r="F19" s="2">
        <f>_xlfn.LET(_xlpm.RD_0,$C$9,_xlpm.QQ,$L$2,_xlpm.minisgmatt,F15:F15,_xlpm.DD2tt,F18,_xlpm.QQ/((1/(_xlpm.RD_0^2))+(1/_xlpm.DD2tt))*SUM(_xlpm.minisgmatt))</f>
        <v>15.084781183544575</v>
      </c>
      <c r="G19" s="2">
        <f>_xlfn.LET(_xlpm.RD_0,$C$9,_xlpm.QQ,$L$2,_xlpm.minisgmatt,G15:G15,_xlpm.DD2tt,G18,_xlpm.QQ/((1/(_xlpm.RD_0^2))+(1/_xlpm.DD2tt))*SUM(_xlpm.minisgmatt))</f>
        <v>15.084781183544575</v>
      </c>
      <c r="H19" s="2">
        <f>_xlfn.LET(_xlpm.RD_0,$C$9,_xlpm.QQ,$L$2,_xlpm.minisgmatt,H15:H15,_xlpm.DD2tt,H18,_xlpm.QQ/((1/(_xlpm.RD_0^2))+(1/_xlpm.DD2tt))*SUM(_xlpm.minisgmatt))</f>
        <v>15.084781183544575</v>
      </c>
    </row>
    <row r="20" spans="1:8" hidden="1">
      <c r="B20" s="2" t="s">
        <v>44</v>
      </c>
      <c r="C20" s="2"/>
      <c r="D20" s="2">
        <f>_xlfn.LET(_xlpm.R_0,$C$3,_xlpm.RD_0,$C$9,_xlpm.QQ,$L$2,_xlpm.minisgmatt,D$15:D$15,_xlpm.DD2tt,D18,_xlpm.R_0+_xlpm.QQ/((1/(_xlpm.RD_0^2))+(1/_xlpm.DD2tt))*SUM(_xlpm.minisgmatt))</f>
        <v>1515.0847811835445</v>
      </c>
      <c r="E20" s="2">
        <f>_xlfn.LET(_xlpm.R_0,$C$3,_xlpm.RD_0,$C$9,_xlpm.QQ,$L$2,_xlpm.minisgmatt,E$15:E$15,_xlpm.DD2tt,E18,_xlpm.R_0+_xlpm.QQ/((1/(_xlpm.RD_0^2))+(1/_xlpm.DD2tt))*SUM(_xlpm.minisgmatt))</f>
        <v>1515.0847811835445</v>
      </c>
      <c r="F20" s="2">
        <f>_xlfn.LET(_xlpm.R_0,$C$3,_xlpm.RD_0,$C$9,_xlpm.QQ,$L$2,_xlpm.minisgmatt,F$15:F$15,_xlpm.DD2tt,F18,_xlpm.R_0+_xlpm.QQ/((1/(_xlpm.RD_0^2))+(1/_xlpm.DD2tt))*SUM(_xlpm.minisgmatt))</f>
        <v>1515.0847811835445</v>
      </c>
      <c r="G20" s="2">
        <f>_xlfn.LET(_xlpm.R_0,$C$3,_xlpm.RD_0,$C$9,_xlpm.QQ,$L$2,_xlpm.minisgmatt,G$15:G$15,_xlpm.DD2tt,G18,_xlpm.R_0+_xlpm.QQ/((1/(_xlpm.RD_0^2))+(1/_xlpm.DD2tt))*SUM(_xlpm.minisgmatt))</f>
        <v>1515.0847811835445</v>
      </c>
      <c r="H20" s="2">
        <f>_xlfn.LET(_xlpm.R_0,$C$3,_xlpm.RD_0,$C$9,_xlpm.QQ,$L$2,_xlpm.minisgmatt,H$15:H$15,_xlpm.DD2tt,H18,_xlpm.R_0+_xlpm.QQ/((1/(_xlpm.RD_0^2))+(1/_xlpm.DD2tt))*SUM(_xlpm.minisgmatt))</f>
        <v>1515.0847811835445</v>
      </c>
    </row>
    <row r="21" spans="1:8" hidden="1">
      <c r="B21" s="2" t="s">
        <v>45</v>
      </c>
      <c r="C21" s="2"/>
      <c r="D21" s="2" cm="1">
        <f t="array" ref="D21">_xlfn.LET(_xlpm.RD_0,$C$9,_xlpm.DD,D18,SQRT((1/(_xlpm.RD_0^2)+1/_xlpm.DD)^(-1)))</f>
        <v>73.399007937917062</v>
      </c>
      <c r="E21" s="2" cm="1">
        <f t="array" ref="E21">_xlfn.LET(_xlpm.RD_0,$C$9,_xlpm.DD,E18,SQRT((1/(_xlpm.RD_0^2)+1/_xlpm.DD)^(-1)))</f>
        <v>73.399007937917062</v>
      </c>
      <c r="F21" s="2" cm="1">
        <f t="array" ref="F21">_xlfn.LET(_xlpm.RD_0,$C$9,_xlpm.DD,F18,SQRT((1/(_xlpm.RD_0^2)+1/_xlpm.DD)^(-1)))</f>
        <v>73.399007937917062</v>
      </c>
      <c r="G21" s="2" cm="1">
        <f t="array" ref="G21">_xlfn.LET(_xlpm.RD_0,$C$9,_xlpm.DD,G18,SQRT((1/(_xlpm.RD_0^2)+1/_xlpm.DD)^(-1)))</f>
        <v>73.399007937917062</v>
      </c>
      <c r="H21" s="2" cm="1">
        <f t="array" ref="H21">_xlfn.LET(_xlpm.RD_0,$C$9,_xlpm.DD,H18,SQRT((1/(_xlpm.RD_0^2)+1/_xlpm.DD)^(-1)))</f>
        <v>73.399007937917062</v>
      </c>
    </row>
    <row r="23" spans="1:8">
      <c r="A23" t="s">
        <v>54</v>
      </c>
      <c r="B23" t="s">
        <v>16</v>
      </c>
      <c r="C23">
        <f>SUM(D10:H10)/(L1-1)</f>
        <v>0.97282099104868947</v>
      </c>
    </row>
    <row r="24" spans="1:8">
      <c r="A24" t="s">
        <v>55</v>
      </c>
      <c r="B24" t="s">
        <v>18</v>
      </c>
      <c r="C24">
        <f>SUM(D13:H13)+1</f>
        <v>3.5</v>
      </c>
    </row>
    <row r="27" spans="1:8">
      <c r="B27" t="s">
        <v>25</v>
      </c>
      <c r="C27">
        <f>_xlfn.LET(_xlpm.WL,C5,_xlpm.GG,C23,_xlpm.EE,C24,_xlpm.GG*(_xlpm.EE-_xlpm.WL))</f>
        <v>2.4320524776217236</v>
      </c>
    </row>
    <row r="28" spans="1:8">
      <c r="A28" t="s">
        <v>56</v>
      </c>
      <c r="B28" t="s">
        <v>19</v>
      </c>
      <c r="C28" s="1">
        <f>_xlfn.LET(_xlpm.allp,L1,_xlpm.g,C23,_xlpm.e,C24,(_xlpm.g)^2*_xlpm.e*(_xlpm.allp-_xlpm.e)/_xlpm.allp/_xlpm.allp)</f>
        <v>0.23002308209634312</v>
      </c>
    </row>
    <row r="30" spans="1:8">
      <c r="A30" t="s">
        <v>52</v>
      </c>
      <c r="B30" t="s">
        <v>21</v>
      </c>
      <c r="C30">
        <f>_xlfn.LET(_xlpm.sgma,SUM(C28),_xlpm.q,$L$2,(_xlpm.q^2*_xlpm.sgma)^(-1))</f>
        <v>131194.97072567043</v>
      </c>
    </row>
    <row r="31" spans="1:8">
      <c r="B31" t="s">
        <v>26</v>
      </c>
      <c r="C31">
        <f>_xlfn.LET(_xlpm.RD_0,$C$9,_xlpm.QQ,$L$2,_xlpm.minisgmatt,C27,_xlpm.DD2tt,C30,_xlpm.QQ/((1/(_xlpm.RD_0^2))+(1/_xlpm.DD2tt))*SUM(_xlpm.minisgmatt))</f>
        <v>75.512501896080835</v>
      </c>
    </row>
    <row r="32" spans="1:8">
      <c r="B32" t="s">
        <v>27</v>
      </c>
      <c r="C32">
        <f>C3+C31</f>
        <v>1575.5125018960807</v>
      </c>
    </row>
    <row r="33" spans="1:1">
      <c r="A33" t="s">
        <v>57</v>
      </c>
    </row>
    <row r="34" spans="1:1">
      <c r="A34" t="s">
        <v>58</v>
      </c>
    </row>
    <row r="37" spans="1:1">
      <c r="A37" t="s">
        <v>59</v>
      </c>
    </row>
    <row r="38" spans="1:1">
      <c r="A38" t="s">
        <v>60</v>
      </c>
    </row>
    <row r="40" spans="1:1">
      <c r="A40" t="s">
        <v>61</v>
      </c>
    </row>
    <row r="41" spans="1:1">
      <c r="A41" t="s">
        <v>62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0D1E-7438-46CD-A49D-221BDA84C157}">
  <dimension ref="A1:O38"/>
  <sheetViews>
    <sheetView zoomScaleNormal="60" zoomScaleSheetLayoutView="100" workbookViewId="0">
      <selection activeCell="J16" sqref="J16"/>
    </sheetView>
  </sheetViews>
  <sheetFormatPr defaultRowHeight="16.5"/>
  <cols>
    <col min="4" max="4" width="9.5" customWidth="1"/>
  </cols>
  <sheetData>
    <row r="1" spans="1:15">
      <c r="F1" t="s">
        <v>0</v>
      </c>
      <c r="G1" t="s">
        <v>1</v>
      </c>
      <c r="N1" t="s">
        <v>2</v>
      </c>
      <c r="O1">
        <v>6</v>
      </c>
    </row>
    <row r="2" spans="1:15">
      <c r="E2" t="s">
        <v>3</v>
      </c>
      <c r="F2" s="3">
        <v>1500</v>
      </c>
      <c r="G2" s="3">
        <v>1500</v>
      </c>
      <c r="H2" s="3">
        <v>1500</v>
      </c>
      <c r="I2" s="3">
        <v>1500</v>
      </c>
      <c r="J2" s="3">
        <v>1500</v>
      </c>
      <c r="K2" s="3">
        <v>1500</v>
      </c>
      <c r="N2" t="s">
        <v>4</v>
      </c>
      <c r="O2">
        <f>LN(10)/400</f>
        <v>5.7564627324851146E-3</v>
      </c>
    </row>
    <row r="3" spans="1:15">
      <c r="E3" t="s">
        <v>5</v>
      </c>
      <c r="F3" s="3">
        <v>80</v>
      </c>
      <c r="G3" s="3">
        <v>80</v>
      </c>
      <c r="H3" s="3">
        <v>80</v>
      </c>
      <c r="I3" s="3">
        <v>35</v>
      </c>
      <c r="J3" s="3">
        <v>35</v>
      </c>
      <c r="K3" s="3">
        <v>35</v>
      </c>
      <c r="N3" s="10" t="s">
        <v>6</v>
      </c>
      <c r="O3" s="10"/>
    </row>
    <row r="4" spans="1:15">
      <c r="E4" t="s">
        <v>7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N4" s="11" t="s">
        <v>9</v>
      </c>
      <c r="O4" s="11"/>
    </row>
    <row r="5" spans="1:15">
      <c r="E5" t="s">
        <v>10</v>
      </c>
      <c r="F5">
        <f t="shared" ref="F5:K5" si="0">_xlfn.LET(_xlpm.RD_1,F3,_xlpm.QQ,$O$2,1/(SQRT(1+3*_xlpm.QQ^2*(_xlpm.RD_1^2)/PI()^2)))</f>
        <v>0.96924739680357896</v>
      </c>
      <c r="G5">
        <f t="shared" si="0"/>
        <v>0.96924739680357896</v>
      </c>
      <c r="H5">
        <f t="shared" si="0"/>
        <v>0.96924739680357896</v>
      </c>
      <c r="I5">
        <f t="shared" si="0"/>
        <v>0.99388716630964002</v>
      </c>
      <c r="J5">
        <f t="shared" si="0"/>
        <v>0.99388716630964002</v>
      </c>
      <c r="K5">
        <f t="shared" si="0"/>
        <v>0.99388716630964002</v>
      </c>
      <c r="N5" s="12" t="s">
        <v>11</v>
      </c>
      <c r="O5" s="12"/>
    </row>
    <row r="6" spans="1:15">
      <c r="A6" t="s">
        <v>12</v>
      </c>
      <c r="B6" t="s">
        <v>13</v>
      </c>
      <c r="C6" t="s">
        <v>7</v>
      </c>
      <c r="D6" t="s">
        <v>10</v>
      </c>
      <c r="N6" s="13" t="s">
        <v>14</v>
      </c>
      <c r="O6" s="13"/>
    </row>
    <row r="7" spans="1:15">
      <c r="A7">
        <f>F2</f>
        <v>1500</v>
      </c>
      <c r="B7">
        <f>F3</f>
        <v>80</v>
      </c>
      <c r="C7">
        <f>F4</f>
        <v>1</v>
      </c>
      <c r="D7">
        <f>F5</f>
        <v>0.96924739680357896</v>
      </c>
      <c r="F7">
        <f t="shared" ref="F7:K12" si="1">_xlfn.LET(_xlpm.G_0,F$5,_xlpm.oldR_0,$A7,_xlpm.oldR_1,F$2,1/(1+10^((_xlpm.G_0*(_xlpm.oldR_0-_xlpm.oldR_1))/(-400))))</f>
        <v>0.5</v>
      </c>
      <c r="G7">
        <f t="shared" si="1"/>
        <v>0.5</v>
      </c>
      <c r="H7">
        <f t="shared" si="1"/>
        <v>0.5</v>
      </c>
      <c r="I7">
        <f t="shared" si="1"/>
        <v>0.5</v>
      </c>
      <c r="J7">
        <f t="shared" si="1"/>
        <v>0.5</v>
      </c>
      <c r="K7">
        <f t="shared" si="1"/>
        <v>0.5</v>
      </c>
    </row>
    <row r="8" spans="1:15">
      <c r="A8">
        <f>G2</f>
        <v>1500</v>
      </c>
      <c r="B8">
        <f>G3</f>
        <v>80</v>
      </c>
      <c r="C8">
        <f>G4</f>
        <v>2</v>
      </c>
      <c r="D8">
        <f>G5</f>
        <v>0.96924739680357896</v>
      </c>
      <c r="F8">
        <f t="shared" si="1"/>
        <v>0.5</v>
      </c>
      <c r="G8">
        <f t="shared" si="1"/>
        <v>0.5</v>
      </c>
      <c r="H8">
        <f t="shared" si="1"/>
        <v>0.5</v>
      </c>
      <c r="I8">
        <f t="shared" si="1"/>
        <v>0.5</v>
      </c>
      <c r="J8">
        <f t="shared" si="1"/>
        <v>0.5</v>
      </c>
      <c r="K8">
        <f t="shared" si="1"/>
        <v>0.5</v>
      </c>
    </row>
    <row r="9" spans="1:15">
      <c r="A9">
        <f>H2</f>
        <v>1500</v>
      </c>
      <c r="B9">
        <f>H3</f>
        <v>80</v>
      </c>
      <c r="C9">
        <f>H4</f>
        <v>3</v>
      </c>
      <c r="D9">
        <f>H5</f>
        <v>0.96924739680357896</v>
      </c>
      <c r="F9">
        <f t="shared" si="1"/>
        <v>0.5</v>
      </c>
      <c r="G9">
        <f t="shared" si="1"/>
        <v>0.5</v>
      </c>
      <c r="H9">
        <f t="shared" si="1"/>
        <v>0.5</v>
      </c>
      <c r="I9">
        <f t="shared" si="1"/>
        <v>0.5</v>
      </c>
      <c r="J9">
        <f t="shared" si="1"/>
        <v>0.5</v>
      </c>
      <c r="K9">
        <f t="shared" si="1"/>
        <v>0.5</v>
      </c>
    </row>
    <row r="10" spans="1:15">
      <c r="A10">
        <f>I2</f>
        <v>1500</v>
      </c>
      <c r="B10">
        <f>I3</f>
        <v>35</v>
      </c>
      <c r="C10">
        <f>I4</f>
        <v>4</v>
      </c>
      <c r="D10">
        <f>I5</f>
        <v>0.99388716630964002</v>
      </c>
      <c r="F10">
        <f t="shared" si="1"/>
        <v>0.5</v>
      </c>
      <c r="G10">
        <f t="shared" si="1"/>
        <v>0.5</v>
      </c>
      <c r="H10">
        <f t="shared" si="1"/>
        <v>0.5</v>
      </c>
      <c r="I10">
        <f t="shared" si="1"/>
        <v>0.5</v>
      </c>
      <c r="J10">
        <f t="shared" si="1"/>
        <v>0.5</v>
      </c>
      <c r="K10">
        <f t="shared" si="1"/>
        <v>0.5</v>
      </c>
    </row>
    <row r="11" spans="1:15">
      <c r="A11">
        <f>J2</f>
        <v>1500</v>
      </c>
      <c r="B11">
        <f>J3</f>
        <v>35</v>
      </c>
      <c r="C11">
        <f>J4</f>
        <v>5</v>
      </c>
      <c r="D11">
        <f>J5</f>
        <v>0.99388716630964002</v>
      </c>
      <c r="F11">
        <f t="shared" si="1"/>
        <v>0.5</v>
      </c>
      <c r="G11">
        <f t="shared" si="1"/>
        <v>0.5</v>
      </c>
      <c r="H11">
        <f t="shared" si="1"/>
        <v>0.5</v>
      </c>
      <c r="I11">
        <f t="shared" si="1"/>
        <v>0.5</v>
      </c>
      <c r="J11">
        <f t="shared" si="1"/>
        <v>0.5</v>
      </c>
      <c r="K11">
        <f t="shared" si="1"/>
        <v>0.5</v>
      </c>
    </row>
    <row r="12" spans="1:15">
      <c r="A12">
        <f>K2</f>
        <v>1500</v>
      </c>
      <c r="B12">
        <f>K3</f>
        <v>35</v>
      </c>
      <c r="C12">
        <f>K4</f>
        <v>6</v>
      </c>
      <c r="D12">
        <f>K5</f>
        <v>0.99388716630964002</v>
      </c>
      <c r="F12">
        <f t="shared" si="1"/>
        <v>0.5</v>
      </c>
      <c r="G12">
        <f t="shared" si="1"/>
        <v>0.5</v>
      </c>
      <c r="H12">
        <f t="shared" si="1"/>
        <v>0.5</v>
      </c>
      <c r="I12">
        <f t="shared" si="1"/>
        <v>0.5</v>
      </c>
      <c r="J12">
        <f t="shared" si="1"/>
        <v>0.5</v>
      </c>
      <c r="K12">
        <f t="shared" si="1"/>
        <v>0.5</v>
      </c>
    </row>
    <row r="15" spans="1:15">
      <c r="C15" s="9" t="s">
        <v>15</v>
      </c>
      <c r="D15" s="9"/>
      <c r="E15" t="s">
        <v>16</v>
      </c>
      <c r="F15">
        <f>(SUM($D$7:$D$12)-F5)/($O$1-1)</f>
        <v>0.98403125850721551</v>
      </c>
      <c r="G15">
        <f t="shared" ref="G15:K15" si="2">(SUM($D$7:$D$12)-G5)/($O$1-1)</f>
        <v>0.98403125850721551</v>
      </c>
      <c r="H15">
        <f t="shared" si="2"/>
        <v>0.98403125850721551</v>
      </c>
      <c r="I15">
        <f t="shared" si="2"/>
        <v>0.97910330460600326</v>
      </c>
      <c r="J15">
        <f t="shared" si="2"/>
        <v>0.97910330460600326</v>
      </c>
      <c r="K15">
        <f t="shared" si="2"/>
        <v>0.97910330460600326</v>
      </c>
    </row>
    <row r="16" spans="1:15">
      <c r="C16" s="9" t="s">
        <v>17</v>
      </c>
      <c r="D16" s="9"/>
      <c r="E16" t="s">
        <v>18</v>
      </c>
      <c r="F16" s="5">
        <f>SUM(F7:F12)+1-0.5</f>
        <v>3.5</v>
      </c>
      <c r="G16" s="5">
        <f t="shared" ref="G16:K16" si="3">SUM(G7:G12)+1-0.5</f>
        <v>3.5</v>
      </c>
      <c r="H16" s="5">
        <f t="shared" si="3"/>
        <v>3.5</v>
      </c>
      <c r="I16" s="5">
        <f t="shared" si="3"/>
        <v>3.5</v>
      </c>
      <c r="J16" s="5">
        <f t="shared" si="3"/>
        <v>3.5</v>
      </c>
      <c r="K16" s="5">
        <f t="shared" si="3"/>
        <v>3.5</v>
      </c>
    </row>
    <row r="19" spans="1:15">
      <c r="C19" s="9" t="s">
        <v>24</v>
      </c>
      <c r="D19" s="9"/>
      <c r="E19" t="s">
        <v>25</v>
      </c>
      <c r="F19">
        <f>_xlfn.LET(_xlpm.RK,F4,_xlpm.Gtotal,F15,_xlpm.Etotal,F16,_xlpm.Gtotal*(_xlpm.Etotal-_xlpm.RK))</f>
        <v>2.4600781462680388</v>
      </c>
      <c r="G19">
        <f t="shared" ref="G19:K19" si="4">_xlfn.LET(_xlpm.WL,G4,_xlpm.GG,G15,_xlpm.EE,G16,_xlpm.GG*(_xlpm.EE-_xlpm.WL))</f>
        <v>1.4760468877608233</v>
      </c>
      <c r="H19">
        <f t="shared" si="4"/>
        <v>0.49201562925360776</v>
      </c>
      <c r="I19">
        <f t="shared" si="4"/>
        <v>-0.48955165230300163</v>
      </c>
      <c r="J19">
        <f t="shared" si="4"/>
        <v>-1.4686549569090048</v>
      </c>
      <c r="K19">
        <f t="shared" si="4"/>
        <v>-2.4477582615150082</v>
      </c>
    </row>
    <row r="20" spans="1:15">
      <c r="E20" t="s">
        <v>19</v>
      </c>
      <c r="F20" s="1">
        <f>_xlfn.LET(_xlpm.allp,$O$1,_xlpm.g,F15,_xlpm.e,F16,(_xlpm.g)^2*_xlpm.e*(_xlpm.allp-_xlpm.e+1)/_xlpm.allp/_xlpm.allp)</f>
        <v>0.32949693311281553</v>
      </c>
      <c r="G20" s="1">
        <f t="shared" ref="G20:K20" si="5">_xlfn.LET(_xlpm.allp,$O$1,_xlpm.g,G15,_xlpm.e,G16,(_xlpm.g)^2*_xlpm.e*(_xlpm.allp-_xlpm.e+1)/_xlpm.allp/_xlpm.allp)</f>
        <v>0.32949693311281553</v>
      </c>
      <c r="H20" s="1">
        <f t="shared" si="5"/>
        <v>0.32949693311281553</v>
      </c>
      <c r="I20" s="1">
        <f t="shared" si="5"/>
        <v>0.32620500537103753</v>
      </c>
      <c r="J20" s="1">
        <f t="shared" si="5"/>
        <v>0.32620500537103753</v>
      </c>
      <c r="K20" s="1">
        <f t="shared" si="5"/>
        <v>0.32620500537103753</v>
      </c>
      <c r="L20" s="9"/>
      <c r="M20" s="9"/>
      <c r="N20" s="9"/>
      <c r="O20" s="9"/>
    </row>
    <row r="22" spans="1:15">
      <c r="C22" s="9" t="s">
        <v>20</v>
      </c>
      <c r="D22" s="9"/>
      <c r="E22" t="s">
        <v>21</v>
      </c>
      <c r="F22">
        <f>_xlfn.LET(_xlpm.sgma,SUM(F20),_xlpm.q,$O$2,(_xlpm.q^2*_xlpm.sgma)^(-1))</f>
        <v>91587.715966769581</v>
      </c>
      <c r="G22">
        <f t="shared" ref="G22:K22" si="6">_xlfn.LET(_xlpm.sgma,SUM(G20),_xlpm.q,$O$2,(_xlpm.q^2*_xlpm.sgma)^(-1))</f>
        <v>91587.715966769581</v>
      </c>
      <c r="H22">
        <f t="shared" si="6"/>
        <v>91587.715966769581</v>
      </c>
      <c r="I22">
        <f t="shared" si="6"/>
        <v>92511.981805836505</v>
      </c>
      <c r="J22">
        <f t="shared" si="6"/>
        <v>92511.981805836505</v>
      </c>
      <c r="K22">
        <f t="shared" si="6"/>
        <v>92511.981805836505</v>
      </c>
    </row>
    <row r="23" spans="1:15">
      <c r="E23" t="s">
        <v>26</v>
      </c>
      <c r="F23" s="6">
        <f t="shared" ref="F23:K23" si="7">_xlfn.LET(_xlpm.RD_0,$F$3,_xlpm.QQ,$O$2,_xlpm.minisgmatt,F19,_xlpm.DD2tt,F22,_xlpm.QQ/((1/(_xlpm.RD_0^2))+(1/_xlpm.DD2tt))*SUM(_xlpm.minisgmatt))</f>
        <v>84.713020748455762</v>
      </c>
      <c r="G23" s="6">
        <f t="shared" si="7"/>
        <v>50.827812449073463</v>
      </c>
      <c r="H23" s="6">
        <f t="shared" si="7"/>
        <v>16.942604149691153</v>
      </c>
      <c r="I23" s="6">
        <f t="shared" si="7"/>
        <v>-16.868764419774472</v>
      </c>
      <c r="J23" s="6">
        <f t="shared" si="7"/>
        <v>-50.606293259323408</v>
      </c>
      <c r="K23" s="6">
        <f t="shared" si="7"/>
        <v>-84.343822098872351</v>
      </c>
      <c r="L23" t="s">
        <v>63</v>
      </c>
      <c r="M23" s="6">
        <f>SUM(F23:K23)</f>
        <v>0.66455756925016374</v>
      </c>
    </row>
    <row r="24" spans="1:15">
      <c r="E24" t="s">
        <v>27</v>
      </c>
      <c r="F24" s="6">
        <f t="shared" ref="F24:K24" si="8">F2+F23</f>
        <v>1584.7130207484558</v>
      </c>
      <c r="G24" s="6">
        <f t="shared" si="8"/>
        <v>1550.8278124490735</v>
      </c>
      <c r="H24" s="6">
        <f t="shared" si="8"/>
        <v>1516.9426041496911</v>
      </c>
      <c r="I24" s="6">
        <f t="shared" si="8"/>
        <v>1483.1312355802256</v>
      </c>
      <c r="J24" s="6">
        <f t="shared" si="8"/>
        <v>1449.3937067406766</v>
      </c>
      <c r="K24" s="6">
        <f t="shared" si="8"/>
        <v>1415.6561779011276</v>
      </c>
    </row>
    <row r="25" spans="1:15">
      <c r="E25" t="s">
        <v>22</v>
      </c>
      <c r="F25" s="6">
        <f t="shared" ref="F25:K25" si="9">_xlfn.LET(_xlpm.RD_0,$F$3,_xlpm.DD,F22,SQRT((1/(_xlpm.RD_0^2)+1/_xlpm.DD)^(-1)))</f>
        <v>77.343315287830961</v>
      </c>
      <c r="G25" s="6">
        <f t="shared" si="9"/>
        <v>77.343315287830961</v>
      </c>
      <c r="H25" s="6">
        <f t="shared" si="9"/>
        <v>77.343315287830961</v>
      </c>
      <c r="I25" s="6">
        <f t="shared" si="9"/>
        <v>77.36856245492713</v>
      </c>
      <c r="J25" s="6">
        <f t="shared" si="9"/>
        <v>77.36856245492713</v>
      </c>
      <c r="K25" s="6">
        <f t="shared" si="9"/>
        <v>77.36856245492713</v>
      </c>
    </row>
    <row r="26" spans="1:15">
      <c r="E26" t="s">
        <v>7</v>
      </c>
    </row>
    <row r="27" spans="1:15">
      <c r="E27" t="s">
        <v>10</v>
      </c>
      <c r="F27">
        <f t="shared" ref="F27:K27" si="10">_xlfn.LET(_xlpm.RD_1,F25,_xlpm.QQ,$O$2,1/(SQRT(1+3*_xlpm.QQ^2*(_xlpm.RD_1^2)/PI()^2)))</f>
        <v>0.97116998313163694</v>
      </c>
      <c r="G27">
        <f t="shared" si="10"/>
        <v>0.97116998313163694</v>
      </c>
      <c r="H27">
        <f t="shared" si="10"/>
        <v>0.97116998313163694</v>
      </c>
      <c r="I27">
        <f t="shared" si="10"/>
        <v>0.97115196487012101</v>
      </c>
      <c r="J27">
        <f t="shared" si="10"/>
        <v>0.97115196487012101</v>
      </c>
      <c r="K27">
        <f t="shared" si="10"/>
        <v>0.97115196487012101</v>
      </c>
    </row>
    <row r="28" spans="1:15">
      <c r="A28" t="s">
        <v>12</v>
      </c>
      <c r="B28" t="s">
        <v>13</v>
      </c>
      <c r="C28" t="s">
        <v>7</v>
      </c>
      <c r="D28" t="s">
        <v>10</v>
      </c>
    </row>
    <row r="29" spans="1:15">
      <c r="A29">
        <f>F24</f>
        <v>1584.7130207484558</v>
      </c>
      <c r="B29">
        <f>F25</f>
        <v>77.343315287830961</v>
      </c>
      <c r="C29">
        <f>F26</f>
        <v>0</v>
      </c>
      <c r="D29">
        <f>F27</f>
        <v>0.97116998313163694</v>
      </c>
      <c r="F29">
        <f t="shared" ref="F29:K34" si="11">_xlfn.LET(_xlpm.G_0,F$27,_xlpm.oldR_0,$A29,_xlpm.oldR_1,F$24,1/(1+10^((_xlpm.G_0*(_xlpm.oldR_0-_xlpm.oldR_1))/(-400))))</f>
        <v>0.5</v>
      </c>
      <c r="G29">
        <f t="shared" si="11"/>
        <v>0.54721772725615869</v>
      </c>
      <c r="H29">
        <f t="shared" si="11"/>
        <v>0.59360071815333282</v>
      </c>
      <c r="I29">
        <f t="shared" si="11"/>
        <v>0.63827450382756779</v>
      </c>
      <c r="J29">
        <f t="shared" si="11"/>
        <v>0.68059099576659976</v>
      </c>
      <c r="K29">
        <f t="shared" si="11"/>
        <v>0.72012775247188598</v>
      </c>
    </row>
    <row r="30" spans="1:15">
      <c r="A30">
        <f>G24</f>
        <v>1550.8278124490735</v>
      </c>
      <c r="B30">
        <f>G25</f>
        <v>77.343315287830961</v>
      </c>
      <c r="C30">
        <f>G26</f>
        <v>0</v>
      </c>
      <c r="D30">
        <f>G27</f>
        <v>0.97116998313163694</v>
      </c>
      <c r="F30">
        <f t="shared" si="11"/>
        <v>0.45278227274384136</v>
      </c>
      <c r="G30">
        <f t="shared" si="11"/>
        <v>0.5</v>
      </c>
      <c r="H30">
        <f t="shared" si="11"/>
        <v>0.54721772725615869</v>
      </c>
      <c r="I30">
        <f t="shared" si="11"/>
        <v>0.59349943656303727</v>
      </c>
      <c r="J30">
        <f t="shared" si="11"/>
        <v>0.63808387035473191</v>
      </c>
      <c r="K30">
        <f t="shared" si="11"/>
        <v>0.68041149716465399</v>
      </c>
    </row>
    <row r="31" spans="1:15">
      <c r="A31">
        <f>H24</f>
        <v>1516.9426041496911</v>
      </c>
      <c r="B31">
        <f>H25</f>
        <v>77.343315287830961</v>
      </c>
      <c r="C31">
        <f>H26</f>
        <v>0</v>
      </c>
      <c r="D31">
        <f>H27</f>
        <v>0.97116998313163694</v>
      </c>
      <c r="F31">
        <f t="shared" si="11"/>
        <v>0.40639928184666718</v>
      </c>
      <c r="G31">
        <f t="shared" si="11"/>
        <v>0.45278227274384136</v>
      </c>
      <c r="H31">
        <f t="shared" si="11"/>
        <v>0.5</v>
      </c>
      <c r="I31">
        <f t="shared" si="11"/>
        <v>0.54711457633098781</v>
      </c>
      <c r="J31">
        <f t="shared" si="11"/>
        <v>0.59330024178490004</v>
      </c>
      <c r="K31">
        <f t="shared" si="11"/>
        <v>0.63789319341240247</v>
      </c>
    </row>
    <row r="32" spans="1:15">
      <c r="A32">
        <f>I24</f>
        <v>1483.1312355802256</v>
      </c>
      <c r="B32">
        <f>I25</f>
        <v>77.36856245492713</v>
      </c>
      <c r="C32">
        <f>I26</f>
        <v>0</v>
      </c>
      <c r="D32">
        <f>I27</f>
        <v>0.97115196487012101</v>
      </c>
      <c r="F32">
        <f t="shared" si="11"/>
        <v>0.36172306357407547</v>
      </c>
      <c r="G32">
        <f t="shared" si="11"/>
        <v>0.40649886942501179</v>
      </c>
      <c r="H32">
        <f t="shared" si="11"/>
        <v>0.45288455471280487</v>
      </c>
      <c r="I32">
        <f t="shared" si="11"/>
        <v>0.5</v>
      </c>
      <c r="J32">
        <f t="shared" si="11"/>
        <v>0.54701229224731784</v>
      </c>
      <c r="K32">
        <f t="shared" si="11"/>
        <v>0.59320063288354019</v>
      </c>
    </row>
    <row r="33" spans="1:11">
      <c r="A33">
        <f>J24</f>
        <v>1449.3937067406766</v>
      </c>
      <c r="B33">
        <f>J25</f>
        <v>77.36856245492713</v>
      </c>
      <c r="C33">
        <f>J26</f>
        <v>0</v>
      </c>
      <c r="D33">
        <f>J27</f>
        <v>0.97115196487012101</v>
      </c>
      <c r="F33">
        <f t="shared" si="11"/>
        <v>0.31940595310401948</v>
      </c>
      <c r="G33">
        <f t="shared" si="11"/>
        <v>0.36191370002913648</v>
      </c>
      <c r="H33">
        <f t="shared" si="11"/>
        <v>0.40669806763791583</v>
      </c>
      <c r="I33">
        <f t="shared" si="11"/>
        <v>0.4529877077526821</v>
      </c>
      <c r="J33">
        <f t="shared" si="11"/>
        <v>0.5</v>
      </c>
      <c r="K33">
        <f t="shared" si="11"/>
        <v>0.54701229224731784</v>
      </c>
    </row>
    <row r="34" spans="1:11">
      <c r="A34">
        <f>K24</f>
        <v>1415.6561779011276</v>
      </c>
      <c r="B34">
        <f>K25</f>
        <v>77.36856245492713</v>
      </c>
      <c r="C34">
        <f>K26</f>
        <v>0</v>
      </c>
      <c r="D34">
        <f>K27</f>
        <v>0.97115196487012101</v>
      </c>
      <c r="F34">
        <f t="shared" si="11"/>
        <v>0.27986871350777326</v>
      </c>
      <c r="G34">
        <f t="shared" si="11"/>
        <v>0.31958545412727185</v>
      </c>
      <c r="H34">
        <f t="shared" si="11"/>
        <v>0.36210437995594263</v>
      </c>
      <c r="I34">
        <f t="shared" si="11"/>
        <v>0.40679936711645975</v>
      </c>
      <c r="J34">
        <f t="shared" si="11"/>
        <v>0.4529877077526821</v>
      </c>
      <c r="K34">
        <f t="shared" si="11"/>
        <v>0.5</v>
      </c>
    </row>
    <row r="37" spans="1:11">
      <c r="E37" t="s">
        <v>16</v>
      </c>
      <c r="F37">
        <f>(SUM($D$29:$D$34)-F27)/($O$1-1)</f>
        <v>0.97115917217472736</v>
      </c>
      <c r="G37">
        <f t="shared" ref="G37:K37" si="12">(SUM($D$29:$D$34)-G27)/($O$1-1)</f>
        <v>0.97115917217472736</v>
      </c>
      <c r="H37">
        <f t="shared" si="12"/>
        <v>0.97115917217472736</v>
      </c>
      <c r="I37">
        <f t="shared" si="12"/>
        <v>0.9711627758270307</v>
      </c>
      <c r="J37">
        <f t="shared" si="12"/>
        <v>0.9711627758270307</v>
      </c>
      <c r="K37">
        <f t="shared" si="12"/>
        <v>0.9711627758270307</v>
      </c>
    </row>
    <row r="38" spans="1:11">
      <c r="E38" t="s">
        <v>18</v>
      </c>
      <c r="F38" s="7">
        <f>SUM(F29:F34)+1-0.5</f>
        <v>2.8201792847763767</v>
      </c>
      <c r="G38" s="7">
        <f t="shared" ref="G38:K38" si="13">SUM(G29:G34)+1-0.5</f>
        <v>3.0879980235814202</v>
      </c>
      <c r="H38" s="7">
        <f t="shared" si="13"/>
        <v>3.3625054477161549</v>
      </c>
      <c r="I38" s="7">
        <f t="shared" si="13"/>
        <v>3.6386755915907347</v>
      </c>
      <c r="J38" s="7">
        <f t="shared" si="13"/>
        <v>3.9119751079062315</v>
      </c>
      <c r="K38" s="7">
        <f t="shared" si="13"/>
        <v>4.1786453681798008</v>
      </c>
    </row>
  </sheetData>
  <mergeCells count="9">
    <mergeCell ref="C22:D22"/>
    <mergeCell ref="L20:O20"/>
    <mergeCell ref="N3:O3"/>
    <mergeCell ref="N4:O4"/>
    <mergeCell ref="N5:O5"/>
    <mergeCell ref="N6:O6"/>
    <mergeCell ref="C19:D19"/>
    <mergeCell ref="C15:D15"/>
    <mergeCell ref="C16:D1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A77-0222-42FC-BD77-DDA025943F85}">
  <dimension ref="A1:O25"/>
  <sheetViews>
    <sheetView workbookViewId="0">
      <selection sqref="A1:O25"/>
    </sheetView>
  </sheetViews>
  <sheetFormatPr defaultRowHeight="16.5"/>
  <sheetData>
    <row r="1" spans="1:15">
      <c r="F1" t="s">
        <v>0</v>
      </c>
      <c r="G1" t="s">
        <v>1</v>
      </c>
      <c r="N1" t="s">
        <v>2</v>
      </c>
      <c r="O1">
        <v>6</v>
      </c>
    </row>
    <row r="2" spans="1:15">
      <c r="E2" t="s">
        <v>3</v>
      </c>
      <c r="F2" s="3">
        <v>1500</v>
      </c>
      <c r="G2" s="3">
        <v>1500</v>
      </c>
      <c r="H2" s="3">
        <v>1500</v>
      </c>
      <c r="I2" s="3">
        <v>1500</v>
      </c>
      <c r="J2" s="3">
        <v>1500</v>
      </c>
      <c r="K2" s="3">
        <v>1500</v>
      </c>
      <c r="N2" t="s">
        <v>4</v>
      </c>
      <c r="O2">
        <f>LN(10)/400</f>
        <v>5.7564627324851146E-3</v>
      </c>
    </row>
    <row r="3" spans="1:15">
      <c r="E3" t="s">
        <v>5</v>
      </c>
      <c r="F3" s="3">
        <v>80</v>
      </c>
      <c r="G3" s="3">
        <v>80</v>
      </c>
      <c r="H3" s="3">
        <v>80</v>
      </c>
      <c r="I3" s="3">
        <v>35</v>
      </c>
      <c r="J3" s="3">
        <v>35</v>
      </c>
      <c r="K3" s="3">
        <v>35</v>
      </c>
      <c r="N3" s="10" t="s">
        <v>6</v>
      </c>
      <c r="O3" s="10"/>
    </row>
    <row r="4" spans="1:15">
      <c r="E4" t="s">
        <v>7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N4" s="11" t="s">
        <v>9</v>
      </c>
      <c r="O4" s="11"/>
    </row>
    <row r="5" spans="1:15">
      <c r="E5" t="s">
        <v>10</v>
      </c>
      <c r="F5">
        <f t="shared" ref="F5:K5" si="0">_xlfn.LET(_xlpm.RD_1,F3,_xlpm.QQ,$O$2,1/(SQRT(1+3*_xlpm.QQ^2*(_xlpm.RD_1^2)/PI()^2)))</f>
        <v>0.96924739680357896</v>
      </c>
      <c r="G5">
        <f t="shared" si="0"/>
        <v>0.96924739680357896</v>
      </c>
      <c r="H5">
        <f t="shared" si="0"/>
        <v>0.96924739680357896</v>
      </c>
      <c r="I5">
        <f t="shared" si="0"/>
        <v>0.99388716630964002</v>
      </c>
      <c r="J5">
        <f t="shared" si="0"/>
        <v>0.99388716630964002</v>
      </c>
      <c r="K5">
        <f t="shared" si="0"/>
        <v>0.99388716630964002</v>
      </c>
      <c r="N5" s="12" t="s">
        <v>11</v>
      </c>
      <c r="O5" s="12"/>
    </row>
    <row r="6" spans="1:15">
      <c r="A6" t="s">
        <v>12</v>
      </c>
      <c r="B6" t="s">
        <v>13</v>
      </c>
      <c r="C6" t="s">
        <v>7</v>
      </c>
      <c r="D6" t="s">
        <v>10</v>
      </c>
      <c r="N6" s="13" t="s">
        <v>14</v>
      </c>
      <c r="O6" s="13"/>
    </row>
    <row r="7" spans="1:15">
      <c r="A7">
        <f>F2</f>
        <v>1500</v>
      </c>
      <c r="B7">
        <f>F3</f>
        <v>80</v>
      </c>
      <c r="C7">
        <f>F4</f>
        <v>1</v>
      </c>
      <c r="D7">
        <f>F5</f>
        <v>0.96924739680357896</v>
      </c>
      <c r="F7">
        <f t="shared" ref="F7:K12" si="1">_xlfn.LET(_xlpm.G_0,F$5,_xlpm.oldR_0,$A7,_xlpm.oldR_1,F$2,1/(1+10^((_xlpm.G_0*(_xlpm.oldR_0-_xlpm.oldR_1))/(-400))))</f>
        <v>0.5</v>
      </c>
      <c r="G7">
        <f t="shared" si="1"/>
        <v>0.5</v>
      </c>
      <c r="H7">
        <f t="shared" si="1"/>
        <v>0.5</v>
      </c>
      <c r="I7">
        <f t="shared" si="1"/>
        <v>0.5</v>
      </c>
      <c r="J7">
        <f t="shared" si="1"/>
        <v>0.5</v>
      </c>
      <c r="K7">
        <f t="shared" si="1"/>
        <v>0.5</v>
      </c>
    </row>
    <row r="8" spans="1:15">
      <c r="A8">
        <f>G2</f>
        <v>1500</v>
      </c>
      <c r="B8">
        <f>G3</f>
        <v>80</v>
      </c>
      <c r="C8">
        <f>G4</f>
        <v>2</v>
      </c>
      <c r="D8">
        <f>G5</f>
        <v>0.96924739680357896</v>
      </c>
      <c r="F8">
        <f t="shared" si="1"/>
        <v>0.5</v>
      </c>
      <c r="G8">
        <f t="shared" si="1"/>
        <v>0.5</v>
      </c>
      <c r="H8">
        <f t="shared" si="1"/>
        <v>0.5</v>
      </c>
      <c r="I8">
        <f t="shared" si="1"/>
        <v>0.5</v>
      </c>
      <c r="J8">
        <f t="shared" si="1"/>
        <v>0.5</v>
      </c>
      <c r="K8">
        <f t="shared" si="1"/>
        <v>0.5</v>
      </c>
    </row>
    <row r="9" spans="1:15">
      <c r="A9">
        <f>H2</f>
        <v>1500</v>
      </c>
      <c r="B9">
        <f>H3</f>
        <v>80</v>
      </c>
      <c r="C9">
        <f>H4</f>
        <v>3</v>
      </c>
      <c r="D9">
        <f>H5</f>
        <v>0.96924739680357896</v>
      </c>
      <c r="F9">
        <f t="shared" si="1"/>
        <v>0.5</v>
      </c>
      <c r="G9">
        <f t="shared" si="1"/>
        <v>0.5</v>
      </c>
      <c r="H9">
        <f t="shared" si="1"/>
        <v>0.5</v>
      </c>
      <c r="I9">
        <f t="shared" si="1"/>
        <v>0.5</v>
      </c>
      <c r="J9">
        <f t="shared" si="1"/>
        <v>0.5</v>
      </c>
      <c r="K9">
        <f t="shared" si="1"/>
        <v>0.5</v>
      </c>
    </row>
    <row r="10" spans="1:15">
      <c r="A10">
        <f>I2</f>
        <v>1500</v>
      </c>
      <c r="B10">
        <f>I3</f>
        <v>35</v>
      </c>
      <c r="C10">
        <f>I4</f>
        <v>4</v>
      </c>
      <c r="D10">
        <f>I5</f>
        <v>0.99388716630964002</v>
      </c>
      <c r="F10">
        <f t="shared" si="1"/>
        <v>0.5</v>
      </c>
      <c r="G10">
        <f t="shared" si="1"/>
        <v>0.5</v>
      </c>
      <c r="H10">
        <f t="shared" si="1"/>
        <v>0.5</v>
      </c>
      <c r="I10">
        <f t="shared" si="1"/>
        <v>0.5</v>
      </c>
      <c r="J10">
        <f t="shared" si="1"/>
        <v>0.5</v>
      </c>
      <c r="K10">
        <f t="shared" si="1"/>
        <v>0.5</v>
      </c>
    </row>
    <row r="11" spans="1:15">
      <c r="A11">
        <f>J2</f>
        <v>1500</v>
      </c>
      <c r="B11">
        <f>J3</f>
        <v>35</v>
      </c>
      <c r="C11">
        <f>J4</f>
        <v>5</v>
      </c>
      <c r="D11">
        <f>J5</f>
        <v>0.99388716630964002</v>
      </c>
      <c r="F11">
        <f t="shared" si="1"/>
        <v>0.5</v>
      </c>
      <c r="G11">
        <f t="shared" si="1"/>
        <v>0.5</v>
      </c>
      <c r="H11">
        <f t="shared" si="1"/>
        <v>0.5</v>
      </c>
      <c r="I11">
        <f t="shared" si="1"/>
        <v>0.5</v>
      </c>
      <c r="J11">
        <f t="shared" si="1"/>
        <v>0.5</v>
      </c>
      <c r="K11">
        <f t="shared" si="1"/>
        <v>0.5</v>
      </c>
    </row>
    <row r="12" spans="1:15">
      <c r="A12">
        <f>K2</f>
        <v>1500</v>
      </c>
      <c r="B12">
        <f>K3</f>
        <v>35</v>
      </c>
      <c r="C12">
        <f>K4</f>
        <v>6</v>
      </c>
      <c r="D12">
        <f>K5</f>
        <v>0.99388716630964002</v>
      </c>
      <c r="F12">
        <f t="shared" si="1"/>
        <v>0.5</v>
      </c>
      <c r="G12">
        <f t="shared" si="1"/>
        <v>0.5</v>
      </c>
      <c r="H12">
        <f t="shared" si="1"/>
        <v>0.5</v>
      </c>
      <c r="I12">
        <f t="shared" si="1"/>
        <v>0.5</v>
      </c>
      <c r="J12">
        <f t="shared" si="1"/>
        <v>0.5</v>
      </c>
      <c r="K12">
        <f t="shared" si="1"/>
        <v>0.5</v>
      </c>
    </row>
    <row r="15" spans="1:15">
      <c r="C15" s="9" t="s">
        <v>15</v>
      </c>
      <c r="D15" s="9"/>
      <c r="E15" t="s">
        <v>16</v>
      </c>
      <c r="F15">
        <f>(SUM($D$7:$D$12)-F5)/($O$1-1)</f>
        <v>0.98403125850721551</v>
      </c>
      <c r="G15">
        <f t="shared" ref="G15:K15" si="2">(SUM($D$7:$D$12)-G5)/($O$1-1)</f>
        <v>0.98403125850721551</v>
      </c>
      <c r="H15">
        <f t="shared" si="2"/>
        <v>0.98403125850721551</v>
      </c>
      <c r="I15">
        <f t="shared" si="2"/>
        <v>0.97910330460600326</v>
      </c>
      <c r="J15">
        <f t="shared" si="2"/>
        <v>0.97910330460600326</v>
      </c>
      <c r="K15">
        <f t="shared" si="2"/>
        <v>0.97910330460600326</v>
      </c>
    </row>
    <row r="16" spans="1:15">
      <c r="C16" s="9" t="s">
        <v>17</v>
      </c>
      <c r="D16" s="9"/>
      <c r="E16" t="s">
        <v>18</v>
      </c>
      <c r="F16" s="5">
        <f>SUM(F7:F12)+1-0.5</f>
        <v>3.5</v>
      </c>
      <c r="G16" s="5">
        <f t="shared" ref="G16:K16" si="3">SUM(G7:G12)+1-0.5</f>
        <v>3.5</v>
      </c>
      <c r="H16" s="5">
        <f t="shared" si="3"/>
        <v>3.5</v>
      </c>
      <c r="I16" s="5">
        <f t="shared" si="3"/>
        <v>3.5</v>
      </c>
      <c r="J16" s="5">
        <f t="shared" si="3"/>
        <v>3.5</v>
      </c>
      <c r="K16" s="5">
        <f t="shared" si="3"/>
        <v>3.5</v>
      </c>
    </row>
    <row r="19" spans="3:15">
      <c r="C19" s="9" t="s">
        <v>24</v>
      </c>
      <c r="D19" s="9"/>
      <c r="E19" t="s">
        <v>25</v>
      </c>
      <c r="F19">
        <f>_xlfn.LET(_xlpm.RK,F4,_xlpm.Gtotal,F15,_xlpm.Etotal,F16,_xlpm.Gtotal*(_xlpm.Etotal-_xlpm.RK))</f>
        <v>2.4600781462680388</v>
      </c>
      <c r="G19">
        <f t="shared" ref="G19:K19" si="4">_xlfn.LET(_xlpm.WL,G4,_xlpm.GG,G15,_xlpm.EE,G16,_xlpm.GG*(_xlpm.EE-_xlpm.WL))</f>
        <v>1.4760468877608233</v>
      </c>
      <c r="H19">
        <f t="shared" si="4"/>
        <v>0.49201562925360776</v>
      </c>
      <c r="I19">
        <f t="shared" si="4"/>
        <v>-0.48955165230300163</v>
      </c>
      <c r="J19">
        <f t="shared" si="4"/>
        <v>-1.4686549569090048</v>
      </c>
      <c r="K19">
        <f t="shared" si="4"/>
        <v>-2.4477582615150082</v>
      </c>
    </row>
    <row r="20" spans="3:15">
      <c r="E20" t="s">
        <v>19</v>
      </c>
      <c r="F20" s="1">
        <f>_xlfn.LET(_xlpm.allp,$O$1,_xlpm.g,F15,_xlpm.e,F16,(_xlpm.g)^2*_xlpm.e*(_xlpm.allp-_xlpm.e+1)/_xlpm.allp/_xlpm.allp)</f>
        <v>0.32949693311281553</v>
      </c>
      <c r="G20" s="1">
        <f t="shared" ref="G20:K20" si="5">_xlfn.LET(_xlpm.allp,$O$1,_xlpm.g,G15,_xlpm.e,G16,(_xlpm.g)^2*_xlpm.e*(_xlpm.allp-_xlpm.e+1)/_xlpm.allp/_xlpm.allp)</f>
        <v>0.32949693311281553</v>
      </c>
      <c r="H20" s="1">
        <f t="shared" si="5"/>
        <v>0.32949693311281553</v>
      </c>
      <c r="I20" s="1">
        <f t="shared" si="5"/>
        <v>0.32620500537103753</v>
      </c>
      <c r="J20" s="1">
        <f t="shared" si="5"/>
        <v>0.32620500537103753</v>
      </c>
      <c r="K20" s="1">
        <f t="shared" si="5"/>
        <v>0.32620500537103753</v>
      </c>
      <c r="L20" s="9"/>
      <c r="M20" s="9"/>
      <c r="N20" s="9"/>
      <c r="O20" s="9"/>
    </row>
    <row r="22" spans="3:15">
      <c r="C22" s="9" t="s">
        <v>20</v>
      </c>
      <c r="D22" s="9"/>
      <c r="E22" t="s">
        <v>21</v>
      </c>
      <c r="F22">
        <f>_xlfn.LET(_xlpm.sgma,SUM(F20),_xlpm.q,$O$2,(_xlpm.q^2*_xlpm.sgma)^(-1))</f>
        <v>91587.715966769581</v>
      </c>
      <c r="G22">
        <f t="shared" ref="G22:K22" si="6">_xlfn.LET(_xlpm.sgma,SUM(G20),_xlpm.q,$O$2,(_xlpm.q^2*_xlpm.sgma)^(-1))</f>
        <v>91587.715966769581</v>
      </c>
      <c r="H22">
        <f t="shared" si="6"/>
        <v>91587.715966769581</v>
      </c>
      <c r="I22">
        <f t="shared" si="6"/>
        <v>92511.981805836505</v>
      </c>
      <c r="J22">
        <f t="shared" si="6"/>
        <v>92511.981805836505</v>
      </c>
      <c r="K22">
        <f t="shared" si="6"/>
        <v>92511.981805836505</v>
      </c>
    </row>
    <row r="23" spans="3:15">
      <c r="E23" t="s">
        <v>26</v>
      </c>
      <c r="F23" s="6">
        <f t="shared" ref="F23:K23" si="7">_xlfn.LET(_xlpm.RD_0,$F$3,_xlpm.QQ,$O$2,_xlpm.minisgmatt,F19,_xlpm.DD2tt,F22,_xlpm.QQ/((1/(_xlpm.RD_0^2))+(1/_xlpm.DD2tt))*SUM(_xlpm.minisgmatt))</f>
        <v>84.713020748455762</v>
      </c>
      <c r="G23" s="6">
        <f t="shared" si="7"/>
        <v>50.827812449073463</v>
      </c>
      <c r="H23" s="6">
        <f t="shared" si="7"/>
        <v>16.942604149691153</v>
      </c>
      <c r="I23" s="6">
        <f t="shared" si="7"/>
        <v>-16.868764419774472</v>
      </c>
      <c r="J23" s="6">
        <f t="shared" si="7"/>
        <v>-50.606293259323408</v>
      </c>
      <c r="K23" s="6">
        <f t="shared" si="7"/>
        <v>-84.343822098872351</v>
      </c>
      <c r="L23" t="s">
        <v>63</v>
      </c>
      <c r="M23" s="6">
        <f>SUM(F23:K23)</f>
        <v>0.66455756925016374</v>
      </c>
    </row>
    <row r="24" spans="3:15">
      <c r="E24" t="s">
        <v>27</v>
      </c>
      <c r="F24" s="6">
        <f t="shared" ref="F24:K24" si="8">F2+F23</f>
        <v>1584.7130207484558</v>
      </c>
      <c r="G24" s="6">
        <f t="shared" si="8"/>
        <v>1550.8278124490735</v>
      </c>
      <c r="H24" s="6">
        <f t="shared" si="8"/>
        <v>1516.9426041496911</v>
      </c>
      <c r="I24" s="6">
        <f t="shared" si="8"/>
        <v>1483.1312355802256</v>
      </c>
      <c r="J24" s="6">
        <f t="shared" si="8"/>
        <v>1449.3937067406766</v>
      </c>
      <c r="K24" s="6">
        <f t="shared" si="8"/>
        <v>1415.6561779011276</v>
      </c>
    </row>
    <row r="25" spans="3:15">
      <c r="E25" t="s">
        <v>22</v>
      </c>
      <c r="F25" s="6">
        <f t="shared" ref="F25:K25" si="9">_xlfn.LET(_xlpm.RD_0,$F$3,_xlpm.DD,F22,SQRT((1/(_xlpm.RD_0^2)+1/_xlpm.DD)^(-1)))</f>
        <v>77.343315287830961</v>
      </c>
      <c r="G25" s="6">
        <f t="shared" si="9"/>
        <v>77.343315287830961</v>
      </c>
      <c r="H25" s="6">
        <f t="shared" si="9"/>
        <v>77.343315287830961</v>
      </c>
      <c r="I25" s="6">
        <f t="shared" si="9"/>
        <v>77.36856245492713</v>
      </c>
      <c r="J25" s="6">
        <f t="shared" si="9"/>
        <v>77.36856245492713</v>
      </c>
      <c r="K25" s="6">
        <f t="shared" si="9"/>
        <v>77.36856245492713</v>
      </c>
    </row>
  </sheetData>
  <mergeCells count="9">
    <mergeCell ref="C19:D19"/>
    <mergeCell ref="L20:O20"/>
    <mergeCell ref="C22:D22"/>
    <mergeCell ref="N3:O3"/>
    <mergeCell ref="N4:O4"/>
    <mergeCell ref="N5:O5"/>
    <mergeCell ref="N6:O6"/>
    <mergeCell ref="C15:D15"/>
    <mergeCell ref="C16:D1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2023-03-18T06:52:37Z</dcterms:created>
  <dcterms:modified xsi:type="dcterms:W3CDTF">2023-09-10T12:26:26Z</dcterms:modified>
  <cp:category/>
  <cp:contentStatus/>
</cp:coreProperties>
</file>